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cs_penzugy\Jurassa Melinda\Előterjesztések\2019. évi szeptemberi módosítás\Kész testületi anyag\Egységes szerkezet\"/>
    </mc:Choice>
  </mc:AlternateContent>
  <bookViews>
    <workbookView xWindow="-120" yWindow="-120" windowWidth="29040" windowHeight="15840" tabRatio="939"/>
  </bookViews>
  <sheets>
    <sheet name="1. melléklet" sheetId="1" r:id="rId1"/>
    <sheet name="2. melléklet" sheetId="2" r:id="rId2"/>
    <sheet name="3. melléklet" sheetId="3" r:id="rId3"/>
    <sheet name="4. melléklet" sheetId="4" r:id="rId4"/>
    <sheet name="5. melléklet 1" sheetId="5" r:id="rId5"/>
    <sheet name="5. melléklet 2" sheetId="6" r:id="rId6"/>
    <sheet name="6. melléklet 1" sheetId="24" r:id="rId7"/>
    <sheet name="6. melléklet 2" sheetId="25" r:id="rId8"/>
    <sheet name="7. melléklet" sheetId="27" r:id="rId9"/>
    <sheet name="8. melléklet" sheetId="10" r:id="rId10"/>
    <sheet name="9. melléklet" sheetId="11" r:id="rId11"/>
    <sheet name="10. melléklet" sheetId="12" r:id="rId12"/>
    <sheet name="11. melléklet" sheetId="13" r:id="rId13"/>
    <sheet name="12. melléklet" sheetId="14" r:id="rId14"/>
    <sheet name="13. melléklet 1" sheetId="15" r:id="rId15"/>
    <sheet name="13. melléklet 2 " sheetId="26" r:id="rId16"/>
    <sheet name="13. melléklet 3" sheetId="22" r:id="rId17"/>
    <sheet name="14. melléklet 1" sheetId="16" r:id="rId18"/>
    <sheet name="14. melléklet 2" sheetId="21" r:id="rId19"/>
    <sheet name="14. melléklet 3" sheetId="23" r:id="rId20"/>
    <sheet name="15. melléklet" sheetId="18" r:id="rId21"/>
    <sheet name="16. melléklet" sheetId="19" r:id="rId22"/>
    <sheet name="17. melléklet" sheetId="20" r:id="rId23"/>
  </sheets>
  <definedNames>
    <definedName name="_xlnm.Print_Titles" localSheetId="12">'11. melléklet'!$4:$4</definedName>
    <definedName name="_xlnm.Print_Titles" localSheetId="17">'14. melléklet 1'!$3:$5</definedName>
    <definedName name="_xlnm.Print_Titles" localSheetId="18">'14. melléklet 2'!$3:$5</definedName>
    <definedName name="_xlnm.Print_Titles" localSheetId="4">'5. melléklet 1'!$3:$4</definedName>
    <definedName name="_xlnm.Print_Titles" localSheetId="8">'7. melléklet'!$3:$3</definedName>
    <definedName name="_xlnm.Print_Titles" localSheetId="9">'8. melléklet'!$3:$3</definedName>
    <definedName name="_xlnm.Print_Area" localSheetId="4">'5. melléklet 1'!$A$1:$S$192</definedName>
    <definedName name="_xlnm.Print_Area" localSheetId="6">'6. melléklet 1'!$A$1:$R$87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9" i="6" l="1"/>
  <c r="Q89" i="6"/>
  <c r="P89" i="6"/>
  <c r="O89" i="6"/>
  <c r="N89" i="6"/>
  <c r="M89" i="6"/>
  <c r="L89" i="6"/>
  <c r="K89" i="6"/>
  <c r="J89" i="6"/>
  <c r="R88" i="6"/>
  <c r="Q88" i="6"/>
  <c r="P88" i="6"/>
  <c r="O88" i="6"/>
  <c r="N88" i="6"/>
  <c r="M88" i="6"/>
  <c r="L88" i="6"/>
  <c r="K88" i="6"/>
  <c r="J88" i="6"/>
  <c r="I88" i="6"/>
  <c r="H88" i="6"/>
  <c r="G88" i="6"/>
  <c r="E88" i="6"/>
  <c r="R87" i="6"/>
  <c r="Q87" i="6"/>
  <c r="P87" i="6"/>
  <c r="O87" i="6"/>
  <c r="N87" i="6"/>
  <c r="M87" i="6"/>
  <c r="L87" i="6"/>
  <c r="K87" i="6"/>
  <c r="J87" i="6"/>
  <c r="E87" i="6"/>
  <c r="R86" i="6"/>
  <c r="Q86" i="6"/>
  <c r="P86" i="6"/>
  <c r="O86" i="6"/>
  <c r="N86" i="6"/>
  <c r="M86" i="6"/>
  <c r="L86" i="6"/>
  <c r="K86" i="6"/>
  <c r="J86" i="6"/>
  <c r="I86" i="6"/>
  <c r="E86" i="6"/>
  <c r="R85" i="6"/>
  <c r="Q85" i="6"/>
  <c r="P85" i="6"/>
  <c r="O85" i="6"/>
  <c r="N85" i="6"/>
  <c r="M85" i="6"/>
  <c r="L85" i="6"/>
  <c r="K85" i="6"/>
  <c r="J85" i="6"/>
  <c r="I85" i="6"/>
  <c r="H85" i="6"/>
  <c r="G85" i="6"/>
  <c r="E85" i="6"/>
  <c r="R84" i="6"/>
  <c r="Q84" i="6"/>
  <c r="P84" i="6"/>
  <c r="O84" i="6"/>
  <c r="N84" i="6"/>
  <c r="M84" i="6"/>
  <c r="L84" i="6"/>
  <c r="K84" i="6"/>
  <c r="J84" i="6"/>
  <c r="I84" i="6"/>
  <c r="H84" i="6"/>
  <c r="G84" i="6"/>
  <c r="E84" i="6"/>
  <c r="Q77" i="6"/>
  <c r="M77" i="6"/>
  <c r="O76" i="6"/>
  <c r="K76" i="6"/>
  <c r="G76" i="6"/>
  <c r="Q75" i="6"/>
  <c r="M75" i="6"/>
  <c r="I75" i="6"/>
  <c r="E75" i="6"/>
  <c r="R74" i="6"/>
  <c r="Q74" i="6"/>
  <c r="P74" i="6"/>
  <c r="O74" i="6"/>
  <c r="O80" i="6" s="1"/>
  <c r="N74" i="6"/>
  <c r="M74" i="6"/>
  <c r="L74" i="6"/>
  <c r="K74" i="6"/>
  <c r="K80" i="6" s="1"/>
  <c r="J74" i="6"/>
  <c r="I74" i="6"/>
  <c r="H74" i="6"/>
  <c r="G74" i="6"/>
  <c r="R73" i="6"/>
  <c r="Q73" i="6"/>
  <c r="Q79" i="6" s="1"/>
  <c r="P73" i="6"/>
  <c r="O73" i="6"/>
  <c r="N73" i="6"/>
  <c r="M73" i="6"/>
  <c r="M79" i="6" s="1"/>
  <c r="L73" i="6"/>
  <c r="K73" i="6"/>
  <c r="J73" i="6"/>
  <c r="I73" i="6"/>
  <c r="I79" i="6" s="1"/>
  <c r="H73" i="6"/>
  <c r="G73" i="6"/>
  <c r="F73" i="6"/>
  <c r="E73" i="6"/>
  <c r="E79" i="6" s="1"/>
  <c r="R72" i="6"/>
  <c r="Q72" i="6"/>
  <c r="P72" i="6"/>
  <c r="O72" i="6"/>
  <c r="O78" i="6" s="1"/>
  <c r="N72" i="6"/>
  <c r="M72" i="6"/>
  <c r="L72" i="6"/>
  <c r="K72" i="6"/>
  <c r="K78" i="6" s="1"/>
  <c r="J72" i="6"/>
  <c r="I72" i="6"/>
  <c r="H72" i="6"/>
  <c r="G72" i="6"/>
  <c r="E72" i="6"/>
  <c r="F71" i="6"/>
  <c r="F69" i="6"/>
  <c r="F72" i="6" s="1"/>
  <c r="H68" i="6"/>
  <c r="G68" i="6"/>
  <c r="F68" i="6"/>
  <c r="F74" i="6" s="1"/>
  <c r="E68" i="6"/>
  <c r="E74" i="6" s="1"/>
  <c r="F67" i="6"/>
  <c r="R64" i="6"/>
  <c r="Q64" i="6"/>
  <c r="P64" i="6"/>
  <c r="P80" i="6" s="1"/>
  <c r="O64" i="6"/>
  <c r="N64" i="6"/>
  <c r="M64" i="6"/>
  <c r="L64" i="6"/>
  <c r="L80" i="6" s="1"/>
  <c r="K64" i="6"/>
  <c r="J64" i="6"/>
  <c r="I64" i="6"/>
  <c r="H64" i="6"/>
  <c r="E64" i="6"/>
  <c r="R63" i="6"/>
  <c r="R79" i="6" s="1"/>
  <c r="Q63" i="6"/>
  <c r="P63" i="6"/>
  <c r="O63" i="6"/>
  <c r="N63" i="6"/>
  <c r="N79" i="6" s="1"/>
  <c r="M63" i="6"/>
  <c r="L63" i="6"/>
  <c r="K63" i="6"/>
  <c r="J63" i="6"/>
  <c r="J79" i="6" s="1"/>
  <c r="I63" i="6"/>
  <c r="H63" i="6"/>
  <c r="G63" i="6"/>
  <c r="F63" i="6"/>
  <c r="E63" i="6"/>
  <c r="R62" i="6"/>
  <c r="Q62" i="6"/>
  <c r="P62" i="6"/>
  <c r="P78" i="6" s="1"/>
  <c r="O62" i="6"/>
  <c r="N62" i="6"/>
  <c r="M62" i="6"/>
  <c r="L62" i="6"/>
  <c r="L78" i="6" s="1"/>
  <c r="K62" i="6"/>
  <c r="J62" i="6"/>
  <c r="I62" i="6"/>
  <c r="H62" i="6"/>
  <c r="G62" i="6"/>
  <c r="E62" i="6"/>
  <c r="F61" i="6"/>
  <c r="F60" i="6"/>
  <c r="F59" i="6"/>
  <c r="F62" i="6" s="1"/>
  <c r="H58" i="6"/>
  <c r="H89" i="6" s="1"/>
  <c r="G58" i="6"/>
  <c r="G64" i="6" s="1"/>
  <c r="E58" i="6"/>
  <c r="F57" i="6"/>
  <c r="R54" i="6"/>
  <c r="R77" i="6" s="1"/>
  <c r="Q54" i="6"/>
  <c r="P54" i="6"/>
  <c r="P77" i="6" s="1"/>
  <c r="O54" i="6"/>
  <c r="O77" i="6" s="1"/>
  <c r="N54" i="6"/>
  <c r="N77" i="6" s="1"/>
  <c r="M54" i="6"/>
  <c r="L54" i="6"/>
  <c r="L77" i="6" s="1"/>
  <c r="K54" i="6"/>
  <c r="K77" i="6" s="1"/>
  <c r="J54" i="6"/>
  <c r="J77" i="6" s="1"/>
  <c r="R53" i="6"/>
  <c r="R76" i="6" s="1"/>
  <c r="Q53" i="6"/>
  <c r="Q76" i="6" s="1"/>
  <c r="P53" i="6"/>
  <c r="P76" i="6" s="1"/>
  <c r="O53" i="6"/>
  <c r="N53" i="6"/>
  <c r="N76" i="6" s="1"/>
  <c r="M53" i="6"/>
  <c r="M76" i="6" s="1"/>
  <c r="L53" i="6"/>
  <c r="L76" i="6" s="1"/>
  <c r="K53" i="6"/>
  <c r="J53" i="6"/>
  <c r="J76" i="6" s="1"/>
  <c r="I53" i="6"/>
  <c r="I76" i="6" s="1"/>
  <c r="H53" i="6"/>
  <c r="H76" i="6" s="1"/>
  <c r="G53" i="6"/>
  <c r="E53" i="6"/>
  <c r="E76" i="6" s="1"/>
  <c r="R52" i="6"/>
  <c r="R75" i="6" s="1"/>
  <c r="Q52" i="6"/>
  <c r="P52" i="6"/>
  <c r="P75" i="6" s="1"/>
  <c r="O52" i="6"/>
  <c r="O75" i="6" s="1"/>
  <c r="N52" i="6"/>
  <c r="N75" i="6" s="1"/>
  <c r="M52" i="6"/>
  <c r="L52" i="6"/>
  <c r="L75" i="6" s="1"/>
  <c r="K52" i="6"/>
  <c r="K75" i="6" s="1"/>
  <c r="J52" i="6"/>
  <c r="J75" i="6" s="1"/>
  <c r="I52" i="6"/>
  <c r="H52" i="6"/>
  <c r="H75" i="6" s="1"/>
  <c r="G52" i="6"/>
  <c r="G75" i="6" s="1"/>
  <c r="E52" i="6"/>
  <c r="F51" i="6"/>
  <c r="F50" i="6"/>
  <c r="F49" i="6"/>
  <c r="F52" i="6" s="1"/>
  <c r="F75" i="6" s="1"/>
  <c r="I48" i="6"/>
  <c r="I54" i="6" s="1"/>
  <c r="I77" i="6" s="1"/>
  <c r="H48" i="6"/>
  <c r="H54" i="6" s="1"/>
  <c r="H77" i="6" s="1"/>
  <c r="G48" i="6"/>
  <c r="G54" i="6" s="1"/>
  <c r="F48" i="6"/>
  <c r="F54" i="6" s="1"/>
  <c r="E48" i="6"/>
  <c r="E54" i="6" s="1"/>
  <c r="F47" i="6"/>
  <c r="F53" i="6" s="1"/>
  <c r="F76" i="6" s="1"/>
  <c r="F46" i="6"/>
  <c r="R44" i="6"/>
  <c r="R80" i="6" s="1"/>
  <c r="Q44" i="6"/>
  <c r="Q80" i="6" s="1"/>
  <c r="P44" i="6"/>
  <c r="O44" i="6"/>
  <c r="N44" i="6"/>
  <c r="N80" i="6" s="1"/>
  <c r="M44" i="6"/>
  <c r="M80" i="6" s="1"/>
  <c r="L44" i="6"/>
  <c r="K44" i="6"/>
  <c r="J44" i="6"/>
  <c r="J80" i="6" s="1"/>
  <c r="R43" i="6"/>
  <c r="Q43" i="6"/>
  <c r="P43" i="6"/>
  <c r="P79" i="6" s="1"/>
  <c r="O43" i="6"/>
  <c r="O79" i="6" s="1"/>
  <c r="N43" i="6"/>
  <c r="M43" i="6"/>
  <c r="L43" i="6"/>
  <c r="L79" i="6" s="1"/>
  <c r="K43" i="6"/>
  <c r="K79" i="6" s="1"/>
  <c r="J43" i="6"/>
  <c r="I43" i="6"/>
  <c r="H43" i="6"/>
  <c r="H79" i="6" s="1"/>
  <c r="G43" i="6"/>
  <c r="G79" i="6" s="1"/>
  <c r="E43" i="6"/>
  <c r="R42" i="6"/>
  <c r="R78" i="6" s="1"/>
  <c r="Q42" i="6"/>
  <c r="Q78" i="6" s="1"/>
  <c r="P42" i="6"/>
  <c r="O42" i="6"/>
  <c r="N42" i="6"/>
  <c r="N78" i="6" s="1"/>
  <c r="M42" i="6"/>
  <c r="M78" i="6" s="1"/>
  <c r="L42" i="6"/>
  <c r="K42" i="6"/>
  <c r="J42" i="6"/>
  <c r="J78" i="6" s="1"/>
  <c r="E42" i="6"/>
  <c r="E78" i="6" s="1"/>
  <c r="F41" i="6"/>
  <c r="F40" i="6"/>
  <c r="F39" i="6"/>
  <c r="I38" i="6"/>
  <c r="H38" i="6"/>
  <c r="H86" i="6" s="1"/>
  <c r="G38" i="6"/>
  <c r="G86" i="6" s="1"/>
  <c r="F38" i="6"/>
  <c r="F37" i="6"/>
  <c r="F36" i="6"/>
  <c r="F35" i="6"/>
  <c r="F34" i="6"/>
  <c r="F33" i="6"/>
  <c r="F32" i="6"/>
  <c r="F31" i="6"/>
  <c r="F30" i="6"/>
  <c r="F29" i="6"/>
  <c r="F28" i="6"/>
  <c r="F27" i="6"/>
  <c r="F84" i="6" s="1"/>
  <c r="F26" i="6"/>
  <c r="F25" i="6"/>
  <c r="I24" i="6"/>
  <c r="H24" i="6"/>
  <c r="G24" i="6"/>
  <c r="F24" i="6" s="1"/>
  <c r="F23" i="6"/>
  <c r="F22" i="6"/>
  <c r="F21" i="6"/>
  <c r="F20" i="6"/>
  <c r="F19" i="6"/>
  <c r="F18" i="6"/>
  <c r="F17" i="6"/>
  <c r="F86" i="6" s="1"/>
  <c r="F16" i="6"/>
  <c r="F85" i="6" s="1"/>
  <c r="F15" i="6"/>
  <c r="F14" i="6"/>
  <c r="F13" i="6"/>
  <c r="F12" i="6"/>
  <c r="F11" i="6"/>
  <c r="F10" i="6"/>
  <c r="F88" i="6" s="1"/>
  <c r="F9" i="6"/>
  <c r="I8" i="6"/>
  <c r="I44" i="6" s="1"/>
  <c r="I80" i="6" s="1"/>
  <c r="H8" i="6"/>
  <c r="H44" i="6" s="1"/>
  <c r="H80" i="6" s="1"/>
  <c r="G8" i="6"/>
  <c r="G44" i="6" s="1"/>
  <c r="G80" i="6" s="1"/>
  <c r="F8" i="6"/>
  <c r="E8" i="6"/>
  <c r="E44" i="6" s="1"/>
  <c r="F7" i="6"/>
  <c r="F43" i="6" s="1"/>
  <c r="F79" i="6" s="1"/>
  <c r="I6" i="6"/>
  <c r="I42" i="6" s="1"/>
  <c r="I78" i="6" s="1"/>
  <c r="H6" i="6"/>
  <c r="H87" i="6" s="1"/>
  <c r="G6" i="6"/>
  <c r="F6" i="6" s="1"/>
  <c r="F87" i="6" l="1"/>
  <c r="F42" i="6"/>
  <c r="F78" i="6" s="1"/>
  <c r="E80" i="6"/>
  <c r="G77" i="6"/>
  <c r="E77" i="6"/>
  <c r="F44" i="6"/>
  <c r="G87" i="6"/>
  <c r="G89" i="6"/>
  <c r="G42" i="6"/>
  <c r="G78" i="6" s="1"/>
  <c r="H42" i="6"/>
  <c r="H78" i="6" s="1"/>
  <c r="I87" i="6"/>
  <c r="E89" i="6"/>
  <c r="I89" i="6"/>
  <c r="F58" i="6"/>
  <c r="F64" i="6" s="1"/>
  <c r="F77" i="6" s="1"/>
  <c r="F80" i="6" l="1"/>
  <c r="F89" i="6"/>
  <c r="F97" i="5" l="1"/>
  <c r="S58" i="5"/>
  <c r="R58" i="5"/>
  <c r="Q58" i="5"/>
  <c r="P58" i="5"/>
  <c r="O58" i="5"/>
  <c r="N58" i="5"/>
  <c r="M58" i="5"/>
  <c r="L58" i="5"/>
  <c r="K58" i="5"/>
  <c r="J58" i="5"/>
  <c r="I58" i="5"/>
  <c r="H58" i="5"/>
  <c r="G58" i="5"/>
  <c r="D78" i="10" l="1"/>
  <c r="D69" i="10"/>
  <c r="D39" i="10"/>
  <c r="D37" i="2" l="1"/>
  <c r="D161" i="27" l="1"/>
  <c r="D151" i="27"/>
  <c r="D83" i="27"/>
  <c r="D123" i="27"/>
  <c r="D111" i="27"/>
  <c r="D100" i="27"/>
  <c r="R7" i="24" l="1"/>
  <c r="M7" i="15" l="1"/>
  <c r="M8" i="15"/>
  <c r="M10" i="15"/>
  <c r="M11" i="15"/>
  <c r="M13" i="15"/>
  <c r="M14" i="15"/>
  <c r="M16" i="15"/>
  <c r="M17" i="15"/>
  <c r="M19" i="15"/>
  <c r="M20" i="15"/>
  <c r="M22" i="15"/>
  <c r="M23" i="15"/>
  <c r="M24" i="15"/>
  <c r="M25" i="15"/>
  <c r="M26" i="15"/>
  <c r="M27" i="15"/>
  <c r="M28" i="15"/>
  <c r="M29" i="15"/>
  <c r="M30" i="15"/>
  <c r="M31" i="15"/>
  <c r="M32" i="15"/>
  <c r="M33" i="15"/>
  <c r="M34" i="15"/>
  <c r="M35" i="15"/>
  <c r="M36" i="15"/>
  <c r="M37" i="15"/>
  <c r="M38" i="15"/>
  <c r="M6" i="15"/>
  <c r="Q13" i="23" l="1"/>
  <c r="Q12" i="23"/>
  <c r="Q11" i="23"/>
  <c r="D28" i="2"/>
  <c r="I64" i="18" l="1"/>
  <c r="I79" i="18"/>
  <c r="I82" i="18" s="1"/>
  <c r="I68" i="18"/>
  <c r="I71" i="18" s="1"/>
  <c r="I66" i="18"/>
  <c r="I56" i="18"/>
  <c r="I55" i="18"/>
  <c r="I54" i="18"/>
  <c r="I53" i="18"/>
  <c r="I63" i="18" s="1"/>
  <c r="I52" i="18"/>
  <c r="I50" i="18"/>
  <c r="I48" i="18"/>
  <c r="F79" i="5" l="1"/>
  <c r="F76" i="5"/>
  <c r="F70" i="5"/>
  <c r="F67" i="5"/>
  <c r="F64" i="5"/>
  <c r="F61" i="5"/>
  <c r="F58" i="5"/>
  <c r="F55" i="5"/>
  <c r="F52" i="5"/>
  <c r="F49" i="5"/>
  <c r="F46" i="5"/>
  <c r="F43" i="5"/>
  <c r="F40" i="5"/>
  <c r="F37" i="5"/>
  <c r="F34" i="5"/>
  <c r="F31" i="5"/>
  <c r="F28" i="5"/>
  <c r="F25" i="5"/>
  <c r="F22" i="5"/>
  <c r="F19" i="5"/>
  <c r="F16" i="5"/>
  <c r="F13" i="5"/>
  <c r="F10" i="5"/>
  <c r="F7" i="5"/>
  <c r="D24" i="3" l="1"/>
  <c r="I35" i="18" l="1"/>
  <c r="D9" i="3"/>
  <c r="Q20" i="16" l="1"/>
  <c r="I9" i="18" l="1"/>
  <c r="D27" i="27" l="1"/>
  <c r="D6" i="27"/>
  <c r="D6" i="12" l="1"/>
  <c r="D47" i="12"/>
  <c r="D12" i="12" s="1"/>
  <c r="D63" i="12"/>
  <c r="D75" i="13" l="1"/>
  <c r="D86" i="13"/>
  <c r="D82" i="13"/>
  <c r="D78" i="13"/>
  <c r="D68" i="13"/>
  <c r="D21" i="13"/>
  <c r="D73" i="13" l="1"/>
  <c r="D37" i="13"/>
  <c r="D53" i="13"/>
  <c r="D44" i="13"/>
  <c r="D29" i="13"/>
  <c r="D7" i="13"/>
  <c r="D10" i="3" s="1"/>
  <c r="Q32" i="23" l="1"/>
  <c r="P32" i="23"/>
  <c r="O32" i="23"/>
  <c r="N32" i="23"/>
  <c r="M32" i="23"/>
  <c r="L32" i="23"/>
  <c r="K32" i="23"/>
  <c r="J32" i="23"/>
  <c r="I32" i="23"/>
  <c r="H32" i="23"/>
  <c r="G32" i="23"/>
  <c r="F32" i="23"/>
  <c r="D32" i="23"/>
  <c r="C32" i="23"/>
  <c r="B32" i="23"/>
  <c r="T31" i="23"/>
  <c r="S31" i="23"/>
  <c r="R31" i="23"/>
  <c r="T30" i="23"/>
  <c r="S30" i="23"/>
  <c r="R30" i="23"/>
  <c r="T29" i="23"/>
  <c r="S29" i="23"/>
  <c r="R29" i="23"/>
  <c r="T28" i="23"/>
  <c r="S28" i="23"/>
  <c r="R28" i="23"/>
  <c r="T27" i="23"/>
  <c r="S27" i="23"/>
  <c r="R27" i="23"/>
  <c r="T26" i="23"/>
  <c r="S26" i="23"/>
  <c r="R26" i="23"/>
  <c r="T25" i="23"/>
  <c r="S25" i="23"/>
  <c r="R25" i="23"/>
  <c r="T24" i="23"/>
  <c r="S24" i="23"/>
  <c r="R24" i="23"/>
  <c r="T23" i="23"/>
  <c r="S23" i="23"/>
  <c r="R23" i="23"/>
  <c r="T22" i="23"/>
  <c r="S22" i="23"/>
  <c r="R22" i="23"/>
  <c r="S32" i="23" l="1"/>
  <c r="R32" i="23"/>
  <c r="T32" i="23"/>
  <c r="P19" i="16"/>
  <c r="O19" i="16"/>
  <c r="Q19" i="16"/>
  <c r="Q17" i="16"/>
  <c r="P17" i="16"/>
  <c r="O17" i="16"/>
  <c r="W7" i="21" l="1"/>
  <c r="W8" i="21"/>
  <c r="W9" i="21"/>
  <c r="W10" i="21"/>
  <c r="W11" i="21"/>
  <c r="W12" i="21"/>
  <c r="W13" i="21"/>
  <c r="W14" i="21"/>
  <c r="W15" i="21"/>
  <c r="W16" i="21"/>
  <c r="W17" i="21"/>
  <c r="W18" i="21"/>
  <c r="W19" i="21"/>
  <c r="W20" i="21"/>
  <c r="W21" i="21"/>
  <c r="W22" i="21"/>
  <c r="W23" i="21"/>
  <c r="W24" i="21"/>
  <c r="W25" i="21"/>
  <c r="W6" i="21"/>
  <c r="V22" i="21"/>
  <c r="V23" i="21"/>
  <c r="V24" i="21"/>
  <c r="V25" i="21"/>
  <c r="U22" i="21"/>
  <c r="U23" i="21"/>
  <c r="U24" i="21"/>
  <c r="U25" i="21"/>
  <c r="T26" i="21"/>
  <c r="S26" i="21"/>
  <c r="R26" i="21"/>
  <c r="V21" i="21"/>
  <c r="U21" i="21"/>
  <c r="W26" i="21" l="1"/>
  <c r="D8" i="3"/>
  <c r="J26" i="20" l="1"/>
  <c r="M26" i="20"/>
  <c r="N26" i="20" l="1"/>
  <c r="G44" i="26" l="1"/>
  <c r="F44" i="26"/>
  <c r="L35" i="26"/>
  <c r="L44" i="26" s="1"/>
  <c r="K35" i="26"/>
  <c r="K44" i="26" s="1"/>
  <c r="J35" i="26"/>
  <c r="J44" i="26" s="1"/>
  <c r="I35" i="26"/>
  <c r="I44" i="26" s="1"/>
  <c r="H35" i="26"/>
  <c r="H44" i="26" s="1"/>
  <c r="E35" i="26"/>
  <c r="E44" i="26" s="1"/>
  <c r="D35" i="26"/>
  <c r="D44" i="26" s="1"/>
  <c r="C35" i="26"/>
  <c r="C44" i="26" s="1"/>
  <c r="B35" i="26"/>
  <c r="B44" i="26" s="1"/>
  <c r="D29" i="26"/>
  <c r="D32" i="26" s="1"/>
  <c r="D47" i="26" s="1"/>
  <c r="L11" i="26"/>
  <c r="L29" i="26" s="1"/>
  <c r="L32" i="26" s="1"/>
  <c r="K11" i="26"/>
  <c r="K29" i="26" s="1"/>
  <c r="K32" i="26" s="1"/>
  <c r="J11" i="26"/>
  <c r="J29" i="26" s="1"/>
  <c r="J32" i="26" s="1"/>
  <c r="J47" i="26" s="1"/>
  <c r="I11" i="26"/>
  <c r="I29" i="26" s="1"/>
  <c r="I32" i="26" s="1"/>
  <c r="H11" i="26"/>
  <c r="H29" i="26" s="1"/>
  <c r="H32" i="26" s="1"/>
  <c r="G11" i="26"/>
  <c r="G29" i="26" s="1"/>
  <c r="G32" i="26" s="1"/>
  <c r="G47" i="26" s="1"/>
  <c r="F11" i="26"/>
  <c r="F29" i="26" s="1"/>
  <c r="F32" i="26" s="1"/>
  <c r="F47" i="26" s="1"/>
  <c r="E11" i="26"/>
  <c r="E29" i="26" s="1"/>
  <c r="E32" i="26" s="1"/>
  <c r="D11" i="26"/>
  <c r="C11" i="26"/>
  <c r="C29" i="26" s="1"/>
  <c r="C32" i="26" s="1"/>
  <c r="C47" i="26" s="1"/>
  <c r="B11" i="26"/>
  <c r="B29" i="26" s="1"/>
  <c r="B32" i="26" s="1"/>
  <c r="B47" i="26" s="1"/>
  <c r="C10" i="23"/>
  <c r="C14" i="23" s="1"/>
  <c r="B10" i="23"/>
  <c r="B14" i="23" l="1"/>
  <c r="K47" i="26"/>
  <c r="E47" i="26"/>
  <c r="H47" i="26"/>
  <c r="I47" i="26"/>
  <c r="L47" i="26"/>
  <c r="S189" i="5"/>
  <c r="R189" i="5"/>
  <c r="Q189" i="5"/>
  <c r="P189" i="5"/>
  <c r="O189" i="5"/>
  <c r="N189" i="5"/>
  <c r="M189" i="5"/>
  <c r="L189" i="5"/>
  <c r="K189" i="5"/>
  <c r="J189" i="5"/>
  <c r="I189" i="5"/>
  <c r="H189" i="5"/>
  <c r="G189" i="5"/>
  <c r="E189" i="5"/>
  <c r="S186" i="5"/>
  <c r="R186" i="5"/>
  <c r="Q186" i="5"/>
  <c r="P186" i="5"/>
  <c r="O186" i="5"/>
  <c r="N186" i="5"/>
  <c r="M186" i="5"/>
  <c r="L186" i="5"/>
  <c r="K186" i="5"/>
  <c r="J186" i="5"/>
  <c r="I186" i="5"/>
  <c r="H186" i="5"/>
  <c r="G186" i="5"/>
  <c r="E186" i="5"/>
  <c r="S183" i="5"/>
  <c r="R183" i="5"/>
  <c r="Q183" i="5"/>
  <c r="P183" i="5"/>
  <c r="O183" i="5"/>
  <c r="N183" i="5"/>
  <c r="M183" i="5"/>
  <c r="L183" i="5"/>
  <c r="K183" i="5"/>
  <c r="J183" i="5"/>
  <c r="I183" i="5"/>
  <c r="H183" i="5"/>
  <c r="G183" i="5"/>
  <c r="E183" i="5"/>
  <c r="S180" i="5"/>
  <c r="R180" i="5"/>
  <c r="Q180" i="5"/>
  <c r="P180" i="5"/>
  <c r="O180" i="5"/>
  <c r="N180" i="5"/>
  <c r="M180" i="5"/>
  <c r="L180" i="5"/>
  <c r="K180" i="5"/>
  <c r="J180" i="5"/>
  <c r="I180" i="5"/>
  <c r="H180" i="5"/>
  <c r="G180" i="5"/>
  <c r="E180" i="5"/>
  <c r="F177" i="5"/>
  <c r="F174" i="5"/>
  <c r="F171" i="5"/>
  <c r="F168" i="5"/>
  <c r="F165" i="5"/>
  <c r="F162" i="5"/>
  <c r="F159" i="5"/>
  <c r="F156" i="5"/>
  <c r="F153" i="5"/>
  <c r="F150" i="5"/>
  <c r="F151" i="5"/>
  <c r="F147" i="5"/>
  <c r="F144" i="5"/>
  <c r="F141" i="5"/>
  <c r="F138" i="5"/>
  <c r="F135" i="5"/>
  <c r="F132" i="5"/>
  <c r="F129" i="5"/>
  <c r="F126" i="5"/>
  <c r="F123" i="5"/>
  <c r="F120" i="5"/>
  <c r="F117" i="5"/>
  <c r="F114" i="5"/>
  <c r="F111" i="5"/>
  <c r="F108" i="5"/>
  <c r="F105" i="5"/>
  <c r="F102" i="5"/>
  <c r="F99" i="5"/>
  <c r="F96" i="5"/>
  <c r="F93" i="5"/>
  <c r="F90" i="5"/>
  <c r="F87" i="5"/>
  <c r="F84" i="5"/>
  <c r="F81" i="5"/>
  <c r="F78" i="5"/>
  <c r="F75" i="5"/>
  <c r="F72" i="5"/>
  <c r="F69" i="5"/>
  <c r="C69" i="2" l="1"/>
  <c r="C63" i="2"/>
  <c r="C62" i="2" s="1"/>
  <c r="C28" i="2"/>
  <c r="L47" i="3"/>
  <c r="C51" i="1" s="1"/>
  <c r="C57" i="1" s="1"/>
  <c r="L46" i="3"/>
  <c r="C50" i="1" s="1"/>
  <c r="L45" i="3"/>
  <c r="C49" i="1" s="1"/>
  <c r="L44" i="3"/>
  <c r="C48" i="1" s="1"/>
  <c r="L35" i="3"/>
  <c r="C33" i="1" s="1"/>
  <c r="L34" i="3"/>
  <c r="C32" i="1" s="1"/>
  <c r="L32" i="3"/>
  <c r="C29" i="1" s="1"/>
  <c r="L31" i="3"/>
  <c r="C28" i="1" s="1"/>
  <c r="L30" i="3"/>
  <c r="C27" i="1" s="1"/>
  <c r="L29" i="3"/>
  <c r="C26" i="1" s="1"/>
  <c r="L28" i="3"/>
  <c r="C25" i="1" s="1"/>
  <c r="L27" i="3"/>
  <c r="C24" i="1" s="1"/>
  <c r="L26" i="3"/>
  <c r="C23" i="1" s="1"/>
  <c r="L25" i="3"/>
  <c r="C22" i="1" s="1"/>
  <c r="L23" i="3"/>
  <c r="C19" i="1" s="1"/>
  <c r="L22" i="3"/>
  <c r="C18" i="1" s="1"/>
  <c r="L21" i="3"/>
  <c r="C17" i="1" s="1"/>
  <c r="L20" i="3"/>
  <c r="L19" i="3"/>
  <c r="L18" i="3"/>
  <c r="L16" i="3"/>
  <c r="L15" i="3"/>
  <c r="L9" i="3"/>
  <c r="C8" i="1" s="1"/>
  <c r="I48" i="3"/>
  <c r="I39" i="3"/>
  <c r="I36" i="3"/>
  <c r="I33" i="3"/>
  <c r="I24" i="3"/>
  <c r="I17" i="3"/>
  <c r="I14" i="3"/>
  <c r="I11" i="3"/>
  <c r="I8" i="3"/>
  <c r="I5" i="3"/>
  <c r="F48" i="3"/>
  <c r="F36" i="3"/>
  <c r="F33" i="3"/>
  <c r="F24" i="3"/>
  <c r="F17" i="3"/>
  <c r="F14" i="3"/>
  <c r="F11" i="3"/>
  <c r="F5" i="3"/>
  <c r="C33" i="3"/>
  <c r="C24" i="3"/>
  <c r="C17" i="3"/>
  <c r="C14" i="3"/>
  <c r="N31" i="4"/>
  <c r="G51" i="1" s="1"/>
  <c r="G57" i="1" s="1"/>
  <c r="N30" i="4"/>
  <c r="G49" i="1" s="1"/>
  <c r="N29" i="4"/>
  <c r="G48" i="1" s="1"/>
  <c r="N28" i="4"/>
  <c r="G47" i="1" s="1"/>
  <c r="N12" i="4"/>
  <c r="G15" i="1" s="1"/>
  <c r="N11" i="4"/>
  <c r="G14" i="1" s="1"/>
  <c r="N8" i="4"/>
  <c r="G9" i="1" s="1"/>
  <c r="N7" i="4"/>
  <c r="G7" i="1" s="1"/>
  <c r="N6" i="4"/>
  <c r="G5" i="1" s="1"/>
  <c r="K32" i="4"/>
  <c r="K24" i="4"/>
  <c r="K21" i="4" s="1"/>
  <c r="K15" i="4"/>
  <c r="K10" i="4" s="1"/>
  <c r="H32" i="4"/>
  <c r="H24" i="4"/>
  <c r="H15" i="4"/>
  <c r="H10" i="4" s="1"/>
  <c r="E32" i="4"/>
  <c r="F66" i="5"/>
  <c r="F63" i="5"/>
  <c r="F186" i="5" s="1"/>
  <c r="F60" i="5"/>
  <c r="F57" i="5"/>
  <c r="F54" i="5"/>
  <c r="F51" i="5"/>
  <c r="F48" i="5"/>
  <c r="F45" i="5"/>
  <c r="F42" i="5"/>
  <c r="F39" i="5"/>
  <c r="F36" i="5"/>
  <c r="F33" i="5"/>
  <c r="F30" i="5"/>
  <c r="F27" i="5"/>
  <c r="F24" i="5"/>
  <c r="F21" i="5"/>
  <c r="F18" i="5"/>
  <c r="F15" i="5"/>
  <c r="F12" i="5"/>
  <c r="F9" i="5"/>
  <c r="F6" i="5"/>
  <c r="C40" i="2" l="1"/>
  <c r="N32" i="4"/>
  <c r="L33" i="3"/>
  <c r="L14" i="3"/>
  <c r="C15" i="1" s="1"/>
  <c r="G38" i="2"/>
  <c r="C14" i="2"/>
  <c r="C23" i="2"/>
  <c r="C21" i="1"/>
  <c r="G40" i="2"/>
  <c r="G42" i="2" s="1"/>
  <c r="C16" i="2"/>
  <c r="C26" i="2"/>
  <c r="C54" i="2"/>
  <c r="L17" i="3"/>
  <c r="C13" i="2" s="1"/>
  <c r="G14" i="2"/>
  <c r="G68" i="2"/>
  <c r="G72" i="2" s="1"/>
  <c r="C19" i="2"/>
  <c r="L24" i="3"/>
  <c r="F13" i="3"/>
  <c r="G15" i="2"/>
  <c r="C8" i="2"/>
  <c r="C22" i="2"/>
  <c r="C38" i="2"/>
  <c r="C42" i="2" s="1"/>
  <c r="C16" i="1"/>
  <c r="F180" i="5"/>
  <c r="F189" i="5"/>
  <c r="G5" i="2"/>
  <c r="G53" i="1"/>
  <c r="I13" i="3"/>
  <c r="I42" i="3" s="1"/>
  <c r="I49" i="3" s="1"/>
  <c r="G7" i="2"/>
  <c r="G9" i="2"/>
  <c r="C20" i="2"/>
  <c r="C24" i="2"/>
  <c r="C31" i="1"/>
  <c r="C67" i="2"/>
  <c r="F183" i="5"/>
  <c r="C13" i="3"/>
  <c r="L13" i="3" s="1"/>
  <c r="C15" i="2"/>
  <c r="C21" i="2"/>
  <c r="C25" i="2"/>
  <c r="C53" i="2"/>
  <c r="P78" i="24"/>
  <c r="O78" i="24"/>
  <c r="N78" i="24"/>
  <c r="M78" i="24"/>
  <c r="L78" i="24"/>
  <c r="K78" i="24"/>
  <c r="J78" i="24"/>
  <c r="I78" i="24"/>
  <c r="H78" i="24"/>
  <c r="G78" i="24"/>
  <c r="F78" i="24"/>
  <c r="E78" i="24"/>
  <c r="D78" i="24"/>
  <c r="Q69" i="24"/>
  <c r="R69" i="24" s="1"/>
  <c r="Q66" i="24"/>
  <c r="R66" i="24" s="1"/>
  <c r="Q63" i="24"/>
  <c r="R63" i="24" s="1"/>
  <c r="Q57" i="24"/>
  <c r="R57" i="24" s="1"/>
  <c r="Q54" i="24"/>
  <c r="R54" i="24" s="1"/>
  <c r="Q51" i="24"/>
  <c r="R51" i="24" s="1"/>
  <c r="Q48" i="24"/>
  <c r="R48" i="24" s="1"/>
  <c r="P45" i="24"/>
  <c r="O45" i="24"/>
  <c r="N45" i="24"/>
  <c r="M45" i="24"/>
  <c r="L45" i="24"/>
  <c r="K45" i="24"/>
  <c r="J45" i="24"/>
  <c r="I45" i="24"/>
  <c r="H45" i="24"/>
  <c r="G45" i="24"/>
  <c r="F45" i="24"/>
  <c r="E45" i="24"/>
  <c r="D45" i="24"/>
  <c r="Q42" i="24"/>
  <c r="R42" i="24" s="1"/>
  <c r="Q39" i="24"/>
  <c r="R39" i="24" s="1"/>
  <c r="P36" i="24"/>
  <c r="O36" i="24"/>
  <c r="N36" i="24"/>
  <c r="M36" i="24"/>
  <c r="L36" i="24"/>
  <c r="K36" i="24"/>
  <c r="J36" i="24"/>
  <c r="I36" i="24"/>
  <c r="H36" i="24"/>
  <c r="G36" i="24"/>
  <c r="F36" i="24"/>
  <c r="E36" i="24"/>
  <c r="D36" i="24"/>
  <c r="Q33" i="24"/>
  <c r="R33" i="24" s="1"/>
  <c r="Q30" i="24"/>
  <c r="R30" i="24" s="1"/>
  <c r="Q27" i="24"/>
  <c r="R27" i="24" s="1"/>
  <c r="Q21" i="24"/>
  <c r="R21" i="24" s="1"/>
  <c r="Q18" i="24"/>
  <c r="R18" i="24" s="1"/>
  <c r="Q15" i="24"/>
  <c r="R15" i="24" s="1"/>
  <c r="Q12" i="24"/>
  <c r="R12" i="24" s="1"/>
  <c r="Q9" i="24"/>
  <c r="R9" i="24" s="1"/>
  <c r="Q6" i="24"/>
  <c r="R6" i="24" s="1"/>
  <c r="H78" i="25"/>
  <c r="G78" i="25"/>
  <c r="F78" i="25"/>
  <c r="E78" i="25"/>
  <c r="D78" i="25"/>
  <c r="H75" i="25"/>
  <c r="G75" i="25"/>
  <c r="F75" i="25"/>
  <c r="E75" i="25"/>
  <c r="D75" i="25"/>
  <c r="I69" i="25"/>
  <c r="I66" i="25"/>
  <c r="I63" i="25"/>
  <c r="I57" i="25"/>
  <c r="I54" i="25"/>
  <c r="I51" i="25"/>
  <c r="I48" i="25"/>
  <c r="H45" i="25"/>
  <c r="G45" i="25"/>
  <c r="F45" i="25"/>
  <c r="E45" i="25"/>
  <c r="D45" i="25"/>
  <c r="I42" i="25"/>
  <c r="I39" i="25"/>
  <c r="H36" i="25"/>
  <c r="G36" i="25"/>
  <c r="F36" i="25"/>
  <c r="E36" i="25"/>
  <c r="D36" i="25"/>
  <c r="I33" i="25"/>
  <c r="I30" i="25"/>
  <c r="I24" i="25"/>
  <c r="I27" i="25"/>
  <c r="I21" i="25"/>
  <c r="I18" i="25"/>
  <c r="I15" i="25"/>
  <c r="I12" i="25"/>
  <c r="I9" i="25"/>
  <c r="I6" i="25"/>
  <c r="C161" i="27"/>
  <c r="C151" i="27"/>
  <c r="C140" i="27"/>
  <c r="C133" i="27"/>
  <c r="C130" i="27"/>
  <c r="C123" i="27"/>
  <c r="C118" i="27"/>
  <c r="C111" i="27"/>
  <c r="C100" i="27"/>
  <c r="C97" i="27"/>
  <c r="C93" i="27"/>
  <c r="C83" i="27"/>
  <c r="C78" i="27"/>
  <c r="C69" i="27"/>
  <c r="C27" i="27"/>
  <c r="C6" i="27"/>
  <c r="C98" i="10"/>
  <c r="C89" i="10"/>
  <c r="C78" i="10"/>
  <c r="C69" i="10"/>
  <c r="C65" i="10"/>
  <c r="C58" i="10"/>
  <c r="C50" i="10"/>
  <c r="C47" i="10"/>
  <c r="C43" i="10"/>
  <c r="C39" i="10"/>
  <c r="C34" i="10"/>
  <c r="H20" i="4" s="1"/>
  <c r="C10" i="10"/>
  <c r="C6" i="10"/>
  <c r="C18" i="11"/>
  <c r="C14" i="11"/>
  <c r="C81" i="12"/>
  <c r="C70" i="12"/>
  <c r="C73" i="12" s="1"/>
  <c r="E22" i="4" s="1"/>
  <c r="C63" i="12"/>
  <c r="C68" i="12" s="1"/>
  <c r="C56" i="12"/>
  <c r="C59" i="12" s="1"/>
  <c r="E13" i="4" s="1"/>
  <c r="N13" i="4" s="1"/>
  <c r="C47" i="12"/>
  <c r="C12" i="12" s="1"/>
  <c r="C6" i="12"/>
  <c r="C86" i="13"/>
  <c r="C82" i="13"/>
  <c r="C78" i="13"/>
  <c r="C68" i="13"/>
  <c r="C66" i="13" s="1"/>
  <c r="C53" i="13"/>
  <c r="C40" i="3" s="1"/>
  <c r="C44" i="13"/>
  <c r="C41" i="3" s="1"/>
  <c r="L41" i="3" s="1"/>
  <c r="C37" i="13"/>
  <c r="C29" i="13"/>
  <c r="C33" i="13" s="1"/>
  <c r="C37" i="3" s="1"/>
  <c r="C21" i="13"/>
  <c r="C38" i="3" s="1"/>
  <c r="L38" i="3" s="1"/>
  <c r="C7" i="13"/>
  <c r="C40" i="14"/>
  <c r="C27" i="14"/>
  <c r="C13" i="14"/>
  <c r="C8" i="14"/>
  <c r="L38" i="15"/>
  <c r="L37" i="15"/>
  <c r="L36" i="15"/>
  <c r="L35" i="15"/>
  <c r="L34" i="15"/>
  <c r="L33" i="15"/>
  <c r="L32" i="15"/>
  <c r="L31" i="15"/>
  <c r="L30" i="15"/>
  <c r="L29" i="15"/>
  <c r="L28" i="15"/>
  <c r="L27" i="15"/>
  <c r="L26" i="15"/>
  <c r="L25" i="15"/>
  <c r="L24" i="15"/>
  <c r="L23" i="15"/>
  <c r="L22" i="15"/>
  <c r="L20" i="15"/>
  <c r="L19" i="15"/>
  <c r="L17" i="15"/>
  <c r="L16" i="15"/>
  <c r="L14" i="15"/>
  <c r="L13" i="15"/>
  <c r="L11" i="15"/>
  <c r="L10" i="15"/>
  <c r="L8" i="15"/>
  <c r="L7" i="15"/>
  <c r="L6" i="15"/>
  <c r="G9" i="15"/>
  <c r="D12" i="15"/>
  <c r="E9" i="15"/>
  <c r="C12" i="2" l="1"/>
  <c r="E12" i="15"/>
  <c r="C4" i="27"/>
  <c r="C166" i="27" s="1"/>
  <c r="C67" i="27"/>
  <c r="H19" i="4" s="1"/>
  <c r="F60" i="25"/>
  <c r="F72" i="25" s="1"/>
  <c r="G75" i="24"/>
  <c r="K75" i="24"/>
  <c r="O75" i="24"/>
  <c r="H60" i="25"/>
  <c r="H72" i="25" s="1"/>
  <c r="C52" i="2"/>
  <c r="C14" i="14"/>
  <c r="C20" i="14" s="1"/>
  <c r="C32" i="14" s="1"/>
  <c r="C10" i="3"/>
  <c r="C8" i="3"/>
  <c r="C4" i="10"/>
  <c r="E20" i="4" s="1"/>
  <c r="C81" i="27"/>
  <c r="K19" i="4" s="1"/>
  <c r="E60" i="25"/>
  <c r="E72" i="25" s="1"/>
  <c r="C18" i="2"/>
  <c r="C54" i="12"/>
  <c r="E14" i="4" s="1"/>
  <c r="N14" i="4" s="1"/>
  <c r="G60" i="25"/>
  <c r="G72" i="25" s="1"/>
  <c r="I75" i="25"/>
  <c r="H75" i="24"/>
  <c r="L75" i="24"/>
  <c r="P75" i="24"/>
  <c r="I75" i="24"/>
  <c r="C71" i="13"/>
  <c r="F40" i="3"/>
  <c r="F39" i="3" s="1"/>
  <c r="C51" i="13"/>
  <c r="C12" i="3"/>
  <c r="C37" i="1"/>
  <c r="C33" i="2"/>
  <c r="C75" i="12"/>
  <c r="E23" i="4"/>
  <c r="N23" i="4" s="1"/>
  <c r="I78" i="25"/>
  <c r="I60" i="24"/>
  <c r="I72" i="24" s="1"/>
  <c r="G12" i="15"/>
  <c r="C27" i="13"/>
  <c r="C35" i="13" s="1"/>
  <c r="C39" i="3"/>
  <c r="C73" i="13"/>
  <c r="C37" i="10"/>
  <c r="K20" i="4" s="1"/>
  <c r="I45" i="25"/>
  <c r="F75" i="24"/>
  <c r="J75" i="24"/>
  <c r="N75" i="24"/>
  <c r="R78" i="24"/>
  <c r="C11" i="2"/>
  <c r="G16" i="1"/>
  <c r="G16" i="2"/>
  <c r="C41" i="1"/>
  <c r="C60" i="2"/>
  <c r="C20" i="11"/>
  <c r="E9" i="4" s="1"/>
  <c r="N9" i="4" s="1"/>
  <c r="E60" i="24"/>
  <c r="E72" i="24" s="1"/>
  <c r="M60" i="24"/>
  <c r="M72" i="24" s="1"/>
  <c r="M75" i="24"/>
  <c r="L37" i="3"/>
  <c r="C36" i="3"/>
  <c r="L36" i="3" s="1"/>
  <c r="C58" i="13"/>
  <c r="C84" i="12"/>
  <c r="H22" i="4"/>
  <c r="H21" i="4" s="1"/>
  <c r="H27" i="4" s="1"/>
  <c r="H33" i="4" s="1"/>
  <c r="I36" i="25"/>
  <c r="D60" i="25"/>
  <c r="E75" i="24"/>
  <c r="C14" i="1"/>
  <c r="F60" i="24"/>
  <c r="F72" i="24" s="1"/>
  <c r="J60" i="24"/>
  <c r="J72" i="24" s="1"/>
  <c r="N60" i="24"/>
  <c r="N72" i="24" s="1"/>
  <c r="G60" i="24"/>
  <c r="G72" i="24" s="1"/>
  <c r="K60" i="24"/>
  <c r="K72" i="24" s="1"/>
  <c r="O60" i="24"/>
  <c r="O72" i="24" s="1"/>
  <c r="Q78" i="24"/>
  <c r="R36" i="24"/>
  <c r="R45" i="24"/>
  <c r="D60" i="24"/>
  <c r="H60" i="24"/>
  <c r="H72" i="24" s="1"/>
  <c r="L60" i="24"/>
  <c r="L72" i="24" s="1"/>
  <c r="P60" i="24"/>
  <c r="P72" i="24" s="1"/>
  <c r="D75" i="24"/>
  <c r="Q45" i="24"/>
  <c r="Q36" i="24"/>
  <c r="C19" i="22"/>
  <c r="C43" i="3" s="1"/>
  <c r="P26" i="16"/>
  <c r="P25" i="16"/>
  <c r="P24" i="16"/>
  <c r="P23" i="16"/>
  <c r="P22" i="16"/>
  <c r="P21" i="16"/>
  <c r="P18" i="16"/>
  <c r="P16" i="16"/>
  <c r="P15" i="16"/>
  <c r="P14" i="16"/>
  <c r="P13" i="16"/>
  <c r="P12" i="16"/>
  <c r="P11" i="16"/>
  <c r="P10" i="16"/>
  <c r="P9" i="16"/>
  <c r="P8" i="16"/>
  <c r="P7" i="16"/>
  <c r="P6" i="16"/>
  <c r="M28" i="16"/>
  <c r="J28" i="16"/>
  <c r="G28" i="16"/>
  <c r="C28" i="16"/>
  <c r="C26" i="21"/>
  <c r="V20" i="21"/>
  <c r="V19" i="21"/>
  <c r="V18" i="21"/>
  <c r="V17" i="21"/>
  <c r="V16" i="21"/>
  <c r="V15" i="21"/>
  <c r="V14" i="21"/>
  <c r="V13" i="21"/>
  <c r="V12" i="21"/>
  <c r="V11" i="21"/>
  <c r="V10" i="21"/>
  <c r="V9" i="21"/>
  <c r="V8" i="21"/>
  <c r="V7" i="21"/>
  <c r="V6" i="21"/>
  <c r="P26" i="21"/>
  <c r="M26" i="21"/>
  <c r="J26" i="21"/>
  <c r="G26" i="21"/>
  <c r="E19" i="4" l="1"/>
  <c r="V26" i="21"/>
  <c r="N19" i="4"/>
  <c r="G23" i="1" s="1"/>
  <c r="C61" i="12"/>
  <c r="C77" i="12" s="1"/>
  <c r="L39" i="3"/>
  <c r="R75" i="24"/>
  <c r="N20" i="4"/>
  <c r="G54" i="2" s="1"/>
  <c r="P28" i="16"/>
  <c r="I60" i="25"/>
  <c r="D72" i="25"/>
  <c r="I72" i="25" s="1"/>
  <c r="N22" i="4"/>
  <c r="G29" i="1"/>
  <c r="G58" i="2"/>
  <c r="K27" i="4"/>
  <c r="K33" i="4" s="1"/>
  <c r="Q75" i="24"/>
  <c r="C91" i="13"/>
  <c r="C93" i="13" s="1"/>
  <c r="F10" i="3"/>
  <c r="G15" i="15"/>
  <c r="C11" i="3"/>
  <c r="L11" i="3" s="1"/>
  <c r="L12" i="3"/>
  <c r="L43" i="3"/>
  <c r="C48" i="3"/>
  <c r="L48" i="3" s="1"/>
  <c r="C101" i="10"/>
  <c r="C36" i="1"/>
  <c r="C35" i="1" s="1"/>
  <c r="C32" i="2"/>
  <c r="C31" i="2" s="1"/>
  <c r="G11" i="1"/>
  <c r="G11" i="2"/>
  <c r="L40" i="3"/>
  <c r="C60" i="13"/>
  <c r="C62" i="13" s="1"/>
  <c r="G17" i="1"/>
  <c r="G17" i="2"/>
  <c r="R60" i="24"/>
  <c r="D72" i="24"/>
  <c r="Q60" i="24"/>
  <c r="P9" i="23"/>
  <c r="M10" i="23"/>
  <c r="M14" i="23" s="1"/>
  <c r="Q9" i="23"/>
  <c r="J10" i="23"/>
  <c r="J14" i="23" s="1"/>
  <c r="G10" i="23"/>
  <c r="G14" i="23" s="1"/>
  <c r="H95" i="18"/>
  <c r="C7" i="3" s="1"/>
  <c r="H82" i="18"/>
  <c r="H75" i="18"/>
  <c r="H71" i="18"/>
  <c r="H66" i="18"/>
  <c r="H63" i="18"/>
  <c r="H44" i="18"/>
  <c r="H40" i="18"/>
  <c r="H35" i="18"/>
  <c r="H23" i="18"/>
  <c r="H18" i="18"/>
  <c r="H16" i="18"/>
  <c r="H14" i="18"/>
  <c r="H12" i="18"/>
  <c r="H9" i="18"/>
  <c r="C23" i="19"/>
  <c r="E26" i="4" s="1"/>
  <c r="C20" i="19"/>
  <c r="E25" i="4" s="1"/>
  <c r="N25" i="4" s="1"/>
  <c r="C14" i="19"/>
  <c r="E18" i="4" s="1"/>
  <c r="C10" i="19"/>
  <c r="E17" i="4" s="1"/>
  <c r="N17" i="4" s="1"/>
  <c r="C7" i="19"/>
  <c r="E16" i="4" s="1"/>
  <c r="N16" i="4" s="1"/>
  <c r="G25" i="1" l="1"/>
  <c r="G52" i="2"/>
  <c r="H45" i="18"/>
  <c r="P10" i="23"/>
  <c r="P14" i="23" s="1"/>
  <c r="E24" i="4"/>
  <c r="N26" i="4"/>
  <c r="L7" i="3"/>
  <c r="C50" i="2" s="1"/>
  <c r="C12" i="1"/>
  <c r="C11" i="1" s="1"/>
  <c r="C56" i="2"/>
  <c r="C40" i="1"/>
  <c r="C39" i="1" s="1"/>
  <c r="C59" i="2"/>
  <c r="C58" i="2" s="1"/>
  <c r="C47" i="1"/>
  <c r="C53" i="1" s="1"/>
  <c r="C68" i="2"/>
  <c r="C72" i="2" s="1"/>
  <c r="G20" i="1"/>
  <c r="G20" i="2"/>
  <c r="E15" i="4"/>
  <c r="N18" i="4"/>
  <c r="C5" i="19"/>
  <c r="C18" i="19"/>
  <c r="H19" i="18"/>
  <c r="H27" i="18" s="1"/>
  <c r="H29" i="18" s="1"/>
  <c r="G28" i="1"/>
  <c r="G57" i="2"/>
  <c r="F8" i="3"/>
  <c r="L10" i="3"/>
  <c r="G19" i="1"/>
  <c r="G19" i="2"/>
  <c r="G31" i="1"/>
  <c r="G60" i="2"/>
  <c r="H76" i="18"/>
  <c r="G18" i="15"/>
  <c r="R72" i="24"/>
  <c r="Q72" i="24"/>
  <c r="C26" i="19" l="1"/>
  <c r="G21" i="1"/>
  <c r="G21" i="2"/>
  <c r="G18" i="2" s="1"/>
  <c r="G13" i="2" s="1"/>
  <c r="G35" i="2" s="1"/>
  <c r="G44" i="2" s="1"/>
  <c r="H87" i="18"/>
  <c r="H89" i="18" s="1"/>
  <c r="H93" i="18" s="1"/>
  <c r="C9" i="1"/>
  <c r="C7" i="1" s="1"/>
  <c r="C9" i="2"/>
  <c r="C7" i="2" s="1"/>
  <c r="N15" i="4"/>
  <c r="E10" i="4"/>
  <c r="N10" i="4" s="1"/>
  <c r="C65" i="2"/>
  <c r="C74" i="2" s="1"/>
  <c r="G32" i="1"/>
  <c r="G61" i="2"/>
  <c r="G59" i="2" s="1"/>
  <c r="G56" i="2" s="1"/>
  <c r="G65" i="2" s="1"/>
  <c r="G74" i="2" s="1"/>
  <c r="G76" i="2" s="1"/>
  <c r="G21" i="15"/>
  <c r="G30" i="1"/>
  <c r="G27" i="1" s="1"/>
  <c r="F42" i="3"/>
  <c r="F49" i="3" s="1"/>
  <c r="L8" i="3"/>
  <c r="N24" i="4"/>
  <c r="E21" i="4"/>
  <c r="G18" i="1"/>
  <c r="G13" i="1" s="1"/>
  <c r="G190" i="5"/>
  <c r="H190" i="5"/>
  <c r="I190" i="5"/>
  <c r="J190" i="5"/>
  <c r="K190" i="5"/>
  <c r="L190" i="5"/>
  <c r="M190" i="5"/>
  <c r="N190" i="5"/>
  <c r="O190" i="5"/>
  <c r="P190" i="5"/>
  <c r="Q190" i="5"/>
  <c r="R190" i="5"/>
  <c r="S190" i="5"/>
  <c r="G188" i="5"/>
  <c r="H188" i="5"/>
  <c r="I188" i="5"/>
  <c r="J188" i="5"/>
  <c r="K188" i="5"/>
  <c r="L188" i="5"/>
  <c r="M188" i="5"/>
  <c r="N188" i="5"/>
  <c r="O188" i="5"/>
  <c r="P188" i="5"/>
  <c r="Q188" i="5"/>
  <c r="R188" i="5"/>
  <c r="S188" i="5"/>
  <c r="E190" i="5"/>
  <c r="E188" i="5"/>
  <c r="G187" i="5"/>
  <c r="H187" i="5"/>
  <c r="I187" i="5"/>
  <c r="J187" i="5"/>
  <c r="K187" i="5"/>
  <c r="L187" i="5"/>
  <c r="M187" i="5"/>
  <c r="N187" i="5"/>
  <c r="O187" i="5"/>
  <c r="P187" i="5"/>
  <c r="Q187" i="5"/>
  <c r="R187" i="5"/>
  <c r="S187" i="5"/>
  <c r="G185" i="5"/>
  <c r="H185" i="5"/>
  <c r="I185" i="5"/>
  <c r="J185" i="5"/>
  <c r="K185" i="5"/>
  <c r="L185" i="5"/>
  <c r="M185" i="5"/>
  <c r="N185" i="5"/>
  <c r="O185" i="5"/>
  <c r="P185" i="5"/>
  <c r="Q185" i="5"/>
  <c r="R185" i="5"/>
  <c r="S185" i="5"/>
  <c r="E185" i="5"/>
  <c r="G184" i="5"/>
  <c r="H184" i="5"/>
  <c r="I184" i="5"/>
  <c r="J184" i="5"/>
  <c r="K184" i="5"/>
  <c r="L184" i="5"/>
  <c r="M184" i="5"/>
  <c r="N184" i="5"/>
  <c r="O184" i="5"/>
  <c r="P184" i="5"/>
  <c r="Q184" i="5"/>
  <c r="R184" i="5"/>
  <c r="S184" i="5"/>
  <c r="G182" i="5"/>
  <c r="H182" i="5"/>
  <c r="I182" i="5"/>
  <c r="J182" i="5"/>
  <c r="K182" i="5"/>
  <c r="L182" i="5"/>
  <c r="M182" i="5"/>
  <c r="O182" i="5"/>
  <c r="P182" i="5"/>
  <c r="Q182" i="5"/>
  <c r="R182" i="5"/>
  <c r="S182" i="5"/>
  <c r="E184" i="5"/>
  <c r="E182" i="5"/>
  <c r="G181" i="5"/>
  <c r="H181" i="5"/>
  <c r="I181" i="5"/>
  <c r="J181" i="5"/>
  <c r="K181" i="5"/>
  <c r="L181" i="5"/>
  <c r="M181" i="5"/>
  <c r="N181" i="5"/>
  <c r="O181" i="5"/>
  <c r="P181" i="5"/>
  <c r="Q181" i="5"/>
  <c r="R181" i="5"/>
  <c r="S181" i="5"/>
  <c r="G179" i="5"/>
  <c r="H179" i="5"/>
  <c r="I179" i="5"/>
  <c r="J179" i="5"/>
  <c r="K179" i="5"/>
  <c r="L179" i="5"/>
  <c r="M179" i="5"/>
  <c r="O179" i="5"/>
  <c r="P179" i="5"/>
  <c r="Q179" i="5"/>
  <c r="R179" i="5"/>
  <c r="S179" i="5"/>
  <c r="E179" i="5"/>
  <c r="G43" i="1" l="1"/>
  <c r="G55" i="1" s="1"/>
  <c r="G58" i="1" s="1"/>
  <c r="E27" i="4"/>
  <c r="N21" i="4"/>
  <c r="H96" i="18"/>
  <c r="C6" i="3"/>
  <c r="L6" i="3" l="1"/>
  <c r="C5" i="2" s="1"/>
  <c r="C35" i="2" s="1"/>
  <c r="C44" i="2" s="1"/>
  <c r="C76" i="2" s="1"/>
  <c r="C5" i="3"/>
  <c r="E33" i="4"/>
  <c r="N33" i="4" s="1"/>
  <c r="N27" i="4"/>
  <c r="C108" i="18"/>
  <c r="L5" i="3" l="1"/>
  <c r="C5" i="1" s="1"/>
  <c r="C43" i="1" s="1"/>
  <c r="C42" i="3"/>
  <c r="G95" i="18"/>
  <c r="I95" i="18"/>
  <c r="D7" i="3" s="1"/>
  <c r="D34" i="10"/>
  <c r="C49" i="3" l="1"/>
  <c r="L49" i="3" s="1"/>
  <c r="L42" i="3"/>
  <c r="C55" i="1"/>
  <c r="C58" i="1" s="1"/>
  <c r="C45" i="1"/>
  <c r="D118" i="27" l="1"/>
  <c r="D93" i="27"/>
  <c r="B161" i="27" l="1"/>
  <c r="B151" i="27"/>
  <c r="D140" i="27"/>
  <c r="B140" i="27"/>
  <c r="D133" i="27"/>
  <c r="B133" i="27"/>
  <c r="D130" i="27"/>
  <c r="B130" i="27"/>
  <c r="B123" i="27"/>
  <c r="B118" i="27"/>
  <c r="B111" i="27"/>
  <c r="B100" i="27"/>
  <c r="D97" i="27"/>
  <c r="B97" i="27"/>
  <c r="B93" i="27"/>
  <c r="B83" i="27"/>
  <c r="D78" i="27"/>
  <c r="B78" i="27"/>
  <c r="D69" i="27"/>
  <c r="B69" i="27"/>
  <c r="B27" i="27"/>
  <c r="B6" i="27"/>
  <c r="D67" i="27" l="1"/>
  <c r="I19" i="4" s="1"/>
  <c r="D4" i="27"/>
  <c r="B67" i="27"/>
  <c r="B4" i="27"/>
  <c r="B81" i="27"/>
  <c r="D81" i="27"/>
  <c r="F19" i="4" l="1"/>
  <c r="D166" i="27"/>
  <c r="B166" i="27"/>
  <c r="C12" i="26" l="1"/>
  <c r="D12" i="26"/>
  <c r="E12" i="26"/>
  <c r="F12" i="26"/>
  <c r="G12" i="26"/>
  <c r="H12" i="26"/>
  <c r="I12" i="26"/>
  <c r="J12" i="26"/>
  <c r="K12" i="26"/>
  <c r="L12" i="26"/>
  <c r="B12" i="26"/>
  <c r="C10" i="26"/>
  <c r="D10" i="26"/>
  <c r="E10" i="26"/>
  <c r="F10" i="26"/>
  <c r="G10" i="26"/>
  <c r="H10" i="26"/>
  <c r="I10" i="26"/>
  <c r="J10" i="26"/>
  <c r="K10" i="26"/>
  <c r="L10" i="26"/>
  <c r="B10" i="26"/>
  <c r="D10" i="19" l="1"/>
  <c r="D14" i="19"/>
  <c r="H79" i="25" l="1"/>
  <c r="G79" i="25"/>
  <c r="F79" i="25"/>
  <c r="E79" i="25"/>
  <c r="D79" i="25"/>
  <c r="H76" i="25"/>
  <c r="G76" i="25"/>
  <c r="F76" i="25"/>
  <c r="E76" i="25"/>
  <c r="D76" i="25"/>
  <c r="H46" i="25"/>
  <c r="G46" i="25"/>
  <c r="F46" i="25"/>
  <c r="E46" i="25"/>
  <c r="D46" i="25"/>
  <c r="H37" i="25"/>
  <c r="G37" i="25"/>
  <c r="F37" i="25"/>
  <c r="E37" i="25"/>
  <c r="D37" i="25"/>
  <c r="G61" i="25" l="1"/>
  <c r="G73" i="25" s="1"/>
  <c r="I79" i="25"/>
  <c r="E61" i="25"/>
  <c r="E73" i="25" s="1"/>
  <c r="F61" i="25"/>
  <c r="F73" i="25" s="1"/>
  <c r="H61" i="25"/>
  <c r="H73" i="25" s="1"/>
  <c r="D61" i="25"/>
  <c r="D73" i="25" s="1"/>
  <c r="I37" i="25"/>
  <c r="I76" i="25"/>
  <c r="I46" i="25"/>
  <c r="P79" i="24"/>
  <c r="O79" i="24"/>
  <c r="N79" i="24"/>
  <c r="M79" i="24"/>
  <c r="L79" i="24"/>
  <c r="K79" i="24"/>
  <c r="J79" i="24"/>
  <c r="I79" i="24"/>
  <c r="H79" i="24"/>
  <c r="G79" i="24"/>
  <c r="F79" i="24"/>
  <c r="E79" i="24"/>
  <c r="D79" i="24"/>
  <c r="P46" i="24"/>
  <c r="O46" i="24"/>
  <c r="N46" i="24"/>
  <c r="M46" i="24"/>
  <c r="L46" i="24"/>
  <c r="K46" i="24"/>
  <c r="J46" i="24"/>
  <c r="I46" i="24"/>
  <c r="H46" i="24"/>
  <c r="G46" i="24"/>
  <c r="F46" i="24"/>
  <c r="E46" i="24"/>
  <c r="D46" i="24"/>
  <c r="P37" i="24"/>
  <c r="P76" i="24" s="1"/>
  <c r="O37" i="24"/>
  <c r="N37" i="24"/>
  <c r="M37" i="24"/>
  <c r="M76" i="24" s="1"/>
  <c r="L37" i="24"/>
  <c r="L76" i="24" s="1"/>
  <c r="K37" i="24"/>
  <c r="J37" i="24"/>
  <c r="I37" i="24"/>
  <c r="I76" i="24" s="1"/>
  <c r="H37" i="24"/>
  <c r="H76" i="24" s="1"/>
  <c r="G37" i="24"/>
  <c r="F37" i="24"/>
  <c r="E37" i="24"/>
  <c r="E76" i="24" s="1"/>
  <c r="D37" i="24"/>
  <c r="D61" i="24" s="1"/>
  <c r="G61" i="24" l="1"/>
  <c r="G73" i="24" s="1"/>
  <c r="K61" i="24"/>
  <c r="K73" i="24" s="1"/>
  <c r="O61" i="24"/>
  <c r="O73" i="24" s="1"/>
  <c r="H61" i="24"/>
  <c r="H73" i="24" s="1"/>
  <c r="I73" i="25"/>
  <c r="I61" i="25"/>
  <c r="L61" i="24"/>
  <c r="L73" i="24" s="1"/>
  <c r="P61" i="24"/>
  <c r="P73" i="24" s="1"/>
  <c r="F61" i="24"/>
  <c r="F73" i="24" s="1"/>
  <c r="J61" i="24"/>
  <c r="J73" i="24" s="1"/>
  <c r="N76" i="24"/>
  <c r="J76" i="24"/>
  <c r="E61" i="24"/>
  <c r="E73" i="24" s="1"/>
  <c r="I61" i="24"/>
  <c r="I73" i="24" s="1"/>
  <c r="M61" i="24"/>
  <c r="M73" i="24" s="1"/>
  <c r="D73" i="24"/>
  <c r="G76" i="24"/>
  <c r="K76" i="24"/>
  <c r="O76" i="24"/>
  <c r="F76" i="24"/>
  <c r="R37" i="24"/>
  <c r="N61" i="24"/>
  <c r="N73" i="24" s="1"/>
  <c r="D76" i="24"/>
  <c r="R46" i="24"/>
  <c r="R79" i="24"/>
  <c r="Q79" i="24"/>
  <c r="Q46" i="24"/>
  <c r="Q37" i="24"/>
  <c r="Q76" i="24" l="1"/>
  <c r="Q73" i="24"/>
  <c r="Q61" i="24"/>
  <c r="R73" i="24"/>
  <c r="R76" i="24"/>
  <c r="R61" i="24"/>
  <c r="G45" i="26" l="1"/>
  <c r="F45" i="26"/>
  <c r="G43" i="26"/>
  <c r="F43" i="26"/>
  <c r="L36" i="26"/>
  <c r="L45" i="26" s="1"/>
  <c r="K36" i="26"/>
  <c r="K45" i="26" s="1"/>
  <c r="J36" i="26"/>
  <c r="J45" i="26" s="1"/>
  <c r="I36" i="26"/>
  <c r="I45" i="26" s="1"/>
  <c r="H36" i="26"/>
  <c r="H45" i="26" s="1"/>
  <c r="E36" i="26"/>
  <c r="E45" i="26" s="1"/>
  <c r="D36" i="26"/>
  <c r="D45" i="26" s="1"/>
  <c r="C36" i="26"/>
  <c r="C45" i="26" s="1"/>
  <c r="B36" i="26"/>
  <c r="B45" i="26" s="1"/>
  <c r="L34" i="26"/>
  <c r="L43" i="26" s="1"/>
  <c r="K34" i="26"/>
  <c r="K43" i="26" s="1"/>
  <c r="J34" i="26"/>
  <c r="J43" i="26" s="1"/>
  <c r="I34" i="26"/>
  <c r="I43" i="26" s="1"/>
  <c r="H34" i="26"/>
  <c r="H43" i="26" s="1"/>
  <c r="E34" i="26"/>
  <c r="E43" i="26" s="1"/>
  <c r="D34" i="26"/>
  <c r="D43" i="26" s="1"/>
  <c r="C34" i="26"/>
  <c r="C43" i="26" s="1"/>
  <c r="B34" i="26"/>
  <c r="B43" i="26" s="1"/>
  <c r="L30" i="26"/>
  <c r="L33" i="26" s="1"/>
  <c r="K30" i="26"/>
  <c r="K33" i="26" s="1"/>
  <c r="K48" i="26" s="1"/>
  <c r="J30" i="26"/>
  <c r="J33" i="26" s="1"/>
  <c r="I30" i="26"/>
  <c r="I33" i="26" s="1"/>
  <c r="H30" i="26"/>
  <c r="H33" i="26" s="1"/>
  <c r="H48" i="26" s="1"/>
  <c r="G30" i="26"/>
  <c r="G33" i="26" s="1"/>
  <c r="G48" i="26" s="1"/>
  <c r="F30" i="26"/>
  <c r="F33" i="26" s="1"/>
  <c r="E30" i="26"/>
  <c r="E33" i="26" s="1"/>
  <c r="E48" i="26" s="1"/>
  <c r="D30" i="26"/>
  <c r="D33" i="26" s="1"/>
  <c r="D48" i="26" s="1"/>
  <c r="C30" i="26"/>
  <c r="C33" i="26" s="1"/>
  <c r="C48" i="26" s="1"/>
  <c r="B30" i="26"/>
  <c r="B33" i="26" s="1"/>
  <c r="B48" i="26" s="1"/>
  <c r="L28" i="26"/>
  <c r="L31" i="26" s="1"/>
  <c r="L46" i="26" s="1"/>
  <c r="K28" i="26"/>
  <c r="K31" i="26" s="1"/>
  <c r="K46" i="26" s="1"/>
  <c r="J28" i="26"/>
  <c r="J31" i="26" s="1"/>
  <c r="J46" i="26" s="1"/>
  <c r="I28" i="26"/>
  <c r="I31" i="26" s="1"/>
  <c r="I46" i="26" s="1"/>
  <c r="H28" i="26"/>
  <c r="H31" i="26" s="1"/>
  <c r="H46" i="26" s="1"/>
  <c r="G28" i="26"/>
  <c r="G31" i="26" s="1"/>
  <c r="G46" i="26" s="1"/>
  <c r="F28" i="26"/>
  <c r="F31" i="26" s="1"/>
  <c r="F46" i="26" s="1"/>
  <c r="E28" i="26"/>
  <c r="E31" i="26" s="1"/>
  <c r="D28" i="26"/>
  <c r="D31" i="26" s="1"/>
  <c r="C28" i="26"/>
  <c r="C31" i="26" s="1"/>
  <c r="C46" i="26" s="1"/>
  <c r="B28" i="26"/>
  <c r="B31" i="26" s="1"/>
  <c r="B46" i="26" s="1"/>
  <c r="L48" i="26" l="1"/>
  <c r="F48" i="26"/>
  <c r="D46" i="26"/>
  <c r="I48" i="26"/>
  <c r="E46" i="26"/>
  <c r="J48" i="26"/>
  <c r="H9" i="15"/>
  <c r="M9" i="15" s="1"/>
  <c r="L9" i="15" l="1"/>
  <c r="F175" i="5"/>
  <c r="F172" i="5"/>
  <c r="F169" i="5"/>
  <c r="F163" i="5"/>
  <c r="F166" i="5"/>
  <c r="F160" i="5"/>
  <c r="F157" i="5"/>
  <c r="F154" i="5"/>
  <c r="F148" i="5"/>
  <c r="F145" i="5"/>
  <c r="F142" i="5"/>
  <c r="F139" i="5"/>
  <c r="F136" i="5"/>
  <c r="F133" i="5"/>
  <c r="F130" i="5"/>
  <c r="F127" i="5"/>
  <c r="F124" i="5"/>
  <c r="F121" i="5"/>
  <c r="F118" i="5"/>
  <c r="F115" i="5"/>
  <c r="F112" i="5"/>
  <c r="F109" i="5"/>
  <c r="F106" i="5"/>
  <c r="F103" i="5"/>
  <c r="F100" i="5"/>
  <c r="F94" i="5"/>
  <c r="F91" i="5"/>
  <c r="F88" i="5"/>
  <c r="F85" i="5" l="1"/>
  <c r="F82" i="5"/>
  <c r="F73" i="5"/>
  <c r="Q24" i="24"/>
  <c r="R24" i="24" s="1"/>
  <c r="D19" i="22"/>
  <c r="F184" i="5" l="1"/>
  <c r="K26" i="20"/>
  <c r="Q77" i="24" l="1"/>
  <c r="P77" i="24"/>
  <c r="Q74" i="24"/>
  <c r="P74" i="24"/>
  <c r="Q71" i="24"/>
  <c r="R70" i="24"/>
  <c r="Q68" i="24"/>
  <c r="R68" i="24" s="1"/>
  <c r="R67" i="24"/>
  <c r="Q65" i="24"/>
  <c r="R65" i="24" s="1"/>
  <c r="R64" i="24"/>
  <c r="Q62" i="24"/>
  <c r="R62" i="24" s="1"/>
  <c r="Q59" i="24"/>
  <c r="R58" i="24"/>
  <c r="Q56" i="24"/>
  <c r="R56" i="24" s="1"/>
  <c r="R55" i="24"/>
  <c r="Q53" i="24"/>
  <c r="R53" i="24" s="1"/>
  <c r="R52" i="24"/>
  <c r="Q50" i="24"/>
  <c r="R50" i="24" s="1"/>
  <c r="R49" i="24"/>
  <c r="Q47" i="24"/>
  <c r="R47" i="24" s="1"/>
  <c r="Q44" i="24"/>
  <c r="P44" i="24"/>
  <c r="R43" i="24"/>
  <c r="Q41" i="24"/>
  <c r="R41" i="24" s="1"/>
  <c r="R40" i="24"/>
  <c r="Q38" i="24"/>
  <c r="R38" i="24" s="1"/>
  <c r="Q35" i="24"/>
  <c r="P35" i="24"/>
  <c r="R34" i="24"/>
  <c r="Q32" i="24"/>
  <c r="R32" i="24" s="1"/>
  <c r="R31" i="24"/>
  <c r="Q29" i="24"/>
  <c r="R29" i="24" s="1"/>
  <c r="R28" i="24"/>
  <c r="Q26" i="24"/>
  <c r="R26" i="24" s="1"/>
  <c r="R25" i="24"/>
  <c r="Q23" i="24"/>
  <c r="R23" i="24" s="1"/>
  <c r="R22" i="24"/>
  <c r="Q20" i="24"/>
  <c r="R20" i="24" s="1"/>
  <c r="R19" i="24"/>
  <c r="Q17" i="24"/>
  <c r="R17" i="24" s="1"/>
  <c r="R16" i="24"/>
  <c r="Q14" i="24"/>
  <c r="R14" i="24" s="1"/>
  <c r="R13" i="24"/>
  <c r="Q11" i="24"/>
  <c r="R11" i="24" s="1"/>
  <c r="R10" i="24"/>
  <c r="Q8" i="24"/>
  <c r="R8" i="24" s="1"/>
  <c r="Q5" i="24"/>
  <c r="R5" i="24" s="1"/>
  <c r="R74" i="24" l="1"/>
  <c r="R77" i="24"/>
  <c r="R44" i="24"/>
  <c r="P59" i="24"/>
  <c r="R59" i="24" s="1"/>
  <c r="R35" i="24"/>
  <c r="I77" i="25"/>
  <c r="I74" i="25"/>
  <c r="I71" i="25"/>
  <c r="I70" i="25"/>
  <c r="I68" i="25"/>
  <c r="I67" i="25"/>
  <c r="I65" i="25"/>
  <c r="I64" i="25"/>
  <c r="I62" i="25"/>
  <c r="I59" i="25"/>
  <c r="I58" i="25"/>
  <c r="I56" i="25"/>
  <c r="I55" i="25"/>
  <c r="I53" i="25"/>
  <c r="I52" i="25"/>
  <c r="I50" i="25"/>
  <c r="I49" i="25"/>
  <c r="I47" i="25"/>
  <c r="I44" i="25"/>
  <c r="I43" i="25"/>
  <c r="I41" i="25"/>
  <c r="I38" i="25"/>
  <c r="I35" i="25"/>
  <c r="I34" i="25"/>
  <c r="I32" i="25"/>
  <c r="I31" i="25"/>
  <c r="I29" i="25"/>
  <c r="I28" i="25"/>
  <c r="I26" i="25"/>
  <c r="I25" i="25"/>
  <c r="I23" i="25"/>
  <c r="I22" i="25"/>
  <c r="I20" i="25"/>
  <c r="I19" i="25"/>
  <c r="I17" i="25"/>
  <c r="I16" i="25"/>
  <c r="I14" i="25"/>
  <c r="I13" i="25"/>
  <c r="I11" i="25"/>
  <c r="I10" i="25"/>
  <c r="I8" i="25"/>
  <c r="I7" i="25"/>
  <c r="I5" i="25"/>
  <c r="P71" i="24" l="1"/>
  <c r="R71" i="24" s="1"/>
  <c r="L26" i="20"/>
  <c r="I26" i="20"/>
  <c r="F178" i="5"/>
  <c r="F187" i="5" s="1"/>
  <c r="F92" i="5"/>
  <c r="F181" i="5" l="1"/>
  <c r="F190" i="5"/>
  <c r="K13" i="15"/>
  <c r="K14" i="15"/>
  <c r="K16" i="15"/>
  <c r="K17" i="15"/>
  <c r="K19" i="15"/>
  <c r="K20" i="15"/>
  <c r="K22" i="15"/>
  <c r="K23" i="15"/>
  <c r="H12" i="15" l="1"/>
  <c r="D63" i="2"/>
  <c r="D62" i="2" s="1"/>
  <c r="M47" i="3"/>
  <c r="D51" i="1" s="1"/>
  <c r="D57" i="1" s="1"/>
  <c r="M46" i="3"/>
  <c r="M45" i="3"/>
  <c r="D49" i="1" s="1"/>
  <c r="M44" i="3"/>
  <c r="D48" i="1" s="1"/>
  <c r="M32" i="3"/>
  <c r="M31" i="3"/>
  <c r="D28" i="1" s="1"/>
  <c r="M29" i="3"/>
  <c r="D26" i="1" s="1"/>
  <c r="M25" i="3"/>
  <c r="D22" i="1" s="1"/>
  <c r="M23" i="3"/>
  <c r="M22" i="3"/>
  <c r="D18" i="1" s="1"/>
  <c r="M21" i="3"/>
  <c r="M20" i="3"/>
  <c r="M19" i="3"/>
  <c r="M18" i="3"/>
  <c r="M16" i="3"/>
  <c r="M15" i="3"/>
  <c r="M9" i="3"/>
  <c r="D8" i="1" s="1"/>
  <c r="M7" i="3"/>
  <c r="D50" i="2" s="1"/>
  <c r="J48" i="3"/>
  <c r="J39" i="3"/>
  <c r="J36" i="3"/>
  <c r="J33" i="3"/>
  <c r="J24" i="3"/>
  <c r="J17" i="3"/>
  <c r="J14" i="3"/>
  <c r="J11" i="3"/>
  <c r="J8" i="3"/>
  <c r="J5" i="3"/>
  <c r="G48" i="3"/>
  <c r="G36" i="3"/>
  <c r="G33" i="3"/>
  <c r="G24" i="3"/>
  <c r="G17" i="3"/>
  <c r="G14" i="3"/>
  <c r="G11" i="3"/>
  <c r="G5" i="3"/>
  <c r="M35" i="3"/>
  <c r="D33" i="1" s="1"/>
  <c r="M34" i="3"/>
  <c r="D32" i="1" s="1"/>
  <c r="M30" i="3"/>
  <c r="D27" i="1" s="1"/>
  <c r="M28" i="3"/>
  <c r="D25" i="1" s="1"/>
  <c r="M27" i="3"/>
  <c r="D24" i="1" s="1"/>
  <c r="M26" i="3"/>
  <c r="D23" i="1" s="1"/>
  <c r="D17" i="3"/>
  <c r="D14" i="3"/>
  <c r="O31" i="4"/>
  <c r="H51" i="1" s="1"/>
  <c r="H57" i="1" s="1"/>
  <c r="O30" i="4"/>
  <c r="H49" i="1" s="1"/>
  <c r="O29" i="4"/>
  <c r="O28" i="4"/>
  <c r="O12" i="4"/>
  <c r="H15" i="1" s="1"/>
  <c r="O11" i="4"/>
  <c r="H14" i="1" s="1"/>
  <c r="O8" i="4"/>
  <c r="H9" i="1" s="1"/>
  <c r="O7" i="4"/>
  <c r="H7" i="1" s="1"/>
  <c r="O6" i="4"/>
  <c r="H5" i="1" s="1"/>
  <c r="L32" i="4"/>
  <c r="L24" i="4"/>
  <c r="L21" i="4" s="1"/>
  <c r="L15" i="4"/>
  <c r="L10" i="4" s="1"/>
  <c r="I32" i="4"/>
  <c r="I24" i="4"/>
  <c r="I15" i="4"/>
  <c r="I10" i="4" s="1"/>
  <c r="F32" i="4"/>
  <c r="D98" i="10"/>
  <c r="D89" i="10"/>
  <c r="D65" i="10"/>
  <c r="D58" i="10"/>
  <c r="D50" i="10"/>
  <c r="D47" i="10"/>
  <c r="D43" i="10"/>
  <c r="I20" i="4"/>
  <c r="D10" i="10"/>
  <c r="D6" i="10"/>
  <c r="D18" i="11"/>
  <c r="D14" i="11"/>
  <c r="D81" i="12"/>
  <c r="D84" i="12" s="1"/>
  <c r="D70" i="12"/>
  <c r="D73" i="12" s="1"/>
  <c r="F22" i="4" s="1"/>
  <c r="D68" i="12"/>
  <c r="D56" i="12"/>
  <c r="D59" i="12" s="1"/>
  <c r="F13" i="4" s="1"/>
  <c r="O13" i="4" s="1"/>
  <c r="H16" i="1" s="1"/>
  <c r="D66" i="13"/>
  <c r="D58" i="13"/>
  <c r="D41" i="3"/>
  <c r="M41" i="3" s="1"/>
  <c r="D41" i="1" s="1"/>
  <c r="D12" i="3"/>
  <c r="D33" i="13"/>
  <c r="D37" i="3" s="1"/>
  <c r="M37" i="3" s="1"/>
  <c r="D36" i="1" s="1"/>
  <c r="D38" i="3"/>
  <c r="D40" i="14"/>
  <c r="D27" i="14"/>
  <c r="D13" i="14"/>
  <c r="D8" i="14"/>
  <c r="D43" i="3"/>
  <c r="Q26" i="16"/>
  <c r="Q25" i="16"/>
  <c r="Q24" i="16"/>
  <c r="Q23" i="16"/>
  <c r="Q22" i="16"/>
  <c r="Q21" i="16"/>
  <c r="Q18" i="16"/>
  <c r="Q16" i="16"/>
  <c r="Q15" i="16"/>
  <c r="Q14" i="16"/>
  <c r="Q13" i="16"/>
  <c r="Q12" i="16"/>
  <c r="Q11" i="16"/>
  <c r="Q10" i="16"/>
  <c r="Q9" i="16"/>
  <c r="Q8" i="16"/>
  <c r="Q7" i="16"/>
  <c r="Q6" i="16"/>
  <c r="N28" i="16"/>
  <c r="L28" i="16"/>
  <c r="K28" i="16"/>
  <c r="H28" i="16"/>
  <c r="D28" i="16"/>
  <c r="D70" i="2" s="1"/>
  <c r="D69" i="2" s="1"/>
  <c r="Q26" i="21"/>
  <c r="N26" i="21"/>
  <c r="K26" i="21"/>
  <c r="H26" i="21"/>
  <c r="D26" i="21"/>
  <c r="N10" i="23"/>
  <c r="N14" i="23" s="1"/>
  <c r="K10" i="23"/>
  <c r="K14" i="23" s="1"/>
  <c r="H10" i="23"/>
  <c r="H14" i="23" s="1"/>
  <c r="D10" i="23"/>
  <c r="I75" i="18"/>
  <c r="I44" i="18"/>
  <c r="I40" i="18"/>
  <c r="I23" i="18"/>
  <c r="I18" i="18"/>
  <c r="I16" i="18"/>
  <c r="I14" i="18"/>
  <c r="I12" i="18"/>
  <c r="D23" i="19"/>
  <c r="F26" i="4" s="1"/>
  <c r="O26" i="4" s="1"/>
  <c r="H32" i="1" s="1"/>
  <c r="D20" i="19"/>
  <c r="F18" i="4"/>
  <c r="O18" i="4" s="1"/>
  <c r="F17" i="4"/>
  <c r="O17" i="4" s="1"/>
  <c r="H20" i="1" s="1"/>
  <c r="D7" i="19"/>
  <c r="F16" i="4" s="1"/>
  <c r="O16" i="4" s="1"/>
  <c r="D31" i="1" l="1"/>
  <c r="L12" i="15"/>
  <c r="M12" i="15"/>
  <c r="D14" i="23"/>
  <c r="D16" i="2"/>
  <c r="D19" i="1"/>
  <c r="D26" i="2"/>
  <c r="D29" i="1"/>
  <c r="D21" i="1" s="1"/>
  <c r="H21" i="2"/>
  <c r="H21" i="1"/>
  <c r="H68" i="2"/>
  <c r="H72" i="2" s="1"/>
  <c r="H47" i="1"/>
  <c r="H38" i="2"/>
  <c r="H48" i="1"/>
  <c r="D14" i="2"/>
  <c r="D17" i="1"/>
  <c r="H19" i="2"/>
  <c r="H19" i="1"/>
  <c r="H18" i="1" s="1"/>
  <c r="D50" i="1"/>
  <c r="D75" i="12"/>
  <c r="H15" i="15"/>
  <c r="M15" i="15" s="1"/>
  <c r="G13" i="3"/>
  <c r="D14" i="14"/>
  <c r="D20" i="14" s="1"/>
  <c r="D32" i="14" s="1"/>
  <c r="D27" i="13"/>
  <c r="D35" i="13" s="1"/>
  <c r="H18" i="15"/>
  <c r="M18" i="15" s="1"/>
  <c r="D54" i="12"/>
  <c r="F14" i="4" s="1"/>
  <c r="O14" i="4" s="1"/>
  <c r="H17" i="1" s="1"/>
  <c r="H13" i="1" s="1"/>
  <c r="O32" i="4"/>
  <c r="M14" i="3"/>
  <c r="D15" i="1" s="1"/>
  <c r="D67" i="2"/>
  <c r="D13" i="3"/>
  <c r="D25" i="2"/>
  <c r="D15" i="2"/>
  <c r="H40" i="2"/>
  <c r="D37" i="10"/>
  <c r="D20" i="11"/>
  <c r="F9" i="4" s="1"/>
  <c r="O9" i="4" s="1"/>
  <c r="H11" i="1" s="1"/>
  <c r="D91" i="13"/>
  <c r="D40" i="3"/>
  <c r="D39" i="3" s="1"/>
  <c r="Q28" i="16"/>
  <c r="Q10" i="23"/>
  <c r="Q14" i="23" s="1"/>
  <c r="I45" i="18"/>
  <c r="D18" i="19"/>
  <c r="F25" i="4"/>
  <c r="F15" i="4"/>
  <c r="O15" i="4" s="1"/>
  <c r="H9" i="2"/>
  <c r="D36" i="3"/>
  <c r="M36" i="3" s="1"/>
  <c r="M38" i="3"/>
  <c r="D37" i="1" s="1"/>
  <c r="D35" i="1" s="1"/>
  <c r="D53" i="2"/>
  <c r="D71" i="13"/>
  <c r="G40" i="3"/>
  <c r="G39" i="3" s="1"/>
  <c r="D21" i="2"/>
  <c r="D54" i="2"/>
  <c r="D20" i="2"/>
  <c r="D48" i="3"/>
  <c r="M48" i="3" s="1"/>
  <c r="M43" i="3"/>
  <c r="D47" i="1" s="1"/>
  <c r="M12" i="3"/>
  <c r="D12" i="1" s="1"/>
  <c r="D11" i="1" s="1"/>
  <c r="D11" i="3"/>
  <c r="M11" i="3" s="1"/>
  <c r="D22" i="2"/>
  <c r="D32" i="2"/>
  <c r="D60" i="2"/>
  <c r="H16" i="2"/>
  <c r="D24" i="2"/>
  <c r="D51" i="13"/>
  <c r="D60" i="13" s="1"/>
  <c r="I22" i="4"/>
  <c r="O22" i="4" s="1"/>
  <c r="H28" i="1" s="1"/>
  <c r="J13" i="3"/>
  <c r="J42" i="3" s="1"/>
  <c r="J49" i="3" s="1"/>
  <c r="D19" i="2"/>
  <c r="D23" i="2"/>
  <c r="M17" i="3"/>
  <c r="D16" i="1" s="1"/>
  <c r="H20" i="2"/>
  <c r="D5" i="19"/>
  <c r="D4" i="10"/>
  <c r="F20" i="4" s="1"/>
  <c r="D33" i="3"/>
  <c r="M33" i="3" s="1"/>
  <c r="D8" i="2"/>
  <c r="D38" i="2"/>
  <c r="H5" i="2"/>
  <c r="H14" i="2"/>
  <c r="H61" i="2"/>
  <c r="I19" i="18"/>
  <c r="I27" i="18" s="1"/>
  <c r="I29" i="18" s="1"/>
  <c r="F23" i="4"/>
  <c r="O23" i="4" s="1"/>
  <c r="H29" i="1" s="1"/>
  <c r="M24" i="3"/>
  <c r="D40" i="2"/>
  <c r="H7" i="2"/>
  <c r="H15" i="2"/>
  <c r="B26" i="21"/>
  <c r="B37" i="2" s="1"/>
  <c r="H53" i="1" l="1"/>
  <c r="D53" i="1"/>
  <c r="H18" i="2"/>
  <c r="L18" i="15"/>
  <c r="D14" i="1"/>
  <c r="L15" i="15"/>
  <c r="D12" i="2"/>
  <c r="M13" i="3"/>
  <c r="H21" i="15"/>
  <c r="M21" i="15" s="1"/>
  <c r="H42" i="2"/>
  <c r="O19" i="4"/>
  <c r="L27" i="4"/>
  <c r="L33" i="4" s="1"/>
  <c r="H11" i="2"/>
  <c r="O20" i="4"/>
  <c r="D101" i="10"/>
  <c r="G10" i="3"/>
  <c r="G8" i="3" s="1"/>
  <c r="G42" i="3" s="1"/>
  <c r="G49" i="3" s="1"/>
  <c r="D93" i="13"/>
  <c r="D62" i="13"/>
  <c r="M39" i="3"/>
  <c r="M40" i="3"/>
  <c r="D40" i="1" s="1"/>
  <c r="D39" i="1" s="1"/>
  <c r="D26" i="19"/>
  <c r="F24" i="4"/>
  <c r="O24" i="4" s="1"/>
  <c r="O25" i="4"/>
  <c r="H31" i="1" s="1"/>
  <c r="H30" i="1" s="1"/>
  <c r="H27" i="1" s="1"/>
  <c r="I21" i="4"/>
  <c r="I27" i="4" s="1"/>
  <c r="I33" i="4" s="1"/>
  <c r="D52" i="2"/>
  <c r="D18" i="2"/>
  <c r="H57" i="2"/>
  <c r="H17" i="2"/>
  <c r="H13" i="2" s="1"/>
  <c r="D56" i="2"/>
  <c r="D61" i="12"/>
  <c r="D77" i="12" s="1"/>
  <c r="D42" i="2"/>
  <c r="D13" i="2"/>
  <c r="D68" i="2"/>
  <c r="D72" i="2" s="1"/>
  <c r="D33" i="2"/>
  <c r="D31" i="2" s="1"/>
  <c r="F10" i="4"/>
  <c r="O10" i="4" s="1"/>
  <c r="H58" i="2"/>
  <c r="O9" i="23"/>
  <c r="D11" i="2" l="1"/>
  <c r="H54" i="2"/>
  <c r="H25" i="1"/>
  <c r="H52" i="2"/>
  <c r="H23" i="1"/>
  <c r="L21" i="15"/>
  <c r="D59" i="2"/>
  <c r="D58" i="2" s="1"/>
  <c r="F21" i="4"/>
  <c r="O21" i="4" s="1"/>
  <c r="H35" i="2"/>
  <c r="H44" i="2" s="1"/>
  <c r="M10" i="3"/>
  <c r="H60" i="2"/>
  <c r="H59" i="2" s="1"/>
  <c r="H56" i="2" s="1"/>
  <c r="M8" i="3"/>
  <c r="G82" i="18"/>
  <c r="G75" i="18"/>
  <c r="G71" i="18"/>
  <c r="G66" i="18"/>
  <c r="G44" i="18"/>
  <c r="G40" i="18"/>
  <c r="G35" i="18"/>
  <c r="G23" i="18"/>
  <c r="G18" i="18"/>
  <c r="G16" i="18"/>
  <c r="G14" i="18"/>
  <c r="G12" i="18"/>
  <c r="G9" i="18"/>
  <c r="H43" i="1" l="1"/>
  <c r="H55" i="1" s="1"/>
  <c r="H58" i="1" s="1"/>
  <c r="D9" i="2"/>
  <c r="D7" i="2" s="1"/>
  <c r="D9" i="1"/>
  <c r="D7" i="1" s="1"/>
  <c r="H65" i="2"/>
  <c r="H74" i="2" s="1"/>
  <c r="H76" i="2" s="1"/>
  <c r="D65" i="2"/>
  <c r="D74" i="2" s="1"/>
  <c r="G76" i="18"/>
  <c r="G45" i="18"/>
  <c r="G19" i="18"/>
  <c r="G27" i="18" s="1"/>
  <c r="G29" i="18" s="1"/>
  <c r="F27" i="4"/>
  <c r="F33" i="4" s="1"/>
  <c r="O33" i="4" s="1"/>
  <c r="B23" i="19"/>
  <c r="D26" i="4" s="1"/>
  <c r="B20" i="19"/>
  <c r="D25" i="4" s="1"/>
  <c r="B14" i="19"/>
  <c r="D18" i="4" s="1"/>
  <c r="B10" i="19"/>
  <c r="D17" i="4" s="1"/>
  <c r="B7" i="19"/>
  <c r="D16" i="4" s="1"/>
  <c r="G87" i="18" l="1"/>
  <c r="G89" i="18" s="1"/>
  <c r="B6" i="3" s="1"/>
  <c r="O27" i="4"/>
  <c r="B5" i="19"/>
  <c r="B18" i="19"/>
  <c r="F176" i="5"/>
  <c r="F173" i="5"/>
  <c r="F170" i="5"/>
  <c r="F167" i="5"/>
  <c r="F164" i="5"/>
  <c r="F161" i="5"/>
  <c r="F158" i="5"/>
  <c r="F155" i="5"/>
  <c r="F152" i="5"/>
  <c r="F149" i="5"/>
  <c r="F146" i="5"/>
  <c r="F143" i="5"/>
  <c r="F140" i="5"/>
  <c r="F137" i="5"/>
  <c r="F134" i="5"/>
  <c r="F131" i="5"/>
  <c r="F128" i="5"/>
  <c r="F125" i="5"/>
  <c r="F122" i="5"/>
  <c r="F119" i="5"/>
  <c r="F116" i="5"/>
  <c r="F113" i="5"/>
  <c r="F110" i="5"/>
  <c r="F107" i="5"/>
  <c r="F104" i="5"/>
  <c r="F101" i="5"/>
  <c r="F98" i="5"/>
  <c r="F95" i="5"/>
  <c r="F89" i="5"/>
  <c r="F86" i="5"/>
  <c r="F83" i="5"/>
  <c r="F80" i="5"/>
  <c r="F77" i="5"/>
  <c r="F74" i="5"/>
  <c r="F71" i="5"/>
  <c r="F68" i="5"/>
  <c r="F65" i="5"/>
  <c r="F62" i="5"/>
  <c r="F59" i="5"/>
  <c r="F56" i="5"/>
  <c r="F53" i="5"/>
  <c r="F50" i="5"/>
  <c r="F47" i="5"/>
  <c r="F44" i="5"/>
  <c r="F38" i="5"/>
  <c r="F35" i="5"/>
  <c r="F32" i="5"/>
  <c r="F26" i="5"/>
  <c r="F23" i="5"/>
  <c r="F20" i="5"/>
  <c r="F17" i="5"/>
  <c r="F14" i="5"/>
  <c r="F11" i="5"/>
  <c r="F8" i="5"/>
  <c r="F5" i="5"/>
  <c r="G93" i="18" l="1"/>
  <c r="G96" i="18" s="1"/>
  <c r="F188" i="5"/>
  <c r="F185" i="5"/>
  <c r="B26" i="19"/>
  <c r="F67" i="2"/>
  <c r="E26" i="3" l="1"/>
  <c r="B30" i="3"/>
  <c r="B26" i="3"/>
  <c r="B28" i="3"/>
  <c r="B34" i="3"/>
  <c r="B27" i="3"/>
  <c r="B25" i="3"/>
  <c r="B35" i="3"/>
  <c r="K44" i="3"/>
  <c r="J24" i="4"/>
  <c r="G24" i="4"/>
  <c r="B32" i="10"/>
  <c r="N41" i="5"/>
  <c r="F41" i="5" s="1"/>
  <c r="N29" i="5"/>
  <c r="B19" i="22"/>
  <c r="B43" i="3" s="1"/>
  <c r="B48" i="1" l="1"/>
  <c r="B38" i="2"/>
  <c r="F29" i="5"/>
  <c r="N182" i="5"/>
  <c r="N179" i="5"/>
  <c r="F7" i="18"/>
  <c r="F12" i="18"/>
  <c r="F14" i="18"/>
  <c r="F16" i="18"/>
  <c r="F18" i="18"/>
  <c r="F20" i="18"/>
  <c r="F23" i="18"/>
  <c r="F24" i="18"/>
  <c r="F31" i="18"/>
  <c r="F32" i="18"/>
  <c r="F33" i="18"/>
  <c r="F34" i="18"/>
  <c r="F37" i="18"/>
  <c r="F38" i="18"/>
  <c r="F42" i="18"/>
  <c r="F43" i="18"/>
  <c r="F48" i="18"/>
  <c r="F49" i="18"/>
  <c r="F50" i="18"/>
  <c r="F51" i="18"/>
  <c r="F52" i="18"/>
  <c r="F53" i="18"/>
  <c r="F54" i="18"/>
  <c r="F55" i="18"/>
  <c r="F56" i="18"/>
  <c r="F57" i="18"/>
  <c r="F58" i="18"/>
  <c r="F59" i="18"/>
  <c r="F64" i="18"/>
  <c r="F66" i="18" s="1"/>
  <c r="F68" i="18"/>
  <c r="F70" i="18"/>
  <c r="F72" i="18"/>
  <c r="F73" i="18"/>
  <c r="F79" i="18"/>
  <c r="F82" i="18" s="1"/>
  <c r="F84" i="18"/>
  <c r="F179" i="5" l="1"/>
  <c r="F182" i="5"/>
  <c r="F71" i="18"/>
  <c r="F44" i="18"/>
  <c r="F40" i="18"/>
  <c r="F63" i="18"/>
  <c r="F75" i="18"/>
  <c r="F19" i="18"/>
  <c r="F35" i="18"/>
  <c r="C17" i="18"/>
  <c r="C15" i="18"/>
  <c r="C13" i="18"/>
  <c r="C11" i="18"/>
  <c r="F45" i="18" l="1"/>
  <c r="F8" i="18"/>
  <c r="F9" i="18" s="1"/>
  <c r="F27" i="18" s="1"/>
  <c r="F29" i="18" s="1"/>
  <c r="F76" i="18"/>
  <c r="F87" i="18" l="1"/>
  <c r="F89" i="18" s="1"/>
  <c r="C26" i="18"/>
  <c r="B89" i="10" l="1"/>
  <c r="B98" i="10"/>
  <c r="B78" i="10"/>
  <c r="B69" i="10"/>
  <c r="B65" i="10"/>
  <c r="B58" i="10"/>
  <c r="B50" i="10"/>
  <c r="B47" i="10"/>
  <c r="B43" i="10"/>
  <c r="B39" i="10"/>
  <c r="B37" i="10" l="1"/>
  <c r="I10" i="23"/>
  <c r="I14" i="23" s="1"/>
  <c r="O25" i="16"/>
  <c r="O24" i="16"/>
  <c r="O26" i="16"/>
  <c r="O23" i="16"/>
  <c r="O22" i="16"/>
  <c r="O21" i="16"/>
  <c r="O18" i="16"/>
  <c r="O16" i="16"/>
  <c r="O15" i="16"/>
  <c r="O14" i="16"/>
  <c r="O13" i="16"/>
  <c r="O12" i="16"/>
  <c r="O11" i="16"/>
  <c r="O10" i="16"/>
  <c r="O9" i="16"/>
  <c r="O8" i="16"/>
  <c r="O7" i="16"/>
  <c r="O6" i="16"/>
  <c r="I28" i="16"/>
  <c r="U20" i="21"/>
  <c r="U19" i="21"/>
  <c r="U18" i="21"/>
  <c r="U17" i="21"/>
  <c r="U16" i="21"/>
  <c r="U15" i="21"/>
  <c r="U14" i="21"/>
  <c r="U13" i="21"/>
  <c r="U12" i="21"/>
  <c r="U11" i="21"/>
  <c r="U10" i="21"/>
  <c r="U9" i="21"/>
  <c r="U8" i="21"/>
  <c r="U7" i="21"/>
  <c r="U6" i="21"/>
  <c r="U26" i="21" l="1"/>
  <c r="M25" i="4"/>
  <c r="F31" i="1" s="1"/>
  <c r="F60" i="2" l="1"/>
  <c r="L10" i="23"/>
  <c r="L14" i="23" s="1"/>
  <c r="F10" i="23"/>
  <c r="F26" i="21"/>
  <c r="F28" i="16"/>
  <c r="O28" i="16" s="1"/>
  <c r="B28" i="16"/>
  <c r="O10" i="23" l="1"/>
  <c r="O14" i="23" s="1"/>
  <c r="F14" i="23"/>
  <c r="B53" i="13"/>
  <c r="B44" i="13"/>
  <c r="B37" i="13"/>
  <c r="B29" i="13"/>
  <c r="B21" i="13"/>
  <c r="B7" i="13"/>
  <c r="B63" i="12" l="1"/>
  <c r="B68" i="12" s="1"/>
  <c r="B56" i="12"/>
  <c r="B12" i="12"/>
  <c r="B14" i="11" l="1"/>
  <c r="B10" i="10"/>
  <c r="B6" i="10"/>
  <c r="B4" i="10" l="1"/>
  <c r="B34" i="10" l="1"/>
  <c r="B101" i="10" l="1"/>
  <c r="G20" i="4"/>
  <c r="B14" i="3" l="1"/>
  <c r="B17" i="3"/>
  <c r="I26" i="21" l="1"/>
  <c r="L26" i="21"/>
  <c r="O26" i="21"/>
  <c r="B8" i="14"/>
  <c r="B13" i="14"/>
  <c r="B27" i="14"/>
  <c r="B14" i="14" l="1"/>
  <c r="B20" i="14" s="1"/>
  <c r="B32" i="14" s="1"/>
  <c r="F22" i="20" l="1"/>
  <c r="F13" i="20"/>
  <c r="E21" i="20" l="1"/>
  <c r="H21" i="20" s="1"/>
  <c r="G26" i="20" l="1"/>
  <c r="E7" i="20" l="1"/>
  <c r="H7" i="20" s="1"/>
  <c r="E11" i="20" l="1"/>
  <c r="H11" i="20" s="1"/>
  <c r="E10" i="20"/>
  <c r="H10" i="20" s="1"/>
  <c r="E9" i="20"/>
  <c r="H9" i="20" s="1"/>
  <c r="E8" i="20"/>
  <c r="H8" i="20" s="1"/>
  <c r="E6" i="20"/>
  <c r="H6" i="20" s="1"/>
  <c r="E15" i="20"/>
  <c r="H15" i="20" s="1"/>
  <c r="E25" i="20"/>
  <c r="H25" i="20" s="1"/>
  <c r="E22" i="20"/>
  <c r="H22" i="20" s="1"/>
  <c r="E19" i="20"/>
  <c r="H19" i="20" s="1"/>
  <c r="E23" i="20"/>
  <c r="H23" i="20" s="1"/>
  <c r="E24" i="20"/>
  <c r="H24" i="20" s="1"/>
  <c r="E5" i="20"/>
  <c r="H5" i="20" s="1"/>
  <c r="E14" i="20"/>
  <c r="H14" i="20" s="1"/>
  <c r="E13" i="20"/>
  <c r="H13" i="20" s="1"/>
  <c r="E12" i="20"/>
  <c r="H12" i="20" s="1"/>
  <c r="E16" i="20"/>
  <c r="H16" i="20" s="1"/>
  <c r="E17" i="20"/>
  <c r="H17" i="20" s="1"/>
  <c r="E20" i="20"/>
  <c r="H20" i="20" s="1"/>
  <c r="E18" i="20"/>
  <c r="H18" i="20" s="1"/>
  <c r="H26" i="20" l="1"/>
  <c r="E26" i="20"/>
  <c r="B70" i="12" l="1"/>
  <c r="H33" i="3" l="1"/>
  <c r="E33" i="3"/>
  <c r="B33" i="3"/>
  <c r="K34" i="3"/>
  <c r="B32" i="1" s="1"/>
  <c r="H8" i="3"/>
  <c r="K9" i="3"/>
  <c r="B8" i="1" s="1"/>
  <c r="B8" i="2" l="1"/>
  <c r="B53" i="2"/>
  <c r="B63" i="2" l="1"/>
  <c r="B62" i="2" l="1"/>
  <c r="B28" i="2"/>
  <c r="K7" i="3"/>
  <c r="K47" i="3"/>
  <c r="B51" i="1" s="1"/>
  <c r="B57" i="1" s="1"/>
  <c r="K46" i="3"/>
  <c r="B50" i="1" s="1"/>
  <c r="K45" i="3"/>
  <c r="B49" i="1" s="1"/>
  <c r="K43" i="3"/>
  <c r="B47" i="1" s="1"/>
  <c r="K35" i="3"/>
  <c r="B33" i="1" s="1"/>
  <c r="B31" i="1" s="1"/>
  <c r="K32" i="3"/>
  <c r="B29" i="1" s="1"/>
  <c r="K31" i="3"/>
  <c r="B28" i="1" s="1"/>
  <c r="K30" i="3"/>
  <c r="B27" i="1" s="1"/>
  <c r="K29" i="3"/>
  <c r="B26" i="1" s="1"/>
  <c r="K28" i="3"/>
  <c r="B25" i="1" s="1"/>
  <c r="K27" i="3"/>
  <c r="B24" i="1" s="1"/>
  <c r="K26" i="3"/>
  <c r="B23" i="1" s="1"/>
  <c r="K25" i="3"/>
  <c r="B22" i="1" s="1"/>
  <c r="B21" i="1" s="1"/>
  <c r="K23" i="3"/>
  <c r="B19" i="1" s="1"/>
  <c r="K22" i="3"/>
  <c r="B18" i="1" s="1"/>
  <c r="K21" i="3"/>
  <c r="B17" i="1" s="1"/>
  <c r="K20" i="3"/>
  <c r="K19" i="3"/>
  <c r="K18" i="3"/>
  <c r="K16" i="3"/>
  <c r="K15" i="3"/>
  <c r="H48" i="3"/>
  <c r="E48" i="3"/>
  <c r="B48" i="3"/>
  <c r="H39" i="3"/>
  <c r="H36" i="3"/>
  <c r="E36" i="3"/>
  <c r="K33" i="3"/>
  <c r="H24" i="3"/>
  <c r="E24" i="3"/>
  <c r="B24" i="3"/>
  <c r="H17" i="3"/>
  <c r="E17" i="3"/>
  <c r="H14" i="3"/>
  <c r="E14" i="3"/>
  <c r="H11" i="3"/>
  <c r="E11" i="3"/>
  <c r="H5" i="3"/>
  <c r="E5" i="3"/>
  <c r="J21" i="4"/>
  <c r="J15" i="4"/>
  <c r="J10" i="4" s="1"/>
  <c r="G15" i="4"/>
  <c r="G10" i="4" s="1"/>
  <c r="J32" i="4"/>
  <c r="D32" i="4"/>
  <c r="M12" i="4"/>
  <c r="F15" i="1" s="1"/>
  <c r="M11" i="4"/>
  <c r="F14" i="1" s="1"/>
  <c r="M8" i="4"/>
  <c r="F9" i="1" s="1"/>
  <c r="M7" i="4"/>
  <c r="F7" i="1" s="1"/>
  <c r="M6" i="4"/>
  <c r="F5" i="1" s="1"/>
  <c r="B53" i="1" l="1"/>
  <c r="B68" i="2"/>
  <c r="B13" i="3"/>
  <c r="E13" i="3"/>
  <c r="H13" i="3"/>
  <c r="H42" i="3" s="1"/>
  <c r="H49" i="3" s="1"/>
  <c r="K17" i="3"/>
  <c r="B16" i="1" s="1"/>
  <c r="F9" i="2"/>
  <c r="F7" i="2"/>
  <c r="F5" i="2"/>
  <c r="B54" i="2"/>
  <c r="B52" i="2" s="1"/>
  <c r="B24" i="2"/>
  <c r="B16" i="2"/>
  <c r="B19" i="2"/>
  <c r="B23" i="2"/>
  <c r="B20" i="2"/>
  <c r="B40" i="2"/>
  <c r="B15" i="2"/>
  <c r="B22" i="2"/>
  <c r="B26" i="2"/>
  <c r="B14" i="2"/>
  <c r="B21" i="2"/>
  <c r="B25" i="2"/>
  <c r="B70" i="2"/>
  <c r="B69" i="2" s="1"/>
  <c r="F14" i="2"/>
  <c r="F15" i="2"/>
  <c r="K24" i="3"/>
  <c r="K48" i="3"/>
  <c r="K14" i="3"/>
  <c r="B15" i="1" s="1"/>
  <c r="J20" i="4"/>
  <c r="B18" i="11"/>
  <c r="B20" i="11" s="1"/>
  <c r="B81" i="12"/>
  <c r="B84" i="12" s="1"/>
  <c r="B59" i="12"/>
  <c r="D13" i="4" s="1"/>
  <c r="M13" i="4" s="1"/>
  <c r="F16" i="1" s="1"/>
  <c r="B6" i="12"/>
  <c r="B86" i="13"/>
  <c r="B82" i="13"/>
  <c r="B78" i="13"/>
  <c r="B68" i="13"/>
  <c r="B66" i="13" s="1"/>
  <c r="B71" i="13" s="1"/>
  <c r="B40" i="3"/>
  <c r="B41" i="3"/>
  <c r="K41" i="3" s="1"/>
  <c r="B12" i="3"/>
  <c r="B33" i="13"/>
  <c r="B37" i="3" s="1"/>
  <c r="B38" i="3"/>
  <c r="K38" i="3" s="1"/>
  <c r="B10" i="3"/>
  <c r="B40" i="14"/>
  <c r="K11" i="15"/>
  <c r="K10" i="15"/>
  <c r="K8" i="15"/>
  <c r="K7" i="15"/>
  <c r="K6" i="15"/>
  <c r="F9" i="15"/>
  <c r="F12" i="15" s="1"/>
  <c r="F15" i="15" s="1"/>
  <c r="C9" i="15"/>
  <c r="C12" i="15" s="1"/>
  <c r="B14" i="1" l="1"/>
  <c r="B60" i="2"/>
  <c r="B41" i="1"/>
  <c r="B33" i="2"/>
  <c r="B37" i="1"/>
  <c r="F18" i="15"/>
  <c r="K15" i="15"/>
  <c r="B73" i="13"/>
  <c r="J27" i="4"/>
  <c r="J33" i="4" s="1"/>
  <c r="D20" i="4"/>
  <c r="M20" i="4" s="1"/>
  <c r="F25" i="1" s="1"/>
  <c r="D9" i="4"/>
  <c r="M9" i="4" s="1"/>
  <c r="B13" i="2"/>
  <c r="K13" i="3"/>
  <c r="K12" i="15"/>
  <c r="E40" i="3"/>
  <c r="E39" i="3" s="1"/>
  <c r="G22" i="4"/>
  <c r="G21" i="4" s="1"/>
  <c r="D23" i="4"/>
  <c r="M23" i="4" s="1"/>
  <c r="F29" i="1" s="1"/>
  <c r="B58" i="13"/>
  <c r="B51" i="13"/>
  <c r="B39" i="3"/>
  <c r="B54" i="12"/>
  <c r="B61" i="12" s="1"/>
  <c r="F16" i="2"/>
  <c r="B27" i="13"/>
  <c r="B35" i="13" s="1"/>
  <c r="K12" i="3"/>
  <c r="B12" i="1" s="1"/>
  <c r="B11" i="1" s="1"/>
  <c r="B11" i="3"/>
  <c r="K11" i="3" s="1"/>
  <c r="B8" i="3"/>
  <c r="K37" i="3"/>
  <c r="B36" i="1" s="1"/>
  <c r="B35" i="1" s="1"/>
  <c r="B36" i="3"/>
  <c r="K36" i="3" s="1"/>
  <c r="K9" i="15"/>
  <c r="B12" i="2"/>
  <c r="B18" i="2"/>
  <c r="F11" i="2" l="1"/>
  <c r="F11" i="1"/>
  <c r="F21" i="15"/>
  <c r="K21" i="15" s="1"/>
  <c r="K18" i="15"/>
  <c r="M19" i="4"/>
  <c r="K39" i="3"/>
  <c r="K40" i="3"/>
  <c r="B11" i="2"/>
  <c r="B60" i="13"/>
  <c r="B62" i="13" s="1"/>
  <c r="D14" i="4"/>
  <c r="M14" i="4" s="1"/>
  <c r="B32" i="2"/>
  <c r="B31" i="2" s="1"/>
  <c r="F54" i="2"/>
  <c r="F58" i="2"/>
  <c r="B56" i="2"/>
  <c r="E10" i="3"/>
  <c r="B91" i="13"/>
  <c r="B93" i="13" s="1"/>
  <c r="G27" i="4"/>
  <c r="B59" i="2" l="1"/>
  <c r="B58" i="2" s="1"/>
  <c r="B65" i="2" s="1"/>
  <c r="B40" i="1"/>
  <c r="B39" i="1" s="1"/>
  <c r="F17" i="2"/>
  <c r="F17" i="1"/>
  <c r="F52" i="2"/>
  <c r="F23" i="1"/>
  <c r="B5" i="3"/>
  <c r="K5" i="3" s="1"/>
  <c r="B5" i="1" s="1"/>
  <c r="K6" i="3"/>
  <c r="E8" i="3"/>
  <c r="K10" i="3"/>
  <c r="B9" i="1" s="1"/>
  <c r="B7" i="1" s="1"/>
  <c r="M18" i="4"/>
  <c r="F21" i="1" s="1"/>
  <c r="M17" i="4"/>
  <c r="F20" i="1" s="1"/>
  <c r="F26" i="20"/>
  <c r="B43" i="1" l="1"/>
  <c r="B42" i="3"/>
  <c r="B49" i="3" s="1"/>
  <c r="F21" i="2"/>
  <c r="D24" i="4"/>
  <c r="E42" i="3"/>
  <c r="E49" i="3" s="1"/>
  <c r="K8" i="3"/>
  <c r="M16" i="4"/>
  <c r="F19" i="1" s="1"/>
  <c r="F18" i="1" s="1"/>
  <c r="F13" i="1" s="1"/>
  <c r="D15" i="4"/>
  <c r="F20" i="2"/>
  <c r="B9" i="2"/>
  <c r="B7" i="2" s="1"/>
  <c r="B5" i="2"/>
  <c r="M28" i="4"/>
  <c r="F47" i="1" s="1"/>
  <c r="M31" i="4"/>
  <c r="M29" i="4"/>
  <c r="F48" i="1" s="1"/>
  <c r="G32" i="4"/>
  <c r="M32" i="4" s="1"/>
  <c r="M30" i="4"/>
  <c r="F49" i="1" s="1"/>
  <c r="F39" i="2" l="1"/>
  <c r="B39" i="2" s="1"/>
  <c r="B67" i="2" s="1"/>
  <c r="B72" i="2" s="1"/>
  <c r="B74" i="2" s="1"/>
  <c r="F51" i="1"/>
  <c r="F57" i="1" s="1"/>
  <c r="B55" i="1"/>
  <c r="B58" i="1" s="1"/>
  <c r="K49" i="3"/>
  <c r="M26" i="4"/>
  <c r="F32" i="1" s="1"/>
  <c r="F30" i="1" s="1"/>
  <c r="B35" i="2"/>
  <c r="G33" i="4"/>
  <c r="D10" i="4"/>
  <c r="M15" i="4"/>
  <c r="F19" i="2"/>
  <c r="F18" i="2" s="1"/>
  <c r="F13" i="2" s="1"/>
  <c r="F35" i="2" s="1"/>
  <c r="K42" i="3"/>
  <c r="F68" i="2"/>
  <c r="F40" i="2"/>
  <c r="F38" i="2"/>
  <c r="B42" i="2" l="1"/>
  <c r="B44" i="2" s="1"/>
  <c r="B76" i="2" s="1"/>
  <c r="F53" i="1"/>
  <c r="F61" i="2"/>
  <c r="F59" i="2" s="1"/>
  <c r="F72" i="2"/>
  <c r="M10" i="4"/>
  <c r="M24" i="4"/>
  <c r="F42" i="2"/>
  <c r="F44" i="2" s="1"/>
  <c r="B73" i="12" l="1"/>
  <c r="D22" i="4" l="1"/>
  <c r="B75" i="12"/>
  <c r="B77" i="12" s="1"/>
  <c r="M22" i="4" l="1"/>
  <c r="F28" i="1" s="1"/>
  <c r="F27" i="1" s="1"/>
  <c r="F43" i="1" s="1"/>
  <c r="D21" i="4"/>
  <c r="F55" i="1" l="1"/>
  <c r="F58" i="1" s="1"/>
  <c r="B45" i="1"/>
  <c r="M21" i="4"/>
  <c r="D27" i="4"/>
  <c r="F57" i="2"/>
  <c r="F56" i="2" s="1"/>
  <c r="F65" i="2" s="1"/>
  <c r="F74" i="2" s="1"/>
  <c r="F76" i="2" s="1"/>
  <c r="M27" i="4" l="1"/>
  <c r="D33" i="4"/>
  <c r="M33" i="4" s="1"/>
  <c r="I76" i="18" l="1"/>
  <c r="I87" i="18" s="1"/>
  <c r="I89" i="18" s="1"/>
  <c r="I93" i="18" s="1"/>
  <c r="I96" i="18" s="1"/>
  <c r="D6" i="3" l="1"/>
  <c r="M6" i="3" s="1"/>
  <c r="D5" i="2" s="1"/>
  <c r="D35" i="2" s="1"/>
  <c r="D44" i="2" s="1"/>
  <c r="D76" i="2" s="1"/>
  <c r="D5" i="3" l="1"/>
  <c r="M5" i="3" s="1"/>
  <c r="D5" i="1" s="1"/>
  <c r="D43" i="1" s="1"/>
  <c r="D42" i="3" l="1"/>
  <c r="D49" i="3" s="1"/>
  <c r="M49" i="3" s="1"/>
  <c r="D55" i="1"/>
  <c r="D58" i="1" s="1"/>
  <c r="D45" i="1"/>
  <c r="M42" i="3" l="1"/>
  <c r="E187" i="5" l="1"/>
  <c r="E181" i="5"/>
</calcChain>
</file>

<file path=xl/sharedStrings.xml><?xml version="1.0" encoding="utf-8"?>
<sst xmlns="http://schemas.openxmlformats.org/spreadsheetml/2006/main" count="2257" uniqueCount="1059">
  <si>
    <t>Bevételi előirányzat</t>
  </si>
  <si>
    <t>Kiadási előirányzat</t>
  </si>
  <si>
    <t>Megnevezés</t>
  </si>
  <si>
    <t>Eredeti</t>
  </si>
  <si>
    <t xml:space="preserve">Eredeti </t>
  </si>
  <si>
    <t>Állami támogatás</t>
  </si>
  <si>
    <t>Személyi juttatások</t>
  </si>
  <si>
    <t>Működési célú támogatások (államháztartáson belülről)</t>
  </si>
  <si>
    <t>Vissza nem térítendő támogatások</t>
  </si>
  <si>
    <t>Munkaadókat terhelő járulékok és szociális hozzájárulási adó</t>
  </si>
  <si>
    <t>Felhalmozási célú támogatások államháztartáson belülről</t>
  </si>
  <si>
    <t>Közhatalmi bevételek</t>
  </si>
  <si>
    <t>Dologi kiadások</t>
  </si>
  <si>
    <t>Vagyoni típusú adók</t>
  </si>
  <si>
    <t>Ellátottak pénzbeli juttatásai</t>
  </si>
  <si>
    <t>Késedelmi pótlék</t>
  </si>
  <si>
    <t>Egyéb működési kiadások</t>
  </si>
  <si>
    <t>Elvonások és befizetések</t>
  </si>
  <si>
    <t>Előző évi elszámolásból származó kiadások</t>
  </si>
  <si>
    <t>Visszatérítendő támogatások és kölcsönök</t>
  </si>
  <si>
    <t>Működési bevételek</t>
  </si>
  <si>
    <t>Egyéb működési célú támogatások (vissza nem térítendő)</t>
  </si>
  <si>
    <t>Áru és készletértékesítés (a döntést követő 3 hónap utáni föld- és ingatlan értékesítés)</t>
  </si>
  <si>
    <t>Működési tartalékok</t>
  </si>
  <si>
    <t>Szolgáltatások ellenértéke</t>
  </si>
  <si>
    <t xml:space="preserve"> - Általános tartalék</t>
  </si>
  <si>
    <t>Közvetített szolgáltatások ellenértéke</t>
  </si>
  <si>
    <t xml:space="preserve"> - Működési tartalék</t>
  </si>
  <si>
    <t>Tulajdonosi bevételek</t>
  </si>
  <si>
    <t xml:space="preserve"> - Működési céltartalék </t>
  </si>
  <si>
    <t>Ellátási díjak</t>
  </si>
  <si>
    <t>ÁFA bevétel</t>
  </si>
  <si>
    <t>Beruházási kiadások</t>
  </si>
  <si>
    <t>Egyéb működési bevétel</t>
  </si>
  <si>
    <t>Felújítási kiadások</t>
  </si>
  <si>
    <t>Felhalmozási bevételek</t>
  </si>
  <si>
    <t>Ingatlanértékesítés</t>
  </si>
  <si>
    <t>Egyéb felhalmozási kiadások</t>
  </si>
  <si>
    <t>Működési célú átvett pénzeszközök (államháztartáson kívülről)</t>
  </si>
  <si>
    <t>Egyéb felhalmozási célú támogatások (vissza nem térítendő)</t>
  </si>
  <si>
    <t>Felhalmozási tartalékok</t>
  </si>
  <si>
    <t xml:space="preserve">Vissza nem térítendő támogatások </t>
  </si>
  <si>
    <t xml:space="preserve"> - Felhalmozási tartalék</t>
  </si>
  <si>
    <t>Felhalmozási célú átvett pénzeszközök (államháztartáson kívülről)</t>
  </si>
  <si>
    <t>Hiteltörlesztés</t>
  </si>
  <si>
    <t>Állami támogatás melelőlegezési hitelfelvétel</t>
  </si>
  <si>
    <t>Előző évi költségvetési maradványának igénybevétele</t>
  </si>
  <si>
    <t>Irányítószervi támogatás folyósítás</t>
  </si>
  <si>
    <t>Irányító szervi támogatás folyósítása</t>
  </si>
  <si>
    <t>BEVÉTELEK MINDÖSSZESEN</t>
  </si>
  <si>
    <t>KIADÁSOK MINDÖSSZESEN</t>
  </si>
  <si>
    <t>FINANSZÍROZÁSI BEVÉTELEK ÖSSZESEN</t>
  </si>
  <si>
    <t>KÖLTSÉGVETÉSI BEVÉTELEK ÖSSZESEN</t>
  </si>
  <si>
    <t>KÖLTSÉGVETÉSI KIADÁSOK ÖSSZESEN</t>
  </si>
  <si>
    <t>FINANSZÍROZÁSI KIADÁSOK ÖSSZESEN</t>
  </si>
  <si>
    <t>Felhalmozási kiadásokra átcsoportosított (-)</t>
  </si>
  <si>
    <t>Áru- és készletértékesítésből</t>
  </si>
  <si>
    <t>Irányítószervi támogatás</t>
  </si>
  <si>
    <t xml:space="preserve">Irányítószervi támogatás </t>
  </si>
  <si>
    <t>Finanszírozási kiadások</t>
  </si>
  <si>
    <t>Beruházás</t>
  </si>
  <si>
    <t>Felújítás</t>
  </si>
  <si>
    <t>Felhalmozási célú átvett pénzeszközök (államháztartáson belülről)</t>
  </si>
  <si>
    <t>Egyéb felhalmozási kiadás</t>
  </si>
  <si>
    <t>Vissza nem térítendő támogatás</t>
  </si>
  <si>
    <t>Mindösszesen</t>
  </si>
  <si>
    <t>Áru- és készletértékesítés (a döntést követő 3 hónap utáni föld- és ingatlan
értékesítés)</t>
  </si>
  <si>
    <t>Működési bevételekből átcsoportosított (+)</t>
  </si>
  <si>
    <t>Hiány finanszírozása belső forrásból</t>
  </si>
  <si>
    <t>Bevételek</t>
  </si>
  <si>
    <t>Önkormányzat</t>
  </si>
  <si>
    <t>Tatai Közös Önkormányzati Hivatal</t>
  </si>
  <si>
    <t>Összesen</t>
  </si>
  <si>
    <t xml:space="preserve"> - állami támogatás működésre</t>
  </si>
  <si>
    <t xml:space="preserve"> - állami támogatás felhalmozásra</t>
  </si>
  <si>
    <t>Működési célú támogatások államháztartáson belülről</t>
  </si>
  <si>
    <t>Közhatalmi bevétel</t>
  </si>
  <si>
    <t xml:space="preserve"> - Építményadó</t>
  </si>
  <si>
    <t xml:space="preserve"> - Telekadó</t>
  </si>
  <si>
    <t>Termékek és szolgáltatások adói</t>
  </si>
  <si>
    <t xml:space="preserve"> - Iparűzési adó</t>
  </si>
  <si>
    <t xml:space="preserve"> - Gépjárműadó</t>
  </si>
  <si>
    <t xml:space="preserve"> - Idegenforgalmi adó</t>
  </si>
  <si>
    <t>Szolgáltatások ellenértéke (temető fenntartási hozzájárulás, sírhelydíj, nevezési díj)</t>
  </si>
  <si>
    <t>Tulajdonosi bevételek (használatba adásból, üzemeltetésbe adásból származó bevételek, stb.)</t>
  </si>
  <si>
    <t>Visszatérítendő támogatások és kölcsönök (igénylés és visszatérülés)</t>
  </si>
  <si>
    <t>Állami támogatás megelőlegezési hitelfelvétel</t>
  </si>
  <si>
    <t>Intézmények Gazdasági Hivatala
és a hozzá tartozó Intézményei</t>
  </si>
  <si>
    <t>Talajterhelési díj</t>
  </si>
  <si>
    <t>Likvid hitelfelvétel</t>
  </si>
  <si>
    <t>Likvid hiteltörlesztés</t>
  </si>
  <si>
    <t>Kiadások</t>
  </si>
  <si>
    <t>Munkaadót terhelő járulékok és szociális hozzájárulási adó</t>
  </si>
  <si>
    <t xml:space="preserve"> - Működési tartalék </t>
  </si>
  <si>
    <t xml:space="preserve">Felhalmozási tartalékok </t>
  </si>
  <si>
    <t>MŰKÖDÉSI CÉLÚ BEVÉTELEK ÖSSZESEN</t>
  </si>
  <si>
    <t>FELHALMOZÁSI CÉLÚ BEVÉTELEK ÖSSZESEN</t>
  </si>
  <si>
    <t>FELHALMOZÁSI CÉLÚ KIADÁSOK ÖSSZESEN</t>
  </si>
  <si>
    <t>MŰKÖDÉSI CÉLÚ KIADÁSOK ÖSSZESEN</t>
  </si>
  <si>
    <t>Állami támogatás megelőlegezési hiteltörlesztés</t>
  </si>
  <si>
    <t>Irányítószervi támogatás folyósítása</t>
  </si>
  <si>
    <t>Bevétel</t>
  </si>
  <si>
    <t>Kiadás</t>
  </si>
  <si>
    <t>Működési kiadások</t>
  </si>
  <si>
    <t>Felhalmozási kiadások</t>
  </si>
  <si>
    <t>Dologi</t>
  </si>
  <si>
    <t>Államigazgatás</t>
  </si>
  <si>
    <t>Kötelező</t>
  </si>
  <si>
    <t>Köztemető fenntartás és működtetés</t>
  </si>
  <si>
    <t>Közterület rendjének fenntartása</t>
  </si>
  <si>
    <t>Erdőgazdálkodás</t>
  </si>
  <si>
    <t>Környezetszennyezés csökkentésének igazgatása</t>
  </si>
  <si>
    <t>Közvilágítás</t>
  </si>
  <si>
    <t>Szabadidős park, fürdő és strandszolgáltatás</t>
  </si>
  <si>
    <t>M.adókat
terh. jár.
és szochó</t>
  </si>
  <si>
    <t>Dologi
kiadások</t>
  </si>
  <si>
    <t>Egyéb
működési
kiadások</t>
  </si>
  <si>
    <t>Ellátottak
pénzbeli
juttatásai</t>
  </si>
  <si>
    <t>Egyéb fel-
halmozási
kiadások</t>
  </si>
  <si>
    <t>Felhalmo-
zási tarta-
lékok</t>
  </si>
  <si>
    <t>Hitel- és
kölcsön
törlesztés</t>
  </si>
  <si>
    <t>Költségvetési
szerveknek
folyósított
támogatás</t>
  </si>
  <si>
    <t>Betét
lekötés</t>
  </si>
  <si>
    <t>Kötelező összesen</t>
  </si>
  <si>
    <t>Államigazgatás összesen</t>
  </si>
  <si>
    <t>Tatai székhely</t>
  </si>
  <si>
    <t>Tatai székhely összesen</t>
  </si>
  <si>
    <t>Neszmélyi kirendeltség</t>
  </si>
  <si>
    <t>Dunaalmási kirendeltség</t>
  </si>
  <si>
    <t>Dunaszentmiklósi kirendeltség</t>
  </si>
  <si>
    <t>Kirendeltségek összesen</t>
  </si>
  <si>
    <t>Közös Hivatal összesen</t>
  </si>
  <si>
    <t>Költségvetési alcím megnevezése</t>
  </si>
  <si>
    <t>Feladat jellege</t>
  </si>
  <si>
    <t>ÁFA</t>
  </si>
  <si>
    <t>Kiadások összesen</t>
  </si>
  <si>
    <t xml:space="preserve"> Tatai Fürdő utcai Óvoda</t>
  </si>
  <si>
    <t>Tatai Kincseskert Óvoda Szivárvány Tagintézménye</t>
  </si>
  <si>
    <t>Tatai Geszti Óvoda</t>
  </si>
  <si>
    <t>Tatai Bartók Béla Óvoda</t>
  </si>
  <si>
    <t>Tatai Kertvárosi Óvoda</t>
  </si>
  <si>
    <t xml:space="preserve"> Tatai Kincseskert Óvoda</t>
  </si>
  <si>
    <t>Tatai Geszti Óvoda Bergengócia Tagintézménye</t>
  </si>
  <si>
    <t xml:space="preserve"> Tatai Csillagsziget Bölcsöde</t>
  </si>
  <si>
    <t>Tatai Vaszary J. Általános Iskola</t>
  </si>
  <si>
    <t>Vaszary J. Általános Iskola Jázmin utcai Tagintézménye</t>
  </si>
  <si>
    <t>Tatai Vaszary J. Általános Iskola ÖSSZESEN</t>
  </si>
  <si>
    <t>Tatai Kőkúti Általános Iskola</t>
  </si>
  <si>
    <t>Kőkúti Általános Iskola - Fazekas utcai Tagintézmény</t>
  </si>
  <si>
    <t>Tatai Kőkúti Általános Iskola ÖSSZESEN</t>
  </si>
  <si>
    <t>KEM-i Óvoda, Ált. Iskola, Speciális Szakiskola, Kollégium és Gyermekotthon</t>
  </si>
  <si>
    <t>Bláthy Ottó Szakközépiskola, Szakiskola és Kollégium</t>
  </si>
  <si>
    <t>Intézmények Gazdasági Hivatala</t>
  </si>
  <si>
    <t>Önként vállalt feladat</t>
  </si>
  <si>
    <t>ISKOLÁK és IGH ÖSSZESEN</t>
  </si>
  <si>
    <t>Tatai Kuny Domokos Múzeum</t>
  </si>
  <si>
    <t>Tata Móricz Zsigmond Városi Könyvtár</t>
  </si>
  <si>
    <t>Tatai Egészségügyi Alapellátó Intézmény</t>
  </si>
  <si>
    <t>IGH feladatkörébe tartozó kötelező feladatok</t>
  </si>
  <si>
    <t>IGH feladatkörébe tartozó önként vállalt  feladatok</t>
  </si>
  <si>
    <t>Pályázatok és azokhoz kapcsolódó feladatok</t>
  </si>
  <si>
    <t>A helyi gazdaság erőforrásaira épülő piac- és agrárlogisztikai fejlesztés Tatán TOP-1.1.3-15-KO1-2016-00003</t>
  </si>
  <si>
    <t>Tatai Építők parkjában városi zöld infrastruktúra fejlesztés TOP-2.1.2-15-KO1-2016-00002</t>
  </si>
  <si>
    <t>61/1 hrsz.-ú ingatlan vételár részlete</t>
  </si>
  <si>
    <t xml:space="preserve">Építésügyi hatósági hatáskör ellátásához előírt tárgyi eszközök (lézeres távolságmérő, szintező műszer) </t>
  </si>
  <si>
    <t>Informatikai eszközbeszerzések</t>
  </si>
  <si>
    <t>Tárgyi eszköz beszerzés</t>
  </si>
  <si>
    <t>Intézmények Gazdasági Hivatala és a hozzá tartozó költségvetési szervek</t>
  </si>
  <si>
    <t>Tatai fiatalok életkezdési támogatása</t>
  </si>
  <si>
    <t>Rendkívüli települési támogatás (pénzbeli)</t>
  </si>
  <si>
    <t xml:space="preserve">18. életévét betöltött tartósan beteg hozzátartozójának ápolását, gondozását végző személy részére </t>
  </si>
  <si>
    <t xml:space="preserve">Gyógyszer kiadások viseléséhez </t>
  </si>
  <si>
    <t>Lakhatáshoz kapcsolódó rendszeres kiadások viseléséhez</t>
  </si>
  <si>
    <t xml:space="preserve">Bursa Hungarica </t>
  </si>
  <si>
    <t>Rászorultságtól függő pénzbeli szociális, gyermekvédelmi ellátások összesen</t>
  </si>
  <si>
    <t>Köztemetés</t>
  </si>
  <si>
    <t>KNYKK tanulóbérlet</t>
  </si>
  <si>
    <t>Természetben nyújtott ellátások összesen</t>
  </si>
  <si>
    <t>Önkormányzat által folyósított szociális, gyermekvédelmi ellátások összesen</t>
  </si>
  <si>
    <t>TATA VÁROS ÖNKORMÁNYZATA</t>
  </si>
  <si>
    <t>Működési célú támogatások államháztartáson belülre (vissza nem térítendő)</t>
  </si>
  <si>
    <t>Működési célú támogatások államháztartáson kívülre (vissza nem térítendő)</t>
  </si>
  <si>
    <t>Környezetvédelmi Alap</t>
  </si>
  <si>
    <t>Működési célú visszatérítendő támogatások, kölcsönök nyújtása államháztartáson kívülre</t>
  </si>
  <si>
    <t>TATAI KÖZÖS ÖNKORMÁNYZATI HIVATAL</t>
  </si>
  <si>
    <t>Felhalmozási célú visszatérítendő támogatások, kölcsönök nyújtása államháztartáson kívülre</t>
  </si>
  <si>
    <t>Működési célú visszatérítendő támogatások, kölcsönök nyújtása összesen</t>
  </si>
  <si>
    <t>MŰKÖDÉSI CÉLÚ TÁMOGATÁSOK (VISSZATÉRÍTENDŐ ÉS VISSZA NEM TÉRÍTENDŐ) ÖSSZESEN</t>
  </si>
  <si>
    <t>FELHALMOZÁSI CÉLÚ TÁMOGATÁSOK (VISSZATÉRÍTENDŐ ÉS VISSZA NEM TÉRÍTENDŐ) ÖSSZESEN</t>
  </si>
  <si>
    <t>Működési célú támogatások államháztartáson belülről (vissza nem térítendő)</t>
  </si>
  <si>
    <t>Működési célú  támogatások államháztartáson kívülről (vissza nem térítendő)</t>
  </si>
  <si>
    <t>Működési célú visszatérítendő támogatások, kölcsönök visszatérülése államháztartáson kívülről</t>
  </si>
  <si>
    <t>Felhalmozási célú támogatások államháztartáson belülről (vissza nem térítendő)</t>
  </si>
  <si>
    <t>Felhalmozási célú átvett pénzeszközök államháztartáson kívülről (vissza nem térítendő)</t>
  </si>
  <si>
    <t>Felhalmozási célú visszatérítendő támogatások, kölcsönök visszatérülése államháztartáson kívülről</t>
  </si>
  <si>
    <t>Működési célú visszatérítendő támogatások, átvett pénzeszközök összesen</t>
  </si>
  <si>
    <t>Működési célú vissza nem térítendő támogatások összesen</t>
  </si>
  <si>
    <t>Felhalmozási célú vissza nem térítendő támogatások összesen</t>
  </si>
  <si>
    <t>Felhalmozási célú visszatérítendő támogatások összesen</t>
  </si>
  <si>
    <t>Önkormányzati költségvetési szervek engedélyezett létszáma</t>
  </si>
  <si>
    <t>Költségvetési szervek megnevezése</t>
  </si>
  <si>
    <t>Engedélyezett létszám (fő)</t>
  </si>
  <si>
    <t>Tatai Fürdő utcai Óvoda</t>
  </si>
  <si>
    <t>Tatai Geszti Óvoda - Agostyáni Tagintézménye</t>
  </si>
  <si>
    <t>Tatai Geszti Óvoda összesen</t>
  </si>
  <si>
    <t>Tatai Bartók Béla úti Óvoda</t>
  </si>
  <si>
    <t>Tatai Kincseskert Óvoda</t>
  </si>
  <si>
    <t>Tatai Kincseskert Óvoda - Szivárvány Tagintézménye</t>
  </si>
  <si>
    <t>Tatai Kincseskert Óvoda összesen</t>
  </si>
  <si>
    <t>Óvodák összesen</t>
  </si>
  <si>
    <t>Csillagsziget Bölcsőde</t>
  </si>
  <si>
    <t>Móricz Zsigmond Könyvtár</t>
  </si>
  <si>
    <t xml:space="preserve">Intézmények Gazdasági Hivatala </t>
  </si>
  <si>
    <t>Kuny Domokos Múzeum</t>
  </si>
  <si>
    <t>Hosszabb időtartamú közfoglalkoztatás</t>
  </si>
  <si>
    <t>Városi Önkormányzat Intézményei összesen</t>
  </si>
  <si>
    <t xml:space="preserve"> - Dunaszentmiklósi kirendeltség</t>
  </si>
  <si>
    <t xml:space="preserve"> - Dunaalmási kirendeltség</t>
  </si>
  <si>
    <t xml:space="preserve"> - Közös Hivatal székhely szerinti szervezeti egysége</t>
  </si>
  <si>
    <t xml:space="preserve"> - Neszmélyi kirendeltség</t>
  </si>
  <si>
    <t>Tatai Közös Önkormányzati Hivatal összesen</t>
  </si>
  <si>
    <r>
      <t>Tata Város Önkormányzata</t>
    </r>
    <r>
      <rPr>
        <sz val="11"/>
        <rFont val="Times New Roman"/>
        <family val="1"/>
        <charset val="238"/>
      </rPr>
      <t xml:space="preserve"> - választott tisztségviselők</t>
    </r>
  </si>
  <si>
    <t>Önkormányzati közfoglalkoztatottak éves létszám-előirányzata</t>
  </si>
  <si>
    <t>Átlagos létszám</t>
  </si>
  <si>
    <t>törlesztés</t>
  </si>
  <si>
    <t>kamat</t>
  </si>
  <si>
    <t>Tartozás 2019.</t>
  </si>
  <si>
    <t>Tartozás 2020.</t>
  </si>
  <si>
    <t>Tartozás 2021.</t>
  </si>
  <si>
    <t>Tartozás 2022.</t>
  </si>
  <si>
    <t>Tartozás 2023.</t>
  </si>
  <si>
    <t>Tartozás 2024.</t>
  </si>
  <si>
    <t>2020.</t>
  </si>
  <si>
    <t>2021.</t>
  </si>
  <si>
    <t>2022.</t>
  </si>
  <si>
    <t>2023.</t>
  </si>
  <si>
    <t>Szolgáltatások ellenértéke (temető fenntartási hozzájárulás,sírhelydíj, nevezési díj)</t>
  </si>
  <si>
    <t>Tulajdonosi bevétel (használatba adásból, üzemeltetésbe adásból származó bevétel)</t>
  </si>
  <si>
    <t>Pótlék, bírság</t>
  </si>
  <si>
    <t>Tárgyi eszközök, immateriális javak, és önkormányzati vagyonértékesítésből származó bevétel (ÁFA nélküli, csak önkormányzat)</t>
  </si>
  <si>
    <t>SAJÁT BEVÉTELEK</t>
  </si>
  <si>
    <t>Saját bevételek 50 %-a</t>
  </si>
  <si>
    <t>Előző év (ek) ben keletkezett tárgyévet terhelő fizetési kötelezettség</t>
  </si>
  <si>
    <t>Hosszú lejáratú hitel tőke és kamatfizetési kötelezettsége</t>
  </si>
  <si>
    <t>Tárgyévben keletkezett, illetve keletkező, tárgyévet terhelő fizetési kötelezettség</t>
  </si>
  <si>
    <t>FIZETÉSI KÖTELEZETTSÉG ÖSSZESEN</t>
  </si>
  <si>
    <t xml:space="preserve">Fizetési kötelezettség csökkentett saját bevétel 50 %-a </t>
  </si>
  <si>
    <t>Járulék</t>
  </si>
  <si>
    <t>a helyi önkormányzatok feladatainak állami támogatásához</t>
  </si>
  <si>
    <t>Jogcímek megnevezése</t>
  </si>
  <si>
    <t>2.mell. I.</t>
  </si>
  <si>
    <t>A HELYI ÖNKORMÁNYZATOK MŰKÖDÉSÉNEK ÁLTALÁNOS TÁMOGATÁSA</t>
  </si>
  <si>
    <t>I.1.a)</t>
  </si>
  <si>
    <t>fő</t>
  </si>
  <si>
    <t>Önkormányzati Hivatal működésének támogatása beszámítás után</t>
  </si>
  <si>
    <t>I.1.b)</t>
  </si>
  <si>
    <t>Település-üzemeltetéshez kapcsolódó feladatellátás támogatása</t>
  </si>
  <si>
    <t>I.1.ba)</t>
  </si>
  <si>
    <t>A zöldterület-gazdálkodással kapcsolatos feladatok ellátásának támogatása</t>
  </si>
  <si>
    <t>ha</t>
  </si>
  <si>
    <t>I.1.bb)</t>
  </si>
  <si>
    <t>Közvilágítás fenntartásának támogatása</t>
  </si>
  <si>
    <t>km</t>
  </si>
  <si>
    <t>I.1.bc)</t>
  </si>
  <si>
    <t>Köztemető fenntartással kapcsolatos feladatok támogatása</t>
  </si>
  <si>
    <t>m2</t>
  </si>
  <si>
    <t>I.1.bd)</t>
  </si>
  <si>
    <t>Közutak fenntartásának támogatása</t>
  </si>
  <si>
    <t>Település-üzemeltetéshez kapcsolódó feladatellátás támogatása összesen</t>
  </si>
  <si>
    <t>I.1.c)</t>
  </si>
  <si>
    <t>I.1.d)</t>
  </si>
  <si>
    <t>Lakott külterülettel kapcsolatos feladatok támogatása</t>
  </si>
  <si>
    <t>I.1.e)</t>
  </si>
  <si>
    <t>id.f.adóft</t>
  </si>
  <si>
    <t>I.1.</t>
  </si>
  <si>
    <t>A települési önkormányzatok működésének támogatása beszámítás után</t>
  </si>
  <si>
    <t>I.5.</t>
  </si>
  <si>
    <t>eredeti előirányzatként nem tervezhető</t>
  </si>
  <si>
    <t xml:space="preserve">A helyi önkormányzatok működésének általános támogatása </t>
  </si>
  <si>
    <t>II.1.</t>
  </si>
  <si>
    <t>Óvodapedagógusok, és az óvodapedagógusok nevelő munkáját közvetlenül segítők bértámogatása</t>
  </si>
  <si>
    <t>Óvodapedagógusok bértámogatása - 8 hónapra</t>
  </si>
  <si>
    <t>Óvodapedagógusok bértámogatása - 4 hónapra</t>
  </si>
  <si>
    <t>Óvodapedagógusok munkáját közvetlenül segítők bértámogatása - 8 hónapra</t>
  </si>
  <si>
    <t>Óvodapedagógusok munkáját közvetlenül segítők bértámogatása - 4 hónapra</t>
  </si>
  <si>
    <t>Óvodapedagógusok, és az óvodapedagógusok nevelő munkáját közvetlenül segítők bértámogatása összesen</t>
  </si>
  <si>
    <t xml:space="preserve">II.2. </t>
  </si>
  <si>
    <t>Óvodaműködtetési támogatás</t>
  </si>
  <si>
    <t>II.2.a)</t>
  </si>
  <si>
    <t>Óvodaműk. támogatás 8 hónapra: gyermekek nevelése a napi 8 órát eléri</t>
  </si>
  <si>
    <t>Óvodaműk. támogatás 4 hónapra: gyermekek nevelése a napi 8 órát eléri</t>
  </si>
  <si>
    <t>II.2.b)</t>
  </si>
  <si>
    <t xml:space="preserve">Kiegészítő támogatás az óvodaműködtetési feladatokhoz </t>
  </si>
  <si>
    <t>II. 2.</t>
  </si>
  <si>
    <t>Óvodaműködtetési támogatás összesen</t>
  </si>
  <si>
    <t>II.4.</t>
  </si>
  <si>
    <t>Kiegészítő támogatás az óvodapedagógusok minősítéséből adódó többletkiadásokhoz</t>
  </si>
  <si>
    <t>- Teljes összeg, akik 2016. dec. 31-ig megszerezték. Alapfokú, Ped. II. kategóriába s.</t>
  </si>
  <si>
    <t>2.mell. II.</t>
  </si>
  <si>
    <t>A települési önkormányzatok egyes köznevelési feladatainak támogatása</t>
  </si>
  <si>
    <t>III.1.</t>
  </si>
  <si>
    <t>Szociális ágazati pótlék (MÁK adja pótelőirányzatként majd)</t>
  </si>
  <si>
    <t>III.3.</t>
  </si>
  <si>
    <t>Egyes szociális és gyermekjóléti feladatok támogatása</t>
  </si>
  <si>
    <t>III.3.a)</t>
  </si>
  <si>
    <t>III.3.b)</t>
  </si>
  <si>
    <t>III.3.c)</t>
  </si>
  <si>
    <t>III.3.d)</t>
  </si>
  <si>
    <t>III.3.f)</t>
  </si>
  <si>
    <t>III.3.g)</t>
  </si>
  <si>
    <t>III.3.i)</t>
  </si>
  <si>
    <t>III.3.k)</t>
  </si>
  <si>
    <t>fhely</t>
  </si>
  <si>
    <t>III.3.l)</t>
  </si>
  <si>
    <t>felad.egység</t>
  </si>
  <si>
    <t>III.3.m)</t>
  </si>
  <si>
    <t>Közösségi alapellátások - teljesítménytámogatás</t>
  </si>
  <si>
    <t>Ft/feladategység</t>
  </si>
  <si>
    <t>III.3.n)</t>
  </si>
  <si>
    <t>Óvodai és iskolai szoc. segítő tevékenység támogatása (család- és gyjóléti központ útján)</t>
  </si>
  <si>
    <t>Kistérségi Idősk. Otthona állami támogatása - intézményüzemeltetés tám.</t>
  </si>
  <si>
    <t>III.4.</t>
  </si>
  <si>
    <t>Kistérségi Időskorúak Otthona állami támogatása - átadandó Kist.Társ.</t>
  </si>
  <si>
    <t xml:space="preserve">III.5. </t>
  </si>
  <si>
    <t>Gyermekétkeztetés támogatása</t>
  </si>
  <si>
    <t>fő/év</t>
  </si>
  <si>
    <t>Gyermekétkeztetés támogatása összesen</t>
  </si>
  <si>
    <t>III.6.</t>
  </si>
  <si>
    <t>Felsőfőkú végzettségű kisgyermeknevelők, szaktanácsadók bértámogatása (szoc.hj.adóval)</t>
  </si>
  <si>
    <t>A finanszírozás szempontjából elismert szakmai dolgozók bértámogatása-középf.végzetts.</t>
  </si>
  <si>
    <t>Bölcsődei üzemeltetési támogatás</t>
  </si>
  <si>
    <t>Bölcsőde, mini bölcsőde támogatása összesen</t>
  </si>
  <si>
    <t xml:space="preserve">2.mell. III. </t>
  </si>
  <si>
    <t>A települési önkormányzatok szociális és gyermekjóléti feladatainak támogatása</t>
  </si>
  <si>
    <t>IV.</t>
  </si>
  <si>
    <t>A TELEPÜLÉSI ÖNKORMÁNYZATOK KULTURÁLIS FELADATAINAK TÁMOGATÁSA</t>
  </si>
  <si>
    <t>IV.1.a)</t>
  </si>
  <si>
    <t>Megyei hatókörű városi múzeumok feladatainak támogatása (2018. évben nem ismert)</t>
  </si>
  <si>
    <t>IV.1.d)</t>
  </si>
  <si>
    <t>Települési önk.nyilvános könyvtári és közműv. feladatainak támogatása</t>
  </si>
  <si>
    <t>IV.1.i)</t>
  </si>
  <si>
    <t>Települési önkormányzatok könyvtári célú érdekeltségnövelő támogatása</t>
  </si>
  <si>
    <t>IV.3.</t>
  </si>
  <si>
    <t>Kulturális illetménypótlék</t>
  </si>
  <si>
    <t>Kincstártól havonta pótelőirányzatként</t>
  </si>
  <si>
    <t>2.mell. IV.</t>
  </si>
  <si>
    <t>A települési önkormányzatok kulturális feladatainak támogatása</t>
  </si>
  <si>
    <t>BESZÁMÍTÁS</t>
  </si>
  <si>
    <t>Ft</t>
  </si>
  <si>
    <t>2.mell. V.</t>
  </si>
  <si>
    <t>Az elvonás a jogcímeknél beépítve</t>
  </si>
  <si>
    <t>2. melléklet jogcímeihez: ÁLLAMI TÁMOGATÁS BESZÁMÍTÁSSAL CSÖKKENTETT ÖSSZEGE</t>
  </si>
  <si>
    <t xml:space="preserve">                                </t>
  </si>
  <si>
    <t>Beszámítás kiszámítása sorrend szerint</t>
  </si>
  <si>
    <t>Csökkentések jogcímek szerint:</t>
  </si>
  <si>
    <t>MŰKÖDÉSI TARTALÉK</t>
  </si>
  <si>
    <t>Általános tartalék</t>
  </si>
  <si>
    <t>Működési tartalék</t>
  </si>
  <si>
    <t>Működési céltartalék</t>
  </si>
  <si>
    <t>FELHALMOZÁSI TARTALÉK</t>
  </si>
  <si>
    <t>Felhalmozási tartalék</t>
  </si>
  <si>
    <t>MINDÖSSZESEN</t>
  </si>
  <si>
    <t>Tata Város Önkormányzat Európai Uniós támogatással megvalósuló projektjei (E Ft-ban)*</t>
  </si>
  <si>
    <t>EU-s projekt neve</t>
  </si>
  <si>
    <t>Azonosítója</t>
  </si>
  <si>
    <t>Tata Építők parkjában városi zöld infrastruktúra fejlesztés</t>
  </si>
  <si>
    <t>TOP-2.1.2-15-KO1-2016-00002</t>
  </si>
  <si>
    <t>A tatai Kőfaragó-ház kézműves és aktív öktoturisztikai látogatóközpontként való rehabilitációja és a Kálvária-domb egységes turisztikai termékcsomagként való bemutatása</t>
  </si>
  <si>
    <t>TOP-1.2.1-15-KO1-2016-00005</t>
  </si>
  <si>
    <t>Csillagsziget Bölcsőde felújítása Tatán</t>
  </si>
  <si>
    <t>TOP-1.4.1-15-KO1-2016-00020</t>
  </si>
  <si>
    <t>A helyi gazdaság erőforrásaira épülő piac- és agrárlogisztikai fejlesztés Tatán</t>
  </si>
  <si>
    <t>TOP-1.1.3-15-KO1-2016-00003</t>
  </si>
  <si>
    <t>Helyi alapanyagokra épülő minőségi közétkeztetésért - iskolai konyhák hálózatos fejlesztése Tatán</t>
  </si>
  <si>
    <t>TOP-1.1.3-15-KO1-2016-00002</t>
  </si>
  <si>
    <t>Csatlakozási konstrukció az önkormányzati ASP rendszer országos kiterjesztéséhez</t>
  </si>
  <si>
    <t>KÖFOP-1.2.1-VEKOP-16-2017-01302</t>
  </si>
  <si>
    <t>SKHU/1601/1.1/209</t>
  </si>
  <si>
    <t>SKHU/1601/2.2.1/109</t>
  </si>
  <si>
    <t>Nők munkaerő-piaci támogatása Tatán (a Tatai Közös Hivatal pályázata)</t>
  </si>
  <si>
    <t>EFOP-1.2.9-17-2017-00026</t>
  </si>
  <si>
    <t>A tatai Szivárvány Óvoda épületenergetikai megújítása</t>
  </si>
  <si>
    <t>TOP-3.2.1-16-KO1-2017-00007</t>
  </si>
  <si>
    <t>TOP-3.2.1-16-KO1-2017-00001</t>
  </si>
  <si>
    <t>Angolkert Malomkert – Angolkerti rehabilitáció III. üteme</t>
  </si>
  <si>
    <t>TOP-1.2.1-16-KO1-2017-00003</t>
  </si>
  <si>
    <t>TOP-3.1.1-16-KE1-2017-00004</t>
  </si>
  <si>
    <t>TOP-5.3.1-16-KO1-2017-00002</t>
  </si>
  <si>
    <t>Inkubátorház építése Tatán</t>
  </si>
  <si>
    <t>TOP-1.1.2-16-KO1-2017-00002</t>
  </si>
  <si>
    <t>EFOP-1.5.2-16-2017-00043</t>
  </si>
  <si>
    <t>A jövő nemzedék közösség és személyiség fejlesztése Tatán</t>
  </si>
  <si>
    <t>EFOP-3.3.2-16-2016-00195</t>
  </si>
  <si>
    <t>Programok az életen át tartó tanulás jegyében Tatán</t>
  </si>
  <si>
    <t>EFOP-3.7.3-16-2017-00254</t>
  </si>
  <si>
    <t>Peron Music tehetséggondózó és képző központ létrehozása Tatán</t>
  </si>
  <si>
    <t>EFOP-4.1.7-16-2017-00181</t>
  </si>
  <si>
    <t>Könyvtárfejlesztés Tatán</t>
  </si>
  <si>
    <t>EFOP-4.1.8-16-2017-00080</t>
  </si>
  <si>
    <t>Bölcsődei szakemberek szakmai fejlesztése a Tatai járásban</t>
  </si>
  <si>
    <t>EFOP-1.9.9-17-2017-00006</t>
  </si>
  <si>
    <t>ÖNKORMÁNYZATI TÁMOGATÁSOK MINDÖSSZESEN</t>
  </si>
  <si>
    <t>KÖZÖS ÖNKORMÁNYZATI HIVATALI TÁMOGATÁSOK MINDÖSSZESEN</t>
  </si>
  <si>
    <t>KÖZÖS ÖNKORMÁNYZATI HIVATALI TÁMOGATÁSOK ÉS ÁTVETT PÉNZESZKÖZÖK MINDÖSSZESEN</t>
  </si>
  <si>
    <t>ÖNKORMÁNYZATI TÁMOGATÁSOK ÉS ÁTVETT PÉNZESZKÖZÖK MINDÖSSZESEN</t>
  </si>
  <si>
    <t>Személyi
juttatások</t>
  </si>
  <si>
    <t>Tatai Közös
Önkormányzati Hivatal</t>
  </si>
  <si>
    <t>Beruházás (ÁFA-val)</t>
  </si>
  <si>
    <t>Felújítás (ÁFA-val)</t>
  </si>
  <si>
    <t>Előző évi költségvetési maradvány igénybevétele</t>
  </si>
  <si>
    <t>Elvonások és befizetések bevételei</t>
  </si>
  <si>
    <t>Adó- és egyéb bírság</t>
  </si>
  <si>
    <t>Kamatbevétel, árfolyamnyereség</t>
  </si>
  <si>
    <t>Egyéb tárgyi eszközök értékesítése</t>
  </si>
  <si>
    <t>Oktatási és Kulturális Alap</t>
  </si>
  <si>
    <t>Felhalmozási célú támogatások államháztartáson belülre (vissza nem térítendő)</t>
  </si>
  <si>
    <t>Programok az életen át tartó tanulás jegyében Tatán EFOP-3.7.3-16-2017-00254</t>
  </si>
  <si>
    <t>A jövő nemzedék közösség és személyiség fejlesztése Tatán EFOP-3.3.2-16-2016-00195</t>
  </si>
  <si>
    <t>Könyvtárfejlesztés Tatán EFOP-4.1.8-16-2017-00080</t>
  </si>
  <si>
    <t>Tartalék</t>
  </si>
  <si>
    <t>Összes
forrás</t>
  </si>
  <si>
    <t>Összes forrásból:</t>
  </si>
  <si>
    <t>Összes
kiadás</t>
  </si>
  <si>
    <t>Önerő</t>
  </si>
  <si>
    <t>EU-s forrás támogatási szerződés szerint</t>
  </si>
  <si>
    <t>Bevétel 2019. év</t>
  </si>
  <si>
    <t>2018. évi működési maradvány</t>
  </si>
  <si>
    <t>2018. évi felhalmozási maradvány</t>
  </si>
  <si>
    <t>Tata Város Önkormányzatának 2019. évi tartalékai (E Ft-ban)</t>
  </si>
  <si>
    <t>2019. évi felújítási kiadások célonként (ÁFA-val) E Ft-ban</t>
  </si>
  <si>
    <t xml:space="preserve">Tata Város Önkormányzata és az általa irányított költségvetési szervek 2019. évi kiadásai </t>
  </si>
  <si>
    <t>Tata Város Önkormányzata és az általa irányított költségvetési szervek 2019. évi bevételei forrásonként (E Ft-ban)</t>
  </si>
  <si>
    <t>2019. évi működési célú bevételek és kiadások mérlege (E Ft-ban)</t>
  </si>
  <si>
    <t xml:space="preserve"> Tata Város Önkormányzatának 2019. évi közgazdasági mérlege (E Ft-ban)</t>
  </si>
  <si>
    <t>2019. évi kapott visszatérítendő és vissza nem térítendő támogatások és pénzeszközátvételek alakulása Tata Város Önkormányzatánál és a Tatai Közös Önkormányzati Hivatalnál (E Ft-ban)</t>
  </si>
  <si>
    <t>1101-5101</t>
  </si>
  <si>
    <t>1102-5102</t>
  </si>
  <si>
    <t>1103-5103</t>
  </si>
  <si>
    <t>1104-5104</t>
  </si>
  <si>
    <t>1105-5105</t>
  </si>
  <si>
    <t>1106-5106</t>
  </si>
  <si>
    <t>Városüzemeltetés és vagyongazdálkodás</t>
  </si>
  <si>
    <t>1107-5107</t>
  </si>
  <si>
    <t>1108-5108</t>
  </si>
  <si>
    <t>Balatonvilágos üdülő</t>
  </si>
  <si>
    <t>1109-5109</t>
  </si>
  <si>
    <t>Balatonfüred üdülő</t>
  </si>
  <si>
    <t>1110-5110</t>
  </si>
  <si>
    <t>Fényes-fürdő üdülő</t>
  </si>
  <si>
    <t>Önként vállalt</t>
  </si>
  <si>
    <t>1111-5111</t>
  </si>
  <si>
    <t>Igazgatási és egyéb tevékenység</t>
  </si>
  <si>
    <t>Adóigazgatás</t>
  </si>
  <si>
    <t xml:space="preserve">Állampolgársági ügyek </t>
  </si>
  <si>
    <t>Munkáltatói kölcsön</t>
  </si>
  <si>
    <t>1401-5401</t>
  </si>
  <si>
    <t>1201-5201</t>
  </si>
  <si>
    <t>1301-5301</t>
  </si>
  <si>
    <t>Építés-hatóság</t>
  </si>
  <si>
    <t>Hitelek</t>
  </si>
  <si>
    <t>Adóbevételek</t>
  </si>
  <si>
    <t>1003-5003</t>
  </si>
  <si>
    <t>1004-5004</t>
  </si>
  <si>
    <t>1005-5005</t>
  </si>
  <si>
    <t>1007-5007</t>
  </si>
  <si>
    <t>Közfoglalkoztatás</t>
  </si>
  <si>
    <t>1008-5008</t>
  </si>
  <si>
    <t>Közutak építése, üzemeltetése, fenntartása</t>
  </si>
  <si>
    <t>1009-5009</t>
  </si>
  <si>
    <t>1010-5010</t>
  </si>
  <si>
    <t>Hulladékgazdálkodás</t>
  </si>
  <si>
    <t>1011-5011</t>
  </si>
  <si>
    <t>Szennyvízgazdálkodás</t>
  </si>
  <si>
    <t>1012-5012</t>
  </si>
  <si>
    <t>1013-5013</t>
  </si>
  <si>
    <t>Vízellátással kapcsolatos közmű építése, fenntartása, üzemeltetése</t>
  </si>
  <si>
    <t>1014-5014</t>
  </si>
  <si>
    <t>1015-5015</t>
  </si>
  <si>
    <t>Játszóterek fenntartása</t>
  </si>
  <si>
    <t>1016-5016</t>
  </si>
  <si>
    <t>Parkfenntartás</t>
  </si>
  <si>
    <t>1018-5018</t>
  </si>
  <si>
    <t>Közbeszerzések</t>
  </si>
  <si>
    <t>Építésügy</t>
  </si>
  <si>
    <t>1017-5017</t>
  </si>
  <si>
    <t>1019-5019</t>
  </si>
  <si>
    <t>Város- községgazdálkodás</t>
  </si>
  <si>
    <t>1020-5020</t>
  </si>
  <si>
    <t>Pályázati előkészítések</t>
  </si>
  <si>
    <t>1025-5025</t>
  </si>
  <si>
    <t>Egyéb szervezetek támogatása</t>
  </si>
  <si>
    <t>1026-1026</t>
  </si>
  <si>
    <t>Nemzeti ünnepek</t>
  </si>
  <si>
    <t>1029-5029</t>
  </si>
  <si>
    <t>1030-5030</t>
  </si>
  <si>
    <t>Városi ünnepek</t>
  </si>
  <si>
    <t>1031-5031</t>
  </si>
  <si>
    <t>Városi kitüntetések</t>
  </si>
  <si>
    <t>1032-5032</t>
  </si>
  <si>
    <t>Minimaraton</t>
  </si>
  <si>
    <t>1035-5035</t>
  </si>
  <si>
    <t>Kommunikációs tevékenység</t>
  </si>
  <si>
    <t>1036-5036</t>
  </si>
  <si>
    <t>1038-5038</t>
  </si>
  <si>
    <t>1021-5021</t>
  </si>
  <si>
    <t>Szociális ellátások támogatása</t>
  </si>
  <si>
    <t>Önkormányzati lakások és garázsok</t>
  </si>
  <si>
    <t>1022-5022</t>
  </si>
  <si>
    <t>1033-5033</t>
  </si>
  <si>
    <t>Nemzetközi feladatok</t>
  </si>
  <si>
    <t>1034-5034</t>
  </si>
  <si>
    <t>Sporttevékenység</t>
  </si>
  <si>
    <t>1037-5037</t>
  </si>
  <si>
    <t>Gyermek-és ifjúságügy</t>
  </si>
  <si>
    <t>1027-5027</t>
  </si>
  <si>
    <t>1028-5028</t>
  </si>
  <si>
    <t>Egészségvédelmi-, Szociális és Sportalap</t>
  </si>
  <si>
    <t>1024-5024</t>
  </si>
  <si>
    <t>Visszatérítendő támogatások</t>
  </si>
  <si>
    <t>1002-5002</t>
  </si>
  <si>
    <t>1001-5001</t>
  </si>
  <si>
    <t>1006-5006</t>
  </si>
  <si>
    <t>Önkormányzati vagyonnal való gazdálkodás</t>
  </si>
  <si>
    <t>1023-5023</t>
  </si>
  <si>
    <t>Önkormányzati feladatok ellátásának támogatása</t>
  </si>
  <si>
    <t>EFOP-1.5.2-16-2017-00043 Humán szolgáltatások fejlesztése Magyary Zoltán mintajárásban</t>
  </si>
  <si>
    <t>EFOP-1.9.9-17-2017-00006 Bölcsődei szakemberek szakmai fejlesztése a Tatai járásban</t>
  </si>
  <si>
    <t>EFOP-3.3.2-16-2016-00195 A jövő nemzedék közösség és személyiség fejlesztése Tatán</t>
  </si>
  <si>
    <t>EFOP-3.7.3-16-2017-00254 Programok az életen át tartó tanulás jegyében Tatán</t>
  </si>
  <si>
    <t>EFOP-4.1.7-16-2017-00181 Peron Music tehetséggondozó és képző központ létrehozása Tatán</t>
  </si>
  <si>
    <t>EFOP-4.1.8-16-2017-00080 Könyvtárfejlesztés Tatán</t>
  </si>
  <si>
    <t>TOP-1.1.2-16-KO1-2017-00002 Inkubátorház építése Tatán</t>
  </si>
  <si>
    <t>TOP-1.1.3-15-KO1-2016-00002 Helyi alapanyagokra épülő közétkeztetés</t>
  </si>
  <si>
    <t>TOP-1.1.3-15-KO1-2016-00003 Helyi gazdaság erőforrásaira épülő piac és agrárlogisztikai fejlesztés Tatán</t>
  </si>
  <si>
    <t>TOP-1.2.1-15-KO1-2016-00005 A Tatai Kőfaragó-ház rehabilitációja</t>
  </si>
  <si>
    <t>TOP-1.2.1-16-KO1-2017-00003 Angolkert Malomkert - Angolkerti rehabilitáció III. üteme</t>
  </si>
  <si>
    <t>TOP-1.4.1-15-KO1-2016-00020 Csillagsziget Bölcsőde felújítása Tatán</t>
  </si>
  <si>
    <t>TOP-2.1.2-15-KO1-2016-00002 Tata Építők parkjában városi zöld infrastruktúra fejlesztés</t>
  </si>
  <si>
    <t>TOP-3.1.1-16-KO-2017-0004 Haranglábtól-Agostyánig, Tata Országgyűlés tértől Agostyán városrészig létesítendő kerékpárút I. ütem</t>
  </si>
  <si>
    <t>TOP-3.2.1-16-KO1-2017-00001 Tatai Kertvárosi Óvoda épületenergetikai megújítása</t>
  </si>
  <si>
    <t>TOP-3.2.1-16-KO1-2017-00007 A tatai Szivárvány Óvoda épületenergetikai megújítása</t>
  </si>
  <si>
    <t>TOP-5.3.1-16-KO1-2017-00002 Helyi identitás és kohézió erősítése Tata és környéke Borvidéken</t>
  </si>
  <si>
    <t>1112-5112</t>
  </si>
  <si>
    <t>1113-5113</t>
  </si>
  <si>
    <t>1114-5114</t>
  </si>
  <si>
    <t>1115-515</t>
  </si>
  <si>
    <t>1116-5116</t>
  </si>
  <si>
    <t>1117-5117</t>
  </si>
  <si>
    <t>1118-5118</t>
  </si>
  <si>
    <t>1119-5119</t>
  </si>
  <si>
    <t>1120-5120</t>
  </si>
  <si>
    <t>Helyi alapanyagokra épülő közétkeztetés  TOP-1.1.3-15-KO1-2016-00002</t>
  </si>
  <si>
    <t>Angolkert Malomkert - Angolkerti rehabilitáció III. üteme - TOP-1.2.1-16-KO1-2017-0003</t>
  </si>
  <si>
    <t xml:space="preserve">A Tatai Kőfaragó-ház rehabilitációja - TOP-1.2.1-15-KO1-2016-00005                                                                              </t>
  </si>
  <si>
    <t>Csillagsziget Bölcsőde felújítása Tatán -TOP-1.4.1-15-KO1-2016-00020</t>
  </si>
  <si>
    <t>Magyarország Együttműködési Program CULTPLAY-Interaktív tematikus parkok létrehozása Interreg V-A Szlovákia</t>
  </si>
  <si>
    <t xml:space="preserve">Haranglából -Agostyánig, Tata Országgyűlés tértől Agostyán városrészig létesítendő kerékpárút I. ütem TOP-3.1.1-16-KO1-2017-00004 </t>
  </si>
  <si>
    <t>Peron Music tehetséggondozó és képző központ létrehozása Tatán EFOP-4.1.7-16-2017-00181</t>
  </si>
  <si>
    <t>Magyarország Együttműködési Program KOMBI-Határon Átnyúló Integrált Kerékpárkölcsönző rendszer Interreg V-A Szlovákia</t>
  </si>
  <si>
    <t>Inkubátorház építés Tatán -TOP-1.1.2-16-KO1-2017-00002</t>
  </si>
  <si>
    <t>A tatai Szivárvány Óvoda épület energetikai megújítása TOP-3.2.1-16-KO1-2017-00007</t>
  </si>
  <si>
    <t>Tatai Kertvárosi Óvoda épületenergetikai megújítása TOP-3.2.1-16-KO1-2017-00001</t>
  </si>
  <si>
    <t>Magyary Zoltán tudásközpont felújítása (CLLD pályázat) tervezés - önerő</t>
  </si>
  <si>
    <t>Piac téri bekötő út csapadékvíz elvezetése</t>
  </si>
  <si>
    <t>Nagy értékű tárgyi eszköz beszerzés, klímaberendezések pótlása, cseréje (gondnoksági feladathoz kapcsolódóan)</t>
  </si>
  <si>
    <t>Mikovényi-Gesztenye fasor csomópont kiépítés</t>
  </si>
  <si>
    <t>Ingatlanvásárlás, kisajátítás</t>
  </si>
  <si>
    <t>Fényes fürdő területén fejlesztések végrehajtása (üzemeltetési szerződés alapján)</t>
  </si>
  <si>
    <t>Halotthűtő beszerzése</t>
  </si>
  <si>
    <t>Gyalogátkelőhely létesítése az Új úton</t>
  </si>
  <si>
    <t>Bartók Béla utca óvodához vezető szakasz átépítése II. ütem</t>
  </si>
  <si>
    <t>Barcsay János utca útépítés tervezés</t>
  </si>
  <si>
    <t>Hulladékudvar kialakítása</t>
  </si>
  <si>
    <t>Üdülőterület Csongor út közvilágítás építése</t>
  </si>
  <si>
    <t>Kismosó patak melletti sétány világítás építése</t>
  </si>
  <si>
    <t>Május 1. úti járdák megvilágítása a gyalogátkelőknél</t>
  </si>
  <si>
    <t>Mikovényi-Jázmin-Gesztenyefasor körforgalom építés zöldfelület kivitelezés</t>
  </si>
  <si>
    <t>Május1. út - Ady Endre út körforgalom felújítása (gépészet-és környezetrendezés)</t>
  </si>
  <si>
    <t>Kutyafuttató kialakítása</t>
  </si>
  <si>
    <t>Agostyáni út 1-3. hőközpont korszerűsítés</t>
  </si>
  <si>
    <t>Alkotmány úti nyilvános illemhely korszerűsítése</t>
  </si>
  <si>
    <t>Polgármesteri Hivatal kapu kialakítása feltáró közlekedő úttal a Bláthy utca felé (engedélyezés, műszaki ellenőrzés, tervezés, kivitelezés)</t>
  </si>
  <si>
    <t>Ivókutak kialakítása föld feletti tűzcsapokon (10 db)</t>
  </si>
  <si>
    <t>3534 hrsz.-ú ingatlan (Vértesszőlősi úti temető) vételár részlete</t>
  </si>
  <si>
    <t>Településrendezési eszközök teljes felülvizsgálata</t>
  </si>
  <si>
    <t>Kölyök Kft. tárgyi eszköz beszerzés - 100/VK/2016. sz. számla</t>
  </si>
  <si>
    <t>Táblakép és címer- Városháza Díszterem</t>
  </si>
  <si>
    <t>Tárgyi eszköz beszerzés (bútor, padlószőnyeg, székek, textília, függöny – gondnoksági feladatokhoz)</t>
  </si>
  <si>
    <t>Tárgyi eszköz beszerzés hivatali üdülőkben: Balatonvilágos (mosogatógép, egyéb konyhai felszerelés)</t>
  </si>
  <si>
    <t>Tárgyi eszköz beszerzés hivatali üdülőkben: Balatonfüred (falra szerelhető klíma berendezés)</t>
  </si>
  <si>
    <t>Egyéb kis értékű tárgyi eszköz beszerzés (közterület)</t>
  </si>
  <si>
    <t>Anyakönyvi páncélszekrény</t>
  </si>
  <si>
    <t>Hidak felülvizsgálata, Berta-malmi híd és Cifra-malmi híd felújítása</t>
  </si>
  <si>
    <t>Mart aszfaltos utak felújítása (Újvilág u., Mária u., Nyírfa u., Tulipán u., Balogh Ferenc u., Határ u., Újhegyi u., Nagy L. u.)</t>
  </si>
  <si>
    <t>Akadálymentesítés, közlekedésbiztonság növelése (járdák szegélysüllyesztése, taktilis jelek elhelyezése)</t>
  </si>
  <si>
    <t>Járdafelújítások (Dadi u., Május 1 út, Keszthelyi út, Vértesszőlősi út, Oroszlányi utca, Fürdő utca)</t>
  </si>
  <si>
    <t>Szerver winchesterek bővítése</t>
  </si>
  <si>
    <t>Önként vállalt összesen</t>
  </si>
  <si>
    <t>EFOP-1.2.9-17-2017-00026 Nők a családban és a munkahelyen</t>
  </si>
  <si>
    <t>Tatai Közös Önkormányzati Hivatal 2019. évi költségvetési terve (feladatok és kiemelt előirányzatok szerinti bontásban, E Ft-ban)</t>
  </si>
  <si>
    <t>Tata Város Önkormányzatának 2019. évi költségvetési terve (feladatok és kiemelt előirányzatok szerinti bontásban, E Ft-ban)</t>
  </si>
  <si>
    <t>2019. évi beruházási kiadások feladatonként (ÁFA-val) E Ft-ban</t>
  </si>
  <si>
    <t>Vaszary Villa állagmegóvás</t>
  </si>
  <si>
    <t>Polgármesteri Hivatal főépület homlokzat felújítása</t>
  </si>
  <si>
    <t>Agostyán, Kossuth utca vízrendezés I. ütem</t>
  </si>
  <si>
    <t>Malom patak - Erzsébet Kirányné tér mederburkolat felújítása</t>
  </si>
  <si>
    <t>Mikovényi-Jázmin-Gesztenye fasor körforgalom közvilágítás kivitelezés</t>
  </si>
  <si>
    <t>Ady Endre út - Május 1 út körforgalom közvilágítás felújítása</t>
  </si>
  <si>
    <t>Hajdú utca 36. szám alatti csapadékcsatorna kiváltása</t>
  </si>
  <si>
    <t>Játszóterek felújítása Május 1 út 35-nél térvilágítás</t>
  </si>
  <si>
    <t>Polgármesteri Hivatal hátsó udvar, kerítés felújítása</t>
  </si>
  <si>
    <t>Önkormányzati nem lakás célú helyiségek felújítása</t>
  </si>
  <si>
    <t>Önkormányzati bérlakások felújítása</t>
  </si>
  <si>
    <t>Tópart sétány Bőrgyárral szemközti szakaszának zöldterületi felújítása</t>
  </si>
  <si>
    <t>Belső udvari szennyvízcsatorna felújítása</t>
  </si>
  <si>
    <t>Fényes-fürdőn lévő üdülő teraszának burkolása</t>
  </si>
  <si>
    <t>Magyarországi zsidó temető rekonstrukciós projekt</t>
  </si>
  <si>
    <t>Kölyök Kft. konyha felújítási munkálatok - 100/VK/2016 sz. számla</t>
  </si>
  <si>
    <t>Egyéb 2019. évi igények</t>
  </si>
  <si>
    <t>Csillagsziget Bölcsőde felújítása Tatán - TOP-1.4.1-15-KO1-2016-00020</t>
  </si>
  <si>
    <t>Tata Város Önkormányzata és a Tatai Közös Önkormányzati Hivatal által adott visszatérítendő és vissza nem térítendő
támogatások 2019. évi alakulása (E Ft-ban)</t>
  </si>
  <si>
    <t>Vis major támogatás</t>
  </si>
  <si>
    <t>Tata Város Önkormányzata által folyósított 2019. évi ellátottak pénzbeli és természetbeni juttatásának
részletezése (E Ft-ban)</t>
  </si>
  <si>
    <t>2019-2024-ig a hosszú lejáratú felhalmozási hitel visszafizetéseket figyelembe véve (E Ft-ban)</t>
  </si>
  <si>
    <t>2019.
Eredeti</t>
  </si>
  <si>
    <t>2024.</t>
  </si>
  <si>
    <t>Már meglévő adósságot keletkeztető ügyletek</t>
  </si>
  <si>
    <t>Az Önkormányzat már meglévő adósságot keletkeztető ügyleteinek és azok fedezetére felhasználható saját bevételeink
alakulása (E Ft-ban)</t>
  </si>
  <si>
    <t>Az Önkormányzat 2019. évi fejlesztési céljai, melyekhez adósságot
keletkeztető ügylet megkötése várható (E Ft-ban)</t>
  </si>
  <si>
    <t>Tatai Kistérségi Többcélú Társulásnak támogatás (tagdíj, állami támogatás és önkormányzati támogatás)</t>
  </si>
  <si>
    <t>Rendőrségnek</t>
  </si>
  <si>
    <t>Tatai Televízió Közalapítvány támogatása</t>
  </si>
  <si>
    <t>Egészségügyi alapellátás támogatása 5 fogászati körzetre</t>
  </si>
  <si>
    <t>Közösségi közlekedés szolgáltatója részére működési költségtérítés</t>
  </si>
  <si>
    <t>Tatai Vadlúd Sokadalom támogatása</t>
  </si>
  <si>
    <t>Cirmos Cica Alapítvány támogatása</t>
  </si>
  <si>
    <t>Magyar Máltai Szeretetszolgálat Tatai Csoportja</t>
  </si>
  <si>
    <t>Magyar Vöröskereszt Tatai Szervezete</t>
  </si>
  <si>
    <t>Egészségvédelmi-, Szociális- és Sport Alap</t>
  </si>
  <si>
    <t>Pötörke Egyesület támogatása</t>
  </si>
  <si>
    <t>Színes Iskola Alapítvány tanulójának támogatása</t>
  </si>
  <si>
    <t>Agostyáni Tűzoltó Egyesület támogatása</t>
  </si>
  <si>
    <t xml:space="preserve">Kenderke Alapfokú Művészeti Iskola Fürkész programjának támogatása </t>
  </si>
  <si>
    <t>KEM Mentőalapítvány támogatása (tatai mentőállomás)</t>
  </si>
  <si>
    <t>Munkáltatói kölcsön nyújtása</t>
  </si>
  <si>
    <t>Értékvédelmi feladatok támogatása (homlokzat felújítási pályázat)</t>
  </si>
  <si>
    <t>Tatai Városgazda Nonprofit Kft. működési támogatás</t>
  </si>
  <si>
    <t>Rendház Kft. működési támogatás</t>
  </si>
  <si>
    <t>Tatai Városkapu Közhasznú Zrt. támogatása</t>
  </si>
  <si>
    <t>Tata és Környéke Turisztikai Egyesület - Turisztikai Desztinációs Menedzsment működési támogatása</t>
  </si>
  <si>
    <t>Tatai Öreg-tó Kft. részére tagi kölcsön biztosítása</t>
  </si>
  <si>
    <t>Magyar Máltai Szeretetszolgálat máltai játszókert</t>
  </si>
  <si>
    <t>Szociális Háló Közalapítvány támogatása</t>
  </si>
  <si>
    <t>Concerto Kft. - Tatai Barokk Fesztivál támogatása</t>
  </si>
  <si>
    <t>Concerto Kft. - nemzetközi mesterkurzus támogatása</t>
  </si>
  <si>
    <t>Városi Nyugdíjas Klub támogatása</t>
  </si>
  <si>
    <t>Mozgáskorlátozottak KEM Egyesület támogatása</t>
  </si>
  <si>
    <t xml:space="preserve">OMS-Tata Vívó SE </t>
  </si>
  <si>
    <t>Tatai Sportegyesület támogatása</t>
  </si>
  <si>
    <t>Hódy SE</t>
  </si>
  <si>
    <t>Magyary Zoltán Népfőiskolai Társaság közművelődési támogatása</t>
  </si>
  <si>
    <t>Honvéd Bajtársi Klub támogatása</t>
  </si>
  <si>
    <t>Tatai Mecénás Közalapítvány támogatása</t>
  </si>
  <si>
    <t>TAC működési támogatása</t>
  </si>
  <si>
    <t>Tatai Kistérségi Többcélú Társulástól (belső ellenőrzéshez, infrastrukturális háttér biztosításához)</t>
  </si>
  <si>
    <t>Értékvédelmi feladatokra háztartásnak adott kölcsön visszatérülése</t>
  </si>
  <si>
    <t>Munkaügyi Központtól támogatás</t>
  </si>
  <si>
    <t>Karsztvízszint-emelkedés okozta azonnali intézkedést igénylő feladatok (Lo presti forrás elvezetése)</t>
  </si>
  <si>
    <t>Tatai Öreg-tó Kft.-től tagi kölcsön visszatérülése</t>
  </si>
  <si>
    <t>Kőkúti Sasok Diák Sportegyesület visszatérítendő támogatása</t>
  </si>
  <si>
    <t>Kamatmentes szociális lakossági kölcsön visszatérítés</t>
  </si>
  <si>
    <t>Kölcsön visszatérülés Vis Major</t>
  </si>
  <si>
    <t>E.ON-tól ipari park 20 kW-os energiaellátás kapcsolódó átvett támogatás</t>
  </si>
  <si>
    <t>Magyarország Együttműködési program CULTPLAY - Interaktív tematikus parkok létrehozása - Interreg V-A Szlovákia</t>
  </si>
  <si>
    <t>Magyarország Együttműködési program KOMBI - Határon átnyúló integrált kerékpárkölcsönző rendszer - Interreg V-A Szlovákia</t>
  </si>
  <si>
    <t>Inkubátorház építése Tatán - TOP-1.1.2-16-KO1-2017-00002</t>
  </si>
  <si>
    <t>Haranglábtól- Agostyánig, Tata Országgyűlés tértől Agostyán városrészig létesítendő kerékpárút I. ütem - TOP-3.1.1-16-KO1-2017-00004</t>
  </si>
  <si>
    <t>Tatai Kertvárosi Óvoda épületenergetikai megújítása - TOP-3.2.1-16-KO1-2017-00001</t>
  </si>
  <si>
    <t>A tatai Szivárvány Óvoda épületenergetikai megújítása - TOP-3.2.1-16-KO1-2017-00007</t>
  </si>
  <si>
    <t>Helyi identitás és kohézió erősítése Tata és környéke Borvidéken - TOP-5.3.1-16-KO1-2017-00002</t>
  </si>
  <si>
    <t>Kistérségi önkormányzatok részéről hozzájárulás a központi ügyeleti feladatok ellátásához</t>
  </si>
  <si>
    <t>Munkáltatói kölcsön visszatérülés</t>
  </si>
  <si>
    <t>Működési célú vissza nem térítendő támogatás Dunaalmás Község Önkormányzatától</t>
  </si>
  <si>
    <t>Működési célú vissza nem térítendő támogatás Dunaszentmiklós Község Önkormányzatától</t>
  </si>
  <si>
    <t>Működési célú vissza nem térítendő támogatás Neszmély Község Önkormányzatától</t>
  </si>
  <si>
    <t>Helyi alapanyagokra épülő közétkeztetés - TOP-1.1.3-15-KO1-2016-00002</t>
  </si>
  <si>
    <t>Helyi gazdaság erőforrásaira épülő piac és agrárlogisztikai fejlesztés Tatán - TOP-1.1.3-15-KO1-2016-00003</t>
  </si>
  <si>
    <t>A Tatai Kőfaragó-ház rehabilitációja - TOP-1.2.1-15-KO1-2016-00005</t>
  </si>
  <si>
    <t>Angolkert Malomkert - Angolkerti rehabilitáció III. üteme - TOP-1.2.1-16-KO1-2017-00003</t>
  </si>
  <si>
    <t>Tata Építők parkjában városi zöld infrastruktúra fejlesztés - TOP-2.1.2-15-KO1-2016-00002</t>
  </si>
  <si>
    <t>A jövő nemzedék közösség és személyiség fejlesztése Tatán - EFOP-3.3.2-16-2016-00195</t>
  </si>
  <si>
    <t>Programok az életen át tartó tanulás jegyében Tatán - EFOP-3.7.3-16-2017-00254</t>
  </si>
  <si>
    <t xml:space="preserve">Peron Music tehetséggondozó és képző központ létrehozása Tatán - EFOP-4.1.7-16-2017-00181 </t>
  </si>
  <si>
    <t>Könyvtárfejlesztés Tatán - EFOP-4.1.8-16-2017-00080</t>
  </si>
  <si>
    <t>Karsztvízszint-emelkedés okozta azonnali intézkedést igénylő feladatok</t>
  </si>
  <si>
    <t>Csatlakozási konstrukció az önkormányzati ASP rendszer országos kiterjesztéséhez KÖFOP-1.2.1-VEKOP-16-2017-010002</t>
  </si>
  <si>
    <t>Humán szolgáltatások fejlesztése Magyary Zoltán mintajárásban - EFOP-1.5.2-16-2017-00043</t>
  </si>
  <si>
    <t>Bölcsődei szakemberek szakmai fejlesztése a Tatai járásban - EFOP-1.9.9-17-2017-00006</t>
  </si>
  <si>
    <t>Tata Város Önkormányzatának maradvány igénybevétele cél szerinti tagolásban (E Ft-ban)</t>
  </si>
  <si>
    <t>Tata Város Önkormányzata költségvetési szerveinek maradvány igénybevétele cél szerinti tagolásban (E Ft-ban)</t>
  </si>
  <si>
    <t>Nők munkaerőpiaci támogatása Tatán - EFOP-1.2.9-17-2017-00026</t>
  </si>
  <si>
    <t>Kiadás, melyre a maradvány fordítódik</t>
  </si>
  <si>
    <t>Felhalmozási céltartalék</t>
  </si>
  <si>
    <t>Tatai Televízió Közalapítványnak</t>
  </si>
  <si>
    <t>Magyary Zoltán Művelődési Központ megvalósíthatósági tanulmány</t>
  </si>
  <si>
    <t>(kiemelt előirányzatok szerinti részletezésben) E Ft-ban</t>
  </si>
  <si>
    <t>Humán szolgáltatások fejlesztése Magyary Zoltán mintajárásban</t>
  </si>
  <si>
    <t>Haranglábtól- Agostyánig, Tata Országgyűlés tértől Agostyán városrészig létesítendő kerékpárút I. ütem</t>
  </si>
  <si>
    <t>Tatai Kertvárosi Óvoda épületenergetikai megújítása</t>
  </si>
  <si>
    <t>Helyi identitás és kohézió erősítése Tata és környéke Borvidéken</t>
  </si>
  <si>
    <t>Támogatási
szerződés
kötés
időpontja</t>
  </si>
  <si>
    <t>Határidő
módosítás
folyamatban</t>
  </si>
  <si>
    <t>*Adatok forrása: pályázati szintű projektanalitikák, benyújtott pályázatok és megkötött támogatási szerződések</t>
  </si>
  <si>
    <t>Tata Város Önkormányzata</t>
  </si>
  <si>
    <t>2018. évi maradvány</t>
  </si>
  <si>
    <t>Május 1 út - Ady Endre út körforgalom felújítása (gépészet és környezetrendezés)</t>
  </si>
  <si>
    <t>Udvari játék elemek</t>
  </si>
  <si>
    <t>Árnyékoló (2 db)</t>
  </si>
  <si>
    <t xml:space="preserve">Bútorok </t>
  </si>
  <si>
    <t>Kisértékű tárgyieszközök</t>
  </si>
  <si>
    <t xml:space="preserve">Számítástechnikai eszközök </t>
  </si>
  <si>
    <t>Szárítógép</t>
  </si>
  <si>
    <t>Árnyékolók (homlokzati üvegfelület, tetőtéri ablakok)</t>
  </si>
  <si>
    <t>gyermekbútor (zárható beépítettszekrény, székek)</t>
  </si>
  <si>
    <t>Meglévő gyermekmosdóba piszoár és mosdó beszerelése</t>
  </si>
  <si>
    <t>Radiátorcsere gyermeköltözőben</t>
  </si>
  <si>
    <t xml:space="preserve">Egyéb gép beszerzés </t>
  </si>
  <si>
    <t>Számítógép</t>
  </si>
  <si>
    <t>Bútorok, berendezési tárgyak beszerzése</t>
  </si>
  <si>
    <t>Játék, eszközvásárlás</t>
  </si>
  <si>
    <t>Gázbojler konyhába</t>
  </si>
  <si>
    <t>WC tartályok cserélye</t>
  </si>
  <si>
    <t>Konyhai eszközök: ételszállító badellák, tepsik+fedők,termoszládák, tároló dobozok</t>
  </si>
  <si>
    <t>Csoportszobai kötelező eszközök: műanyag óvodai fektető (25 db), görgős fektető szállító, steppelt matrac (25 db)</t>
  </si>
  <si>
    <t>térelválasztó, játéktartó polc</t>
  </si>
  <si>
    <t>homokozó játékok</t>
  </si>
  <si>
    <t xml:space="preserve">Kis értékű tárgyi eszköz </t>
  </si>
  <si>
    <t>Számítástechnikai eszköz</t>
  </si>
  <si>
    <t>Riasztórendszer kiépítése</t>
  </si>
  <si>
    <t>Egyéb gép beszerzés</t>
  </si>
  <si>
    <t>Kőkúti Tanuszoda takarítógép</t>
  </si>
  <si>
    <t>Jármű vásárlás</t>
  </si>
  <si>
    <t>Család- és nővédelem:i eü.gondozás szűrőaudiométer</t>
  </si>
  <si>
    <t>Család- és nővédelem:i eü.gondozás: magzati szívhang hallgató</t>
  </si>
  <si>
    <t>Család- és nővédelem:i eü.gondozás: laptop (2 db)</t>
  </si>
  <si>
    <t>Család- és nővédelem:i eü.gondozás: irodai forgószék (2 db)</t>
  </si>
  <si>
    <t>Család- és nővédelem:i eü.gondozás: Stefánia védőnői program</t>
  </si>
  <si>
    <t>Hordozható csecsemőmérleg (3db)</t>
  </si>
  <si>
    <t>Vérnyomásmérő+mandzsetta készlet (2db)</t>
  </si>
  <si>
    <t>Ifjúság-egészségügyi gondozás: szűrőaudiométer</t>
  </si>
  <si>
    <t>Ifjúság-egészségügyi gondozás: számítástechnikai eszközök</t>
  </si>
  <si>
    <t>Romkert új lépcső, mellvéd</t>
  </si>
  <si>
    <t>Kulturális javak: műtárgy vásárlások</t>
  </si>
  <si>
    <t>Számítástechnikai eszköz: laptop, szoftverek</t>
  </si>
  <si>
    <t>Gépek, eszközök beszerzése ( restaurátori, karbantartásimunkákhoz, geológiai vizsgálatokhoz )</t>
  </si>
  <si>
    <t>Dokumentumbeszerzés: könyv, cd</t>
  </si>
  <si>
    <t>Csoportszoba laminált parketta fektetése és szegélyezése</t>
  </si>
  <si>
    <t>Óvodai csoportszoba  tisztasági festése</t>
  </si>
  <si>
    <t>Óvodai csoportszoba laminálása</t>
  </si>
  <si>
    <t>Óvodai csoportszoba glettelése, tisztasági festése</t>
  </si>
  <si>
    <t>Dajka öltözőbe padló és lambéria csere</t>
  </si>
  <si>
    <t>Udvari játékok karbantartási munkálataira festék</t>
  </si>
  <si>
    <t>Kötelező felülvizsgálatok- kémény, erősáramú szabványossági</t>
  </si>
  <si>
    <t>1 csoportszobában parketta és lambéria csere</t>
  </si>
  <si>
    <t>Járólap csere folyosókon</t>
  </si>
  <si>
    <t>Tálalókonyha és folyosó festése</t>
  </si>
  <si>
    <t>Villanybojler korszerűsítése</t>
  </si>
  <si>
    <t>Két csoportszoba festése</t>
  </si>
  <si>
    <t>Két iroda laminált parkettázása</t>
  </si>
  <si>
    <t>Egy udvari játék cseréje</t>
  </si>
  <si>
    <t>Kazán korszerűsítése, felülvizsgálata</t>
  </si>
  <si>
    <t>Melléképület festése</t>
  </si>
  <si>
    <t>Udvari játékok cseréje, javítása</t>
  </si>
  <si>
    <t>Ereszcsatorna javítása</t>
  </si>
  <si>
    <t>Zsírtalanítás (konyhai lefolyórendszer)</t>
  </si>
  <si>
    <t>Fa árnyékolók festése</t>
  </si>
  <si>
    <t>Kazánházban lévő golyóscsapok cseréje</t>
  </si>
  <si>
    <t>Sarokszelepek cseréje</t>
  </si>
  <si>
    <t>Szennyvízátemelő cseréje (szükség esetén)</t>
  </si>
  <si>
    <t>Udvari lépcsők, teraszok felújítása, térkőből járda lerakása.</t>
  </si>
  <si>
    <t>Ablakok zárószerkezetének javítása</t>
  </si>
  <si>
    <t>Két csoportszoba felújítása (festés, falburkolás, pvc lerakása).</t>
  </si>
  <si>
    <t>Két gondozási egységhez tartozó vizesblokkok felújítása.</t>
  </si>
  <si>
    <t>Lemosható falburkolat felhelyezése gyermeköltözőbe</t>
  </si>
  <si>
    <t>Két gondozási egység festése (csoportszobák, fürdőszobák, gyermek öltözők, előterek)</t>
  </si>
  <si>
    <t>Vízpermetező játszóudvarokra (3db)</t>
  </si>
  <si>
    <t>Víz-, szennyvíz-, villanyhálózat felújítás ( Öreg vár, Német Nemzetiségi Múzeum, Deák F. utcai raktár) azonnali hibaelhárítások</t>
  </si>
  <si>
    <t>Udvarrendezés, kerítés, kapualj felújítás (Német Nemzetiségi Múzeum)</t>
  </si>
  <si>
    <t>Raktár vizesedési problémák (Német Nemzetiségi Múzeum)</t>
  </si>
  <si>
    <t>Vár riasztórendszer megújítás</t>
  </si>
  <si>
    <t xml:space="preserve">Leendő irodák kialakítása ( volt rendelőintézet  )               </t>
  </si>
  <si>
    <t>Korlátok, romkert, ablakok, minimális helyreállítása (látogatók biztonsága: kőomlás, balesetveszély) Öreg Vár</t>
  </si>
  <si>
    <t>Felújítási tervek (műemlékvédelem által elfogadott dokumentáció összeállítása, faldiagnosztika, 3 D felmérés, statikai felmérések, gépészet felülvizsgálata) Öreg Vár</t>
  </si>
  <si>
    <t>Nyílászárók cseréje (2 db ajtó, 2 db ablak)</t>
  </si>
  <si>
    <t>I.1.f) Beszámítás (a táblázat alatt részletezve)</t>
  </si>
  <si>
    <t>I.1.f)</t>
  </si>
  <si>
    <t>BESZÁMÍTÁS  ÖSSZESEN</t>
  </si>
  <si>
    <t xml:space="preserve">A 2018. évről áthúzódó és 2019. évi bérkompenzáció támogatása </t>
  </si>
  <si>
    <t>- Bölcsődében foglalkoztatot felsőfokú végzettségű kisgyermeknevelők</t>
  </si>
  <si>
    <t>Család- és gyermekjóléti szolgálat (2015.01.01. lakos alapján) + kieg.támog. III.3. oa)</t>
  </si>
  <si>
    <t>Család- és gyermekjóléti központ (2015.01.01. lakos alapján) + kieg.támog. III.3. oa)</t>
  </si>
  <si>
    <t>Szociális étkeztetés - társulással  (10 %)</t>
  </si>
  <si>
    <t>Időskorúak nappali intézményi ellátása - társulással (50%)</t>
  </si>
  <si>
    <t>Fogyatékosok személyek nappali intézményi ellátása - társulással (10%)</t>
  </si>
  <si>
    <t>Hajléktalanok nappali intézményi ellátása - társulással (20%)</t>
  </si>
  <si>
    <t xml:space="preserve">Hajléktalanok átmeneti intézményei (átmeneti szállás, éjjeli menedékhely) - társulással (10%) + kieg.támog. III.3. ob) </t>
  </si>
  <si>
    <t>Támogató szolgáltatás - alaptámogatás + kieg.támog. III.3. ob)</t>
  </si>
  <si>
    <t>Támogató szolgáltatás - teljesítménytámogatás</t>
  </si>
  <si>
    <t>Közösségi alapellátások - alaptámogatás + kieg.támog. III.3. ob)</t>
  </si>
  <si>
    <t>III.3.o)</t>
  </si>
  <si>
    <t>Kiegészítő fajlagos összegek (beépítve a jogcímeknél)</t>
  </si>
  <si>
    <t>Egyes szociális és gyermekjóléti feladatok támogatása összesen (SZAI jogcímei)</t>
  </si>
  <si>
    <t>III.4.a)</t>
  </si>
  <si>
    <t>Kistérségi Idősk. Otthona állami támogatása-szakmai dolgozók bértám. + kieg.tám. III.4.c)</t>
  </si>
  <si>
    <t>III.4.b)</t>
  </si>
  <si>
    <t>III.5. aa)</t>
  </si>
  <si>
    <t>Intézményi gyermekétkeztetés kapcsán az étkeztetési feladatot ellátók után járó bértámogatás</t>
  </si>
  <si>
    <t>III.5. ab)</t>
  </si>
  <si>
    <t>Az intézményi gyermekétkeztetés üzemletetési támogatása</t>
  </si>
  <si>
    <t>III.5. b)</t>
  </si>
  <si>
    <t>A rászoruló gyermekek intézményen kívüli szünidei étkeztetésének támogatása                     (2018. májusi adat alapján tervezve)</t>
  </si>
  <si>
    <t>III.6. a)</t>
  </si>
  <si>
    <t>III.6. b)</t>
  </si>
  <si>
    <t>2. melléklet V. Szolidaritási hozzájárulás</t>
  </si>
  <si>
    <t>2. melléklet jogcímeihez: ÁLLAMI TÁMOGATÁS MINDÖSSZESEN</t>
  </si>
  <si>
    <t>Törvény- javaslat hivatk.sz.</t>
  </si>
  <si>
    <t>Mutató</t>
  </si>
  <si>
    <t>Fajlagos összeg Ft/mutató</t>
  </si>
  <si>
    <r>
      <t xml:space="preserve">Üdülőhelyi feladatok támogatása </t>
    </r>
    <r>
      <rPr>
        <i/>
        <sz val="12"/>
        <rFont val="Times New Roman CE"/>
        <charset val="238"/>
      </rPr>
      <t>(2017. évi beszámoló adata)</t>
    </r>
  </si>
  <si>
    <t>Beszámítással csökkentett összeg</t>
  </si>
  <si>
    <t>12 hó</t>
  </si>
  <si>
    <t>szociál- és nyugdíjpolitikáért felelős miniszter 2018.11.30-ig állapítja meg.</t>
  </si>
  <si>
    <t>Fő/számított létszám/év</t>
  </si>
  <si>
    <t>2018. dec. 21-éig miniszterek döntenek, ezért a 2018. májusi jóváhagyott összeggel terveztünk.</t>
  </si>
  <si>
    <t>2018. dec. 21-éig miniszterek döntenek, ezért a 2018. áprilisi jóváhagyott összeggel terveztünk.</t>
  </si>
  <si>
    <t>2018. dec. 21-éig miniszterek döntenek.</t>
  </si>
  <si>
    <t>előző évi jóváhagyott összeg</t>
  </si>
  <si>
    <t>Képlet szerint, de nincs 2018. évi országos adat, ezért eredeti előirányzatként nem tervezhető.</t>
  </si>
  <si>
    <t>képlet szerint</t>
  </si>
  <si>
    <r>
      <t xml:space="preserve">Tata Város Önkormányzata </t>
    </r>
    <r>
      <rPr>
        <b/>
        <sz val="14"/>
        <rFont val="Times New Roman CE"/>
        <charset val="238"/>
      </rPr>
      <t>2019</t>
    </r>
    <r>
      <rPr>
        <b/>
        <sz val="12"/>
        <rFont val="Times New Roman CE"/>
        <charset val="238"/>
      </rPr>
      <t>. évi költségvetéséhez</t>
    </r>
  </si>
  <si>
    <r>
      <t>Önkormányzati Hivatal működésének támogatása (</t>
    </r>
    <r>
      <rPr>
        <sz val="12"/>
        <rFont val="Times New Roman CE"/>
        <charset val="238"/>
      </rPr>
      <t>Közös Hiv. 26.770 fő lakos</t>
    </r>
    <r>
      <rPr>
        <sz val="11"/>
        <rFont val="Times New Roman CE"/>
        <charset val="238"/>
      </rPr>
      <t>)</t>
    </r>
  </si>
  <si>
    <r>
      <t>Egyéb önkormányzati feladat támogatása (</t>
    </r>
    <r>
      <rPr>
        <sz val="12"/>
        <rFont val="Times New Roman CE"/>
        <charset val="238"/>
      </rPr>
      <t>adóerőképesség 1 lakosra 44.571 Ft</t>
    </r>
    <r>
      <rPr>
        <sz val="11"/>
        <rFont val="Times New Roman CE"/>
        <charset val="238"/>
      </rPr>
      <t>)</t>
    </r>
  </si>
  <si>
    <r>
      <t xml:space="preserve">Házi segítségnyújtáshoz </t>
    </r>
    <r>
      <rPr>
        <b/>
        <i/>
        <sz val="12"/>
        <rFont val="Times New Roman CE"/>
        <charset val="238"/>
      </rPr>
      <t xml:space="preserve">Személyi gondozás </t>
    </r>
    <r>
      <rPr>
        <sz val="11"/>
        <rFont val="Times New Roman CE"/>
        <charset val="238"/>
      </rPr>
      <t>-társulással (30%) + kieg.támog. III.3. ob)</t>
    </r>
  </si>
  <si>
    <r>
      <t xml:space="preserve">Önkormányzat elvárt bevétele: </t>
    </r>
    <r>
      <rPr>
        <b/>
        <sz val="12"/>
        <rFont val="Times New Roman CE"/>
        <charset val="238"/>
      </rPr>
      <t xml:space="preserve">2017.évi </t>
    </r>
    <r>
      <rPr>
        <sz val="11"/>
        <rFont val="Times New Roman CE"/>
        <charset val="238"/>
      </rPr>
      <t>iparűzési adóalap 0,55 %-a</t>
    </r>
  </si>
  <si>
    <r>
      <t xml:space="preserve">Differenciálás: </t>
    </r>
    <r>
      <rPr>
        <b/>
        <sz val="12"/>
        <rFont val="Times New Roman CE"/>
        <charset val="238"/>
      </rPr>
      <t>Támogatás csökkentés a képlet szerinti lenne</t>
    </r>
    <r>
      <rPr>
        <sz val="11"/>
        <rFont val="Times New Roman CE"/>
        <charset val="238"/>
      </rPr>
      <t>, de közös hivatal székhelye miatt 10 %-kal csökkenthető.</t>
    </r>
  </si>
  <si>
    <r>
      <t xml:space="preserve">Támogatás csökkentés a következő </t>
    </r>
    <r>
      <rPr>
        <b/>
        <sz val="12"/>
        <rFont val="Times New Roman CE"/>
        <charset val="238"/>
      </rPr>
      <t>sorrend szerint</t>
    </r>
    <r>
      <rPr>
        <sz val="11"/>
        <rFont val="Times New Roman CE"/>
        <charset val="238"/>
      </rPr>
      <t xml:space="preserve"> I.1.c), I.1.d), I.1.ba),  I.1.bb),  I.1.bc),  I.1.bd), I.1.e) I.1.a) támogatás összegéig terheli az önkormányzatot.</t>
    </r>
  </si>
  <si>
    <r>
      <t xml:space="preserve">Előirányzat
</t>
    </r>
    <r>
      <rPr>
        <b/>
        <sz val="16"/>
        <rFont val="Times New Roman CE"/>
        <charset val="238"/>
      </rPr>
      <t>Ft-ban</t>
    </r>
  </si>
  <si>
    <t>Helyi alapanyagokra épülő közétkeztetés - TOP-1.1.3.-15-KO1-2016-00002</t>
  </si>
  <si>
    <t>A Tatai Kőfaragó-ház rehabilitációja - TOP-1.2.1.-15-KO1-2016-00005</t>
  </si>
  <si>
    <t>Magyary Zoltán Tudásközpont felújítása (CLLD pályázat)</t>
  </si>
  <si>
    <t>Peron Music tehetséggondozó és képző központ létrehozása Tatán - EFOP-4.1.7-16-2017-00181</t>
  </si>
  <si>
    <t>Duális képzőműhely kialakítása - Interreg SKHU</t>
  </si>
  <si>
    <t>Hajdú utca csapadékcsatorna és Eszterházy kastély forrástó kialakítása</t>
  </si>
  <si>
    <t>Visszatérő forrásokkal kapcsolatos feladatok (Kismosó-patak mederrendezés 75 000 E Ft, Hajdú utca csapadékcsatorna és Eszterházy kastély forrástó kialakítása 72 500 E Ft)</t>
  </si>
  <si>
    <t xml:space="preserve"> - Felhalmozási céltartalék</t>
  </si>
  <si>
    <t>Felhalmozási hitelfelvétel</t>
  </si>
  <si>
    <t>MINDÖSSZESEN BEVÉTEL - IRÁNYÍTÓSZERVI TÁMOGATÁSSAL KORRIGÁLT</t>
  </si>
  <si>
    <t>Korrekció</t>
  </si>
  <si>
    <t>MINDÖSSZESEN KIADÁS - IRÁNYÍTÓSZERVI TÁMOGATÁSSAL KORRIGÁLT</t>
  </si>
  <si>
    <t>EMMI pályázat</t>
  </si>
  <si>
    <t>Új gépkocsi beszerzése Közös Hivatali feladatokhoz</t>
  </si>
  <si>
    <t xml:space="preserve">Építők parkjához műanyag burkolat </t>
  </si>
  <si>
    <t>Visszatérő forrásokkal kapcsolatos feladatok, Lo Presti forrás elvezetése a Hajdú utcai gyüjtőbe</t>
  </si>
  <si>
    <t>EGYENLEG</t>
  </si>
  <si>
    <t>KÖLTSÉGVETÉSI EGYENLEG</t>
  </si>
  <si>
    <t>Barcsay Jenő utca útépítés tervezés</t>
  </si>
  <si>
    <t>Útfelújítás (Vasút u., Naplókert u., Kiss Ernő u., Tópart u., Nagy Lajos u., Nagykert u. - Táncsics Mihály u., Klapka György u., Boglárka u., Lóverseny u., Fürdő utca, Tulipán u., Szőgyén u., Fűzfa u., Vértesszőlősi szerviz út, Fényes fürdő belső út, Spar előtti út, Kálvária u., Kosztolányi u., Székely Bertalan u., Tata-Agostyán Jókai sor-Petőfi utca)</t>
  </si>
  <si>
    <t>2019. Eredeti előirányzat       E Ft-ban</t>
  </si>
  <si>
    <t>Működési támogatások</t>
  </si>
  <si>
    <t>Bevételek mindösszesen</t>
  </si>
  <si>
    <t>Mód.(II. 27.)</t>
  </si>
  <si>
    <t>Tatai Eötvös József Gimnázium és Kollégium</t>
  </si>
  <si>
    <t>mindösszesen</t>
  </si>
  <si>
    <t>Személyi juttatás</t>
  </si>
  <si>
    <t>M.adókat terhelő jár.</t>
  </si>
  <si>
    <t>Költségvetési  alcímek és szakfeladatok ÖSSZESEN</t>
  </si>
  <si>
    <t>Intézmények Gazdasági Hivatalához tartozó önállóan működő intézmények 2019. évi költségvetése E Ft-ban</t>
  </si>
  <si>
    <t>Működési célra</t>
  </si>
  <si>
    <t>Vaszary J. Általános Iskola ÖSSZESEN</t>
  </si>
  <si>
    <t>Vaszary J. Általános Iskola</t>
  </si>
  <si>
    <t>Intézmények Gazdasági Hivatalához tartozó  önállóan működő intézmények 2019. évi költségvetése E Ft-ban</t>
  </si>
  <si>
    <t>Mód. (IV.24.)</t>
  </si>
  <si>
    <t>Mód. (IV. 24.)</t>
  </si>
  <si>
    <t>Mód. (IV.  24.)</t>
  </si>
  <si>
    <t>Tartozás 2025</t>
  </si>
  <si>
    <t>Tartozás 2026</t>
  </si>
  <si>
    <t>Tartozás 2027</t>
  </si>
  <si>
    <t>Tartozás 2028</t>
  </si>
  <si>
    <t>Tartozás 2029</t>
  </si>
  <si>
    <t>Mód (IV.  24. )</t>
  </si>
  <si>
    <t>Mód.     (IV.24. )</t>
  </si>
  <si>
    <t>Mód.     (IV. 24. )</t>
  </si>
  <si>
    <t>Mód.     (IV.  24.)</t>
  </si>
  <si>
    <t>Mód.     (IV. 24.)</t>
  </si>
  <si>
    <t>Mód.(IV. 24.)</t>
  </si>
  <si>
    <t>Mód.(IV.  24.)</t>
  </si>
  <si>
    <t>2025.</t>
  </si>
  <si>
    <t>2026.</t>
  </si>
  <si>
    <t>2027.</t>
  </si>
  <si>
    <t>2028.</t>
  </si>
  <si>
    <t>2029.</t>
  </si>
  <si>
    <t>Intézményi gyermekétkeztetés üzemeltetési támogatása</t>
  </si>
  <si>
    <t xml:space="preserve">Tatai Kertvárosi Óvoda épületenergetikai megújítása -  TOP-3.2.1-16-KO1-2017-00001 </t>
  </si>
  <si>
    <t xml:space="preserve">2019-ben tervezett hitelfelvétel </t>
  </si>
  <si>
    <t>Helyi adók (eredeti)</t>
  </si>
  <si>
    <t>Osztalék, koncessziós díj, hozambevétel (kamatbevétel) /eredeti/</t>
  </si>
  <si>
    <t>Díjak, pótlékok, bírságok és tulajdonosi bevétel (eredeti)</t>
  </si>
  <si>
    <t>Magyarországi Zsidó Örökség Közalapítványtól - Zsidó temetők rekonstrukciós programja</t>
  </si>
  <si>
    <t xml:space="preserve">Digitális Jólét Nonprofit Kft.-től kapott támogatás Digitális Jólét Programhoz </t>
  </si>
  <si>
    <t>Központi kezelésű előirányzatnak visszaküldött gyermekvédelmi Erzsébet - utalvány</t>
  </si>
  <si>
    <t>Általános tartalékból:</t>
  </si>
  <si>
    <t>Tata Városi Nyugdíjas Klub részére támogatás</t>
  </si>
  <si>
    <t>Honvéd Bajtársi Klub részére támogatás</t>
  </si>
  <si>
    <t>Csibészek Fiatalokat Támogató Alapítvány részére támogatás</t>
  </si>
  <si>
    <t>Arany János Tehetséggondozó Programhoz kapcsolódó szociális támogatás (EFOP-1.5.2-16-2017-00043 Humán szolgáltatások fejlesztése Magyary Zoltán mintajárásában)</t>
  </si>
  <si>
    <t>Környei úti temető kerítés felújítás</t>
  </si>
  <si>
    <t>Kis értékű tárgyi eszközök</t>
  </si>
  <si>
    <t>Bejárati kapu cseréje</t>
  </si>
  <si>
    <t>Árnyékoló</t>
  </si>
  <si>
    <t>Mászóka alatti terület gumiburkolattal való ellátása</t>
  </si>
  <si>
    <t>Kilátótorony munkáinak elvégzése</t>
  </si>
  <si>
    <t>Régészeti szolgáltatásokkal kapcslatos kiadások</t>
  </si>
  <si>
    <t>Számítástechnikai rendszer beüzemelése</t>
  </si>
  <si>
    <t>Malomárok-patak rekonstrukciója 1004/2019.(I.18.) kormányhatározat</t>
  </si>
  <si>
    <t>„E-töltők Tatán” című, GZR-T-Ö-2016-0074 azonosító számú pályázatoz töltők telepítése és üzembe helyezése</t>
  </si>
  <si>
    <t>Térfigyelő kamerarendszerhez megnövekedett tárolóigény szerver-bővítéssel és eszközbeszerzéssel</t>
  </si>
  <si>
    <t>Piac téri útépítés II. ütem</t>
  </si>
  <si>
    <t>Golyós folyadékmérő vásárlás</t>
  </si>
  <si>
    <t>Bérkompenzáció</t>
  </si>
  <si>
    <t>ÁLLAMI TÁMOGATÁS MŰKÖDÉSRE</t>
  </si>
  <si>
    <t>1004/2019. (i.18.) Korm.hat. Alapján BMÖGF/291-1/2019. támog.okirattal Malomárok-patak mederrekonstrukciójának támogatása</t>
  </si>
  <si>
    <t>ÁLLAMI TÁMOGATÁS FELHALMOZÁSRA</t>
  </si>
  <si>
    <t>ÁLLAMI TÁMOGATÁS MINDÖSSZESEN</t>
  </si>
  <si>
    <t>1202-5202</t>
  </si>
  <si>
    <t>1203-5203</t>
  </si>
  <si>
    <t>1204-5204</t>
  </si>
  <si>
    <t>1205-5205</t>
  </si>
  <si>
    <t>1206-5206</t>
  </si>
  <si>
    <t>1207-5207</t>
  </si>
  <si>
    <t>1208-5208</t>
  </si>
  <si>
    <t>1209-5209</t>
  </si>
  <si>
    <t>1210-5210</t>
  </si>
  <si>
    <t>1211-5211</t>
  </si>
  <si>
    <t>1501-5501</t>
  </si>
  <si>
    <t>KÖFOP-1.2.1-VEKOP-16-2017-010002 Csatlakozási konstrukció az önkormányzati ASP rendszer országos kiterjesztéséhez</t>
  </si>
  <si>
    <t>Kerekítés miatti eltérés (nem könyvelendő)</t>
  </si>
  <si>
    <t>Mód.(IV 24.)</t>
  </si>
  <si>
    <t>Mód.(IX. 24.)</t>
  </si>
  <si>
    <t>Mód.                         (IV. 24.)</t>
  </si>
  <si>
    <t>Mód.                                 (IV. 24.)</t>
  </si>
  <si>
    <t>Mód                        (IV.  24.)</t>
  </si>
  <si>
    <t>Mód                                 (IV.  24.)</t>
  </si>
  <si>
    <t>Mód                                        (IV.  24.)</t>
  </si>
  <si>
    <t>Mód                               (IV.  24.)</t>
  </si>
  <si>
    <t xml:space="preserve">Áru és készlet értéke- sítés </t>
  </si>
  <si>
    <t xml:space="preserve">Szolgál- tatások </t>
  </si>
  <si>
    <t>Közve- tített szolgál-tatás</t>
  </si>
  <si>
    <t>Át-vett műkö-dési célra</t>
  </si>
  <si>
    <t>Előző évi át-vétele</t>
  </si>
  <si>
    <t>Finan-szírozás</t>
  </si>
  <si>
    <t>Saját bevé-telek</t>
  </si>
  <si>
    <t>Át-vett fel-hal-mo-zási célra</t>
  </si>
  <si>
    <t>Fel- hal-mo-zási célra</t>
  </si>
  <si>
    <t>Fel-halmo-zási be-vé-tel</t>
  </si>
  <si>
    <t>Pénz-maradvány</t>
  </si>
  <si>
    <t>Pénz-
for-
ga-
lom nél-küli</t>
  </si>
  <si>
    <t>Mód. 
(IV. 24.)</t>
  </si>
  <si>
    <t>166 394 E Ft</t>
  </si>
  <si>
    <t>572 581 E Ft</t>
  </si>
  <si>
    <t>Mód.
(IV. 24.)</t>
  </si>
  <si>
    <t>Mód.
(IV.  24.)</t>
  </si>
  <si>
    <t>Mód.
(IV.24.)</t>
  </si>
  <si>
    <t>Megvaló-
sítás
tervezett
befejezése</t>
  </si>
  <si>
    <t>Tárgyévi kiadások előirányzata</t>
  </si>
  <si>
    <t>Mód. (IV.25)</t>
  </si>
  <si>
    <t>Tárgyévben érkezett EU-s támogatás előirányzata</t>
  </si>
  <si>
    <t>Haranglábtól- Agostyánig, Tata Országgyűlés tértől Agostyán városrészig létesítendő kerékpárút I. ütem - TOP-3.1.1-16-KE1-2017-00004</t>
  </si>
  <si>
    <t>Kötelezettséggel terhelt pénzmaradvány</t>
  </si>
  <si>
    <t>2016. évi negatív pénzmaradvány</t>
  </si>
  <si>
    <t>Kuny Domokos Múzeum támogatása</t>
  </si>
  <si>
    <t>Szabad pénzmaradvány 64 352 E Ft*</t>
  </si>
  <si>
    <t>Mód. (IX. 11.)</t>
  </si>
  <si>
    <t>Mód.
(IX.11.)</t>
  </si>
  <si>
    <t>- ebből zárolt működési tartalék</t>
  </si>
  <si>
    <t>Mód. (IX.11.)</t>
  </si>
  <si>
    <t>Mód.     (IX.11.)</t>
  </si>
  <si>
    <t>Mód.     (IX.11. )</t>
  </si>
  <si>
    <t>Mód.     (IX. 11. )</t>
  </si>
  <si>
    <t xml:space="preserve"> - EMMI pályázat</t>
  </si>
  <si>
    <t>Tatai Fürdő utcai Néphagyományőrző Óvoda</t>
  </si>
  <si>
    <t>Egyéb feladatokra</t>
  </si>
  <si>
    <t>Móricz Zsigmond Városi Könyvtár</t>
  </si>
  <si>
    <t>Egészségügyi Alapellátó Intézmény</t>
  </si>
  <si>
    <t>Központi kezelésű előirányzattól - rendszeres gyermekvédelmi támogatás</t>
  </si>
  <si>
    <t>EFOP-1.5.2-16-2017-00043 Humán szolgáltatások fejlesztése Magyary Zoltán mintajárásban pályázathoz támogatás</t>
  </si>
  <si>
    <t xml:space="preserve">Tatai Kistérségi Többcélú Társulástól elvonások és befizetések bevételei </t>
  </si>
  <si>
    <t>„Tehetségbarát Önkormányzat 2019 – Bonis Bona)” pályázatra</t>
  </si>
  <si>
    <t>EP Választás</t>
  </si>
  <si>
    <t>Egyéb támogatásértékű működési bevétel</t>
  </si>
  <si>
    <t xml:space="preserve">Rendszeres gyermekvédelmi támogatás </t>
  </si>
  <si>
    <t>Mód.   (IX. 11.)</t>
  </si>
  <si>
    <t>Humanitás Sportegyesület</t>
  </si>
  <si>
    <t>Tatai Önkéntes Bűnmegelőző Polgárőr Egyesület (340 E Ft általános tartalékból)</t>
  </si>
  <si>
    <t>Juniorka Bölcsőde támogatása - ellátási szerződés alapján (általános tartalékból 2 303 E Ft)</t>
  </si>
  <si>
    <t>Juniorka Óvoda támogatása - köznevelési szerződés alapján (általános tartalékból 3 830 E Ft)</t>
  </si>
  <si>
    <t xml:space="preserve">Tatai Kistérségi Többcélú Társuláshoz tartozó önkormányzatoknak ügyeleti támogatás visszautalása </t>
  </si>
  <si>
    <t>Tatai Kistérségi Többcélú Társulásnak támogatás (általános tartalékból 1 942 E Ft)</t>
  </si>
  <si>
    <t>Tatai 9. sz. háziorvosi körzet helyettesítési feladataira támogatás</t>
  </si>
  <si>
    <t>Mód. 
(IX. 11.)</t>
  </si>
  <si>
    <t>Tatai Mentőállomás klimatizálás</t>
  </si>
  <si>
    <t>Műfüves grundpálya</t>
  </si>
  <si>
    <t xml:space="preserve">Bölcsődei szakemberek szakmai fejlesztése EFOP-1.9.9-17-2017-00006 </t>
  </si>
  <si>
    <t>Sporttevékenységhez kapcsolódó egyéb tárgyi eszköz beszerzés</t>
  </si>
  <si>
    <t>Videó rögzítéséhez egyéb tárgyi eszköz beszerzés</t>
  </si>
  <si>
    <t>Malom-patakhoz töltővezeték</t>
  </si>
  <si>
    <t>Mód                          (IX. 11.)</t>
  </si>
  <si>
    <t>Mód                              (IX. 11.)</t>
  </si>
  <si>
    <t>Mód                                    (IX. 11.)</t>
  </si>
  <si>
    <t>Mód                                   (IX. 11.)</t>
  </si>
  <si>
    <t xml:space="preserve"> Mód.                               (IX. 11.)</t>
  </si>
  <si>
    <t>Mód.                                         (IX. 11.)</t>
  </si>
  <si>
    <t xml:space="preserve">Elvonások és befizetések bevételei </t>
  </si>
  <si>
    <t>Mód (IX.  11. )</t>
  </si>
  <si>
    <t>Elszámolás a központ költségvetéssel és költségvetési szerveinkkel</t>
  </si>
  <si>
    <t>1354/2019 VI.14 korm hat alapján támogatás minimálbér és garantált bérminimum többletére</t>
  </si>
  <si>
    <t>1346/2019 VI.11 korm hat alapján támogatás a nappali melegedők meghosszabbított nyitvatartására</t>
  </si>
  <si>
    <t>2019. évi felhalmozási célú bevételek és kiadások mérlege (E Ft-ban)</t>
  </si>
  <si>
    <t>Dunalmási kirendeltség</t>
  </si>
  <si>
    <t>Mindöszesen:</t>
  </si>
  <si>
    <t>Mindösszesen:</t>
  </si>
  <si>
    <t>Mód.     (IX. 11.)</t>
  </si>
  <si>
    <t>Mód.
(IX. 11.)</t>
  </si>
  <si>
    <t>Mód.   (IV. 24.)</t>
  </si>
  <si>
    <t>Mód.(IX. 11.)</t>
  </si>
  <si>
    <t>Udvari játékok</t>
  </si>
  <si>
    <t>Kis értékű tárgyi eszközök vásárlása étkeztetéshez (hűtőszekrény, hűtőláda, ételszállító kocsi)</t>
  </si>
  <si>
    <t>Udvari játékok vásárlása</t>
  </si>
  <si>
    <t>Pancsoló építése (2 db), öntözőberendezés építése</t>
  </si>
  <si>
    <t>Járda építése, térkőből lerakása</t>
  </si>
  <si>
    <t>Uszodai hajszárítók</t>
  </si>
  <si>
    <t>Étkeztetés szoftver beszerzése</t>
  </si>
  <si>
    <t>Járásszékhely Pályázat</t>
  </si>
  <si>
    <t>Polc és szőnyeg vásárlás</t>
  </si>
  <si>
    <t>Kamerarendszer bővítése</t>
  </si>
  <si>
    <t>Káresemény miatti felújítás (Gombaház nádteteje)</t>
  </si>
  <si>
    <t>Káresemények miatti felújítás</t>
  </si>
  <si>
    <t>Két gondozási egység felújítása</t>
  </si>
  <si>
    <t>Lámatestek cseréje (6  csoportszobában)</t>
  </si>
  <si>
    <t>M.adókat
terh. jár.
és szocho</t>
  </si>
  <si>
    <t>Mód. (IX.  11.)</t>
  </si>
  <si>
    <t>11212-55212</t>
  </si>
  <si>
    <t>Országgyűlési, önkormányzati és európai parlamenti képviselőválasztáshoz kapcsolódó tevékenységek</t>
  </si>
  <si>
    <t>11502-55502</t>
  </si>
  <si>
    <t>Neszmélyi kirendeltség összesen</t>
  </si>
  <si>
    <t>1201-5301</t>
  </si>
  <si>
    <t>11302-55302</t>
  </si>
  <si>
    <t>Dunaalmási kirendeltség összesen</t>
  </si>
  <si>
    <t>11402-55402</t>
  </si>
  <si>
    <t>Dunaszentmiklósi kirendeltség összesen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</si>
</sst>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E]General"/>
    <numFmt numFmtId="165" formatCode="_-* #,##0.00\ _F_t_-;\-* #,##0.00\ _F_t_-;_-* \-??\ _F_t_-;_-@_-"/>
    <numFmt numFmtId="166" formatCode="#,##0_ ;\-#,##0\ "/>
    <numFmt numFmtId="167" formatCode="0.0"/>
    <numFmt numFmtId="168" formatCode="#,##0.0"/>
  </numFmts>
  <fonts count="64">
    <font>
      <sz val="11"/>
      <color theme="1"/>
      <name val="Calibri"/>
      <family val="2"/>
      <charset val="238"/>
      <scheme val="minor"/>
    </font>
    <font>
      <sz val="10"/>
      <name val="MS Sans Serif"/>
      <family val="2"/>
      <charset val="238"/>
    </font>
    <font>
      <b/>
      <sz val="11"/>
      <name val="Times New Roman CE"/>
      <family val="1"/>
      <charset val="238"/>
    </font>
    <font>
      <sz val="11"/>
      <color theme="1"/>
      <name val="Times New Roman CE"/>
      <charset val="238"/>
    </font>
    <font>
      <b/>
      <sz val="11"/>
      <name val="Times New Roman CE"/>
      <charset val="238"/>
    </font>
    <font>
      <sz val="11"/>
      <name val="Times New Roman CE"/>
      <charset val="238"/>
    </font>
    <font>
      <i/>
      <sz val="11"/>
      <name val="Times New Roman CE"/>
      <charset val="238"/>
    </font>
    <font>
      <sz val="11"/>
      <color theme="1"/>
      <name val="Times New Roman"/>
      <family val="1"/>
      <charset val="238"/>
    </font>
    <font>
      <sz val="10"/>
      <name val="Arial CE"/>
      <family val="2"/>
      <charset val="238"/>
    </font>
    <font>
      <sz val="10"/>
      <name val="Arial"/>
      <family val="2"/>
      <charset val="238"/>
    </font>
    <font>
      <sz val="11"/>
      <name val="Times New Roman CE"/>
      <family val="1"/>
      <charset val="238"/>
    </font>
    <font>
      <i/>
      <sz val="11"/>
      <name val="Times New Roman"/>
      <family val="1"/>
      <charset val="238"/>
    </font>
    <font>
      <i/>
      <sz val="11"/>
      <name val="Times New Roman CE"/>
      <family val="1"/>
      <charset val="238"/>
    </font>
    <font>
      <sz val="11"/>
      <name val="Times New Roman"/>
      <family val="1"/>
      <charset val="238"/>
    </font>
    <font>
      <b/>
      <sz val="11"/>
      <name val="Times New Roman"/>
      <family val="1"/>
      <charset val="238"/>
    </font>
    <font>
      <b/>
      <sz val="11"/>
      <color theme="1"/>
      <name val="Times New Roman CE"/>
      <family val="1"/>
      <charset val="238"/>
    </font>
    <font>
      <b/>
      <u/>
      <sz val="11"/>
      <name val="Times New Roman CE"/>
      <family val="1"/>
      <charset val="238"/>
    </font>
    <font>
      <b/>
      <i/>
      <sz val="11"/>
      <name val="Times New Roman"/>
      <family val="1"/>
      <charset val="238"/>
    </font>
    <font>
      <sz val="11"/>
      <color rgb="FF000000"/>
      <name val="Calibri"/>
      <family val="2"/>
      <charset val="238"/>
    </font>
    <font>
      <sz val="10"/>
      <color rgb="FF000000"/>
      <name val="Arial CE"/>
      <family val="2"/>
      <charset val="238"/>
    </font>
    <font>
      <sz val="11"/>
      <color rgb="FF000000"/>
      <name val="Times New Roman"/>
      <family val="1"/>
      <charset val="238"/>
    </font>
    <font>
      <b/>
      <sz val="11"/>
      <color rgb="FF000000"/>
      <name val="Times New Roman"/>
      <family val="1"/>
      <charset val="238"/>
    </font>
    <font>
      <b/>
      <i/>
      <sz val="11"/>
      <name val="Times New Roman CE"/>
      <charset val="238"/>
    </font>
    <font>
      <sz val="10"/>
      <color theme="1"/>
      <name val="Arial CE"/>
      <charset val="238"/>
    </font>
    <font>
      <b/>
      <sz val="11"/>
      <color theme="1"/>
      <name val="Times New Roman"/>
      <family val="1"/>
      <charset val="238"/>
    </font>
    <font>
      <sz val="11"/>
      <color rgb="FF000000"/>
      <name val="Arial"/>
      <family val="2"/>
      <charset val="238"/>
    </font>
    <font>
      <i/>
      <sz val="11"/>
      <color rgb="FF7F7F7F"/>
      <name val="Calibri"/>
      <family val="2"/>
      <charset val="238"/>
      <scheme val="minor"/>
    </font>
    <font>
      <b/>
      <sz val="11"/>
      <color theme="1"/>
      <name val="Calibri"/>
      <family val="2"/>
      <charset val="238"/>
      <scheme val="minor"/>
    </font>
    <font>
      <b/>
      <sz val="11"/>
      <color indexed="8"/>
      <name val="Times New Roman"/>
      <family val="1"/>
      <charset val="238"/>
    </font>
    <font>
      <sz val="11"/>
      <color indexed="8"/>
      <name val="Times New Roman"/>
      <family val="1"/>
      <charset val="238"/>
    </font>
    <font>
      <sz val="12"/>
      <color theme="1"/>
      <name val="Calibri"/>
      <family val="2"/>
      <charset val="238"/>
      <scheme val="minor"/>
    </font>
    <font>
      <sz val="11"/>
      <name val="Times New Roman"/>
      <family val="1"/>
    </font>
    <font>
      <b/>
      <u/>
      <sz val="11"/>
      <name val="Times New Roman"/>
      <family val="1"/>
    </font>
    <font>
      <b/>
      <sz val="11"/>
      <name val="Times New Roman"/>
      <family val="1"/>
    </font>
    <font>
      <i/>
      <sz val="11"/>
      <color theme="1"/>
      <name val="Times New Roman"/>
      <family val="1"/>
      <charset val="238"/>
    </font>
    <font>
      <sz val="12"/>
      <name val="Times New Roman"/>
      <family val="1"/>
      <charset val="238"/>
    </font>
    <font>
      <b/>
      <sz val="14"/>
      <name val="Times New Roman CE"/>
      <charset val="238"/>
    </font>
    <font>
      <b/>
      <sz val="10"/>
      <name val="Times New Roman CE"/>
      <charset val="238"/>
    </font>
    <font>
      <sz val="10"/>
      <name val="Times New Roman CE"/>
      <charset val="238"/>
    </font>
    <font>
      <b/>
      <sz val="12"/>
      <name val="Times New Roman CE"/>
      <charset val="238"/>
    </font>
    <font>
      <b/>
      <i/>
      <sz val="12"/>
      <name val="Times New Roman CE"/>
      <charset val="238"/>
    </font>
    <font>
      <i/>
      <sz val="12"/>
      <name val="Times New Roman CE"/>
      <charset val="238"/>
    </font>
    <font>
      <sz val="12"/>
      <name val="Times New Roman CE"/>
      <charset val="238"/>
    </font>
    <font>
      <sz val="9"/>
      <name val="Times New Roman CE"/>
      <charset val="238"/>
    </font>
    <font>
      <sz val="8"/>
      <name val="Times New Roman CE"/>
      <charset val="238"/>
    </font>
    <font>
      <b/>
      <sz val="16"/>
      <name val="Times New Roman CE"/>
      <charset val="238"/>
    </font>
    <font>
      <b/>
      <sz val="11"/>
      <color theme="1"/>
      <name val="Times New Roman CE"/>
      <charset val="238"/>
    </font>
    <font>
      <sz val="11"/>
      <color indexed="10"/>
      <name val="Times New Roman"/>
      <family val="1"/>
      <charset val="238"/>
    </font>
    <font>
      <sz val="8"/>
      <color theme="1"/>
      <name val="Times New Roman CE"/>
      <charset val="238"/>
    </font>
    <font>
      <sz val="12"/>
      <color theme="1"/>
      <name val="Times New Roman"/>
      <family val="1"/>
      <charset val="238"/>
    </font>
    <font>
      <sz val="10"/>
      <color theme="1"/>
      <name val="Calibri"/>
      <family val="2"/>
      <charset val="238"/>
      <scheme val="minor"/>
    </font>
    <font>
      <sz val="12"/>
      <name val="Times New Roman CE"/>
      <family val="1"/>
      <charset val="238"/>
    </font>
    <font>
      <b/>
      <sz val="10"/>
      <color rgb="FF000000"/>
      <name val="Times New Roman"/>
      <family val="1"/>
      <charset val="238"/>
    </font>
    <font>
      <i/>
      <sz val="11"/>
      <color rgb="FF000000"/>
      <name val="Times New Roman"/>
      <family val="1"/>
      <charset val="238"/>
    </font>
    <font>
      <i/>
      <sz val="10"/>
      <color rgb="FF000000"/>
      <name val="Times New Roman"/>
      <family val="1"/>
      <charset val="238"/>
    </font>
    <font>
      <b/>
      <sz val="8"/>
      <color rgb="FF000000"/>
      <name val="Times New Roman"/>
      <family val="1"/>
      <charset val="238"/>
    </font>
    <font>
      <b/>
      <sz val="6"/>
      <color rgb="FF000000"/>
      <name val="Times New Roman1"/>
      <charset val="238"/>
    </font>
    <font>
      <sz val="6"/>
      <color theme="1"/>
      <name val="Calibri"/>
      <family val="2"/>
      <charset val="238"/>
      <scheme val="minor"/>
    </font>
    <font>
      <sz val="6"/>
      <color rgb="FF000000"/>
      <name val="Times New Roman1"/>
      <charset val="238"/>
    </font>
    <font>
      <b/>
      <sz val="6"/>
      <color rgb="FF000000"/>
      <name val="Times New Roman"/>
      <family val="1"/>
      <charset val="238"/>
    </font>
    <font>
      <sz val="6"/>
      <color rgb="FF000000"/>
      <name val="Times New Roman"/>
      <family val="1"/>
      <charset val="238"/>
    </font>
    <font>
      <b/>
      <sz val="6"/>
      <color theme="1"/>
      <name val="Calibri"/>
      <family val="2"/>
      <charset val="238"/>
      <scheme val="minor"/>
    </font>
    <font>
      <sz val="6"/>
      <color theme="1"/>
      <name val="Times New Roman CE"/>
      <charset val="238"/>
    </font>
    <font>
      <b/>
      <sz val="8"/>
      <color theme="1"/>
      <name val="Times New Roman CE"/>
      <charset val="238"/>
    </font>
  </fonts>
  <fills count="6">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indexed="9"/>
        <bgColor indexed="26"/>
      </patternFill>
    </fill>
    <fill>
      <patternFill patternType="solid">
        <fgColor rgb="FFFFFFFF"/>
        <bgColor rgb="FFFFFFFF"/>
      </patternFill>
    </fill>
  </fills>
  <borders count="154">
    <border>
      <left/>
      <right/>
      <top/>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8"/>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bottom style="thin">
        <color auto="1"/>
      </bottom>
      <diagonal/>
    </border>
    <border>
      <left/>
      <right style="thin">
        <color indexed="64"/>
      </right>
      <top style="thin">
        <color indexed="64"/>
      </top>
      <bottom style="medium">
        <color indexed="64"/>
      </bottom>
      <diagonal/>
    </border>
    <border>
      <left/>
      <right/>
      <top style="medium">
        <color auto="1"/>
      </top>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auto="1"/>
      </left>
      <right/>
      <top style="thin">
        <color auto="1"/>
      </top>
      <bottom/>
      <diagonal/>
    </border>
    <border>
      <left style="medium">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8"/>
      </top>
      <bottom style="thin">
        <color indexed="8"/>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diagonal/>
    </border>
    <border>
      <left style="medium">
        <color indexed="64"/>
      </left>
      <right/>
      <top style="medium">
        <color indexed="64"/>
      </top>
      <bottom style="thin">
        <color indexed="8"/>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auto="1"/>
      </left>
      <right/>
      <top style="medium">
        <color indexed="64"/>
      </top>
      <bottom/>
      <diagonal/>
    </border>
    <border>
      <left style="thin">
        <color indexed="64"/>
      </left>
      <right style="thin">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auto="1"/>
      </top>
      <bottom/>
      <diagonal/>
    </border>
    <border>
      <left style="medium">
        <color indexed="64"/>
      </left>
      <right/>
      <top style="thin">
        <color indexed="8"/>
      </top>
      <bottom/>
      <diagonal/>
    </border>
    <border>
      <left style="medium">
        <color indexed="64"/>
      </left>
      <right style="thin">
        <color auto="1"/>
      </right>
      <top style="thin">
        <color auto="1"/>
      </top>
      <bottom/>
      <diagonal/>
    </border>
    <border>
      <left style="thin">
        <color indexed="64"/>
      </left>
      <right style="thin">
        <color indexed="64"/>
      </right>
      <top style="thin">
        <color auto="1"/>
      </top>
      <bottom/>
      <diagonal/>
    </border>
    <border>
      <left style="thin">
        <color indexed="64"/>
      </left>
      <right style="medium">
        <color indexed="64"/>
      </right>
      <top style="thin">
        <color indexed="64"/>
      </top>
      <bottom/>
      <diagonal/>
    </border>
    <border>
      <left style="thin">
        <color indexed="64"/>
      </left>
      <right/>
      <top style="thin">
        <color auto="1"/>
      </top>
      <bottom style="thin">
        <color auto="1"/>
      </bottom>
      <diagonal/>
    </border>
    <border>
      <left style="medium">
        <color indexed="64"/>
      </left>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thin">
        <color indexed="64"/>
      </right>
      <top style="thin">
        <color auto="1"/>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indexed="64"/>
      </bottom>
      <diagonal/>
    </border>
    <border>
      <left style="medium">
        <color indexed="64"/>
      </left>
      <right/>
      <top style="thin">
        <color indexed="64"/>
      </top>
      <bottom/>
      <diagonal/>
    </border>
    <border>
      <left/>
      <right/>
      <top style="thin">
        <color auto="1"/>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auto="1"/>
      </top>
      <bottom style="thin">
        <color auto="1"/>
      </bottom>
      <diagonal/>
    </border>
    <border>
      <left style="thick">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auto="1"/>
      </right>
      <top style="thin">
        <color auto="1"/>
      </top>
      <bottom style="thin">
        <color auto="1"/>
      </bottom>
      <diagonal/>
    </border>
    <border>
      <left style="thin">
        <color indexed="64"/>
      </left>
      <right/>
      <top/>
      <bottom style="medium">
        <color indexed="64"/>
      </bottom>
      <diagonal/>
    </border>
  </borders>
  <cellStyleXfs count="20">
    <xf numFmtId="0" fontId="0" fillId="0" borderId="0"/>
    <xf numFmtId="0" fontId="1" fillId="0" borderId="0"/>
    <xf numFmtId="0" fontId="8" fillId="0" borderId="0"/>
    <xf numFmtId="0" fontId="9" fillId="0" borderId="0"/>
    <xf numFmtId="0" fontId="18" fillId="0" borderId="0"/>
    <xf numFmtId="0" fontId="19" fillId="0" borderId="0"/>
    <xf numFmtId="0" fontId="8" fillId="0" borderId="0"/>
    <xf numFmtId="0" fontId="18" fillId="0" borderId="0"/>
    <xf numFmtId="164" fontId="23" fillId="0" borderId="0"/>
    <xf numFmtId="0" fontId="9" fillId="0" borderId="0"/>
    <xf numFmtId="0" fontId="25" fillId="0" borderId="0"/>
    <xf numFmtId="165" fontId="8" fillId="0" borderId="0" applyFill="0" applyBorder="0" applyAlignment="0" applyProtection="0"/>
    <xf numFmtId="0" fontId="26" fillId="0" borderId="0" applyNumberFormat="0" applyFill="0" applyBorder="0" applyAlignment="0" applyProtection="0"/>
    <xf numFmtId="0" fontId="8" fillId="0" borderId="0"/>
    <xf numFmtId="0" fontId="9" fillId="0" borderId="0"/>
    <xf numFmtId="0" fontId="30" fillId="0" borderId="0"/>
    <xf numFmtId="0" fontId="9" fillId="0" borderId="0"/>
    <xf numFmtId="0" fontId="9" fillId="0" borderId="0"/>
    <xf numFmtId="0" fontId="18" fillId="0" borderId="0"/>
    <xf numFmtId="164" fontId="18" fillId="0" borderId="0" applyBorder="0" applyProtection="0"/>
  </cellStyleXfs>
  <cellXfs count="2100">
    <xf numFmtId="0" fontId="0" fillId="0" borderId="0" xfId="0"/>
    <xf numFmtId="0" fontId="3" fillId="0" borderId="0" xfId="0" applyFont="1" applyAlignment="1">
      <alignment vertical="center"/>
    </xf>
    <xf numFmtId="0" fontId="5" fillId="0" borderId="0" xfId="0" applyFont="1" applyAlignment="1">
      <alignment vertical="center"/>
    </xf>
    <xf numFmtId="3" fontId="5" fillId="0" borderId="0" xfId="0" applyNumberFormat="1" applyFont="1" applyAlignment="1">
      <alignment vertical="center"/>
    </xf>
    <xf numFmtId="0" fontId="5" fillId="0" borderId="5" xfId="0" applyFont="1" applyBorder="1" applyAlignment="1">
      <alignment vertical="center"/>
    </xf>
    <xf numFmtId="0" fontId="10" fillId="0" borderId="0" xfId="1" applyFont="1" applyAlignment="1">
      <alignment vertical="center"/>
    </xf>
    <xf numFmtId="0" fontId="2" fillId="0" borderId="0" xfId="1" applyFont="1" applyAlignment="1">
      <alignment vertical="center"/>
    </xf>
    <xf numFmtId="0" fontId="10" fillId="0" borderId="0" xfId="1" applyFont="1" applyAlignment="1">
      <alignment vertical="center" wrapText="1"/>
    </xf>
    <xf numFmtId="0" fontId="2" fillId="0" borderId="11" xfId="1" applyFont="1" applyBorder="1" applyAlignment="1">
      <alignment horizontal="center" vertical="center" wrapText="1"/>
    </xf>
    <xf numFmtId="3" fontId="2" fillId="0" borderId="13" xfId="1" applyNumberFormat="1" applyFont="1" applyBorder="1" applyAlignment="1">
      <alignment vertical="center"/>
    </xf>
    <xf numFmtId="0" fontId="2" fillId="0" borderId="12" xfId="2" applyFont="1" applyBorder="1" applyAlignment="1">
      <alignment vertical="center" wrapText="1"/>
    </xf>
    <xf numFmtId="3" fontId="2" fillId="0" borderId="13" xfId="2" applyNumberFormat="1" applyFont="1" applyBorder="1" applyAlignment="1">
      <alignment vertical="center"/>
    </xf>
    <xf numFmtId="0" fontId="10" fillId="0" borderId="0" xfId="2" applyFont="1" applyAlignment="1">
      <alignment vertical="center" wrapText="1"/>
    </xf>
    <xf numFmtId="0" fontId="10" fillId="0" borderId="0" xfId="2" applyFont="1" applyAlignment="1">
      <alignment vertical="center"/>
    </xf>
    <xf numFmtId="0" fontId="2" fillId="0" borderId="0" xfId="1" applyFont="1" applyAlignment="1">
      <alignment horizontal="center" vertical="center" wrapText="1"/>
    </xf>
    <xf numFmtId="0" fontId="2" fillId="0" borderId="0" xfId="1" applyFont="1" applyAlignment="1">
      <alignment vertical="center" wrapText="1"/>
    </xf>
    <xf numFmtId="3" fontId="2" fillId="0" borderId="0" xfId="1" applyNumberFormat="1" applyFont="1" applyAlignment="1">
      <alignment vertical="center"/>
    </xf>
    <xf numFmtId="0" fontId="16" fillId="0" borderId="0" xfId="1" applyFont="1" applyAlignment="1">
      <alignment vertical="center" wrapText="1"/>
    </xf>
    <xf numFmtId="3" fontId="16" fillId="0" borderId="0" xfId="1" applyNumberFormat="1" applyFont="1" applyAlignment="1">
      <alignment vertical="center"/>
    </xf>
    <xf numFmtId="3" fontId="4" fillId="0" borderId="0" xfId="1" applyNumberFormat="1" applyFont="1" applyAlignment="1">
      <alignment vertical="center"/>
    </xf>
    <xf numFmtId="3" fontId="10" fillId="0" borderId="0" xfId="1" applyNumberFormat="1" applyFont="1" applyAlignment="1">
      <alignment vertical="center" wrapText="1"/>
    </xf>
    <xf numFmtId="3" fontId="4" fillId="0" borderId="0" xfId="1" applyNumberFormat="1" applyFont="1" applyAlignment="1">
      <alignment horizontal="right" vertical="center"/>
    </xf>
    <xf numFmtId="0" fontId="4" fillId="0" borderId="6"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3" fontId="13" fillId="0" borderId="0" xfId="0" applyNumberFormat="1" applyFont="1" applyAlignment="1">
      <alignment vertical="center"/>
    </xf>
    <xf numFmtId="3" fontId="14" fillId="0" borderId="7" xfId="0" applyNumberFormat="1" applyFont="1" applyBorder="1" applyAlignment="1">
      <alignment vertical="center" shrinkToFit="1"/>
    </xf>
    <xf numFmtId="3" fontId="14" fillId="0" borderId="18" xfId="0" applyNumberFormat="1" applyFont="1" applyBorder="1" applyAlignment="1">
      <alignment vertical="center" shrinkToFit="1"/>
    </xf>
    <xf numFmtId="3" fontId="14" fillId="0" borderId="7" xfId="0" applyNumberFormat="1" applyFont="1" applyBorder="1" applyAlignment="1">
      <alignment vertical="center" wrapText="1"/>
    </xf>
    <xf numFmtId="0" fontId="4" fillId="0" borderId="0" xfId="0" applyFont="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5" fillId="0" borderId="9" xfId="0" applyFont="1" applyBorder="1" applyAlignment="1">
      <alignment vertical="center"/>
    </xf>
    <xf numFmtId="0" fontId="5" fillId="0" borderId="2" xfId="0" applyFont="1" applyBorder="1" applyAlignment="1">
      <alignment vertical="center"/>
    </xf>
    <xf numFmtId="0" fontId="4" fillId="0" borderId="9" xfId="0" applyFont="1" applyBorder="1" applyAlignment="1">
      <alignment vertical="center"/>
    </xf>
    <xf numFmtId="37" fontId="4" fillId="0" borderId="0" xfId="0" applyNumberFormat="1" applyFont="1" applyAlignment="1">
      <alignment vertical="center"/>
    </xf>
    <xf numFmtId="0" fontId="22" fillId="0" borderId="9" xfId="0" applyFont="1" applyBorder="1" applyAlignment="1">
      <alignment vertical="center"/>
    </xf>
    <xf numFmtId="0" fontId="22" fillId="0" borderId="0" xfId="0" applyFont="1" applyAlignment="1">
      <alignment vertical="center"/>
    </xf>
    <xf numFmtId="0" fontId="6" fillId="0" borderId="0" xfId="0" applyFont="1" applyAlignment="1">
      <alignment vertical="center"/>
    </xf>
    <xf numFmtId="0" fontId="4" fillId="0" borderId="18" xfId="0" applyFont="1" applyBorder="1" applyAlignment="1">
      <alignment vertical="center" wrapText="1"/>
    </xf>
    <xf numFmtId="0" fontId="7" fillId="0" borderId="0" xfId="0" applyFont="1" applyAlignment="1">
      <alignment vertical="center"/>
    </xf>
    <xf numFmtId="3" fontId="13" fillId="0" borderId="0" xfId="9" applyNumberFormat="1" applyFont="1" applyAlignment="1">
      <alignment horizontal="left" vertical="center" wrapText="1"/>
    </xf>
    <xf numFmtId="0" fontId="13" fillId="0" borderId="0" xfId="9" applyFont="1" applyAlignment="1">
      <alignment vertical="center" wrapText="1"/>
    </xf>
    <xf numFmtId="166" fontId="13" fillId="0" borderId="0" xfId="11" applyNumberFormat="1" applyFont="1" applyAlignment="1">
      <alignment horizontal="left" vertical="center" wrapText="1"/>
    </xf>
    <xf numFmtId="166" fontId="14" fillId="0" borderId="0" xfId="9" applyNumberFormat="1" applyFont="1" applyAlignment="1">
      <alignment horizontal="left" vertical="center" wrapText="1"/>
    </xf>
    <xf numFmtId="3" fontId="14" fillId="0" borderId="0" xfId="9" applyNumberFormat="1" applyFont="1" applyAlignment="1">
      <alignment horizontal="left" vertical="center" wrapText="1"/>
    </xf>
    <xf numFmtId="0" fontId="13" fillId="0" borderId="0" xfId="0" applyFont="1" applyAlignment="1">
      <alignment horizontal="center" vertical="center"/>
    </xf>
    <xf numFmtId="0" fontId="14" fillId="0" borderId="12" xfId="9" applyFont="1" applyBorder="1" applyAlignment="1">
      <alignment horizontal="center" vertical="center" wrapText="1"/>
    </xf>
    <xf numFmtId="0" fontId="7" fillId="0" borderId="0" xfId="0" applyFont="1"/>
    <xf numFmtId="0" fontId="7" fillId="0" borderId="0" xfId="0" applyFont="1" applyAlignment="1">
      <alignment horizontal="center" vertical="center"/>
    </xf>
    <xf numFmtId="3" fontId="13" fillId="0" borderId="0" xfId="0" applyNumberFormat="1" applyFont="1" applyAlignment="1">
      <alignment horizontal="right" vertical="center"/>
    </xf>
    <xf numFmtId="0" fontId="14" fillId="0" borderId="0" xfId="0" applyFont="1" applyAlignment="1">
      <alignment vertical="center" wrapText="1"/>
    </xf>
    <xf numFmtId="3" fontId="14" fillId="0" borderId="0" xfId="0" applyNumberFormat="1" applyFont="1" applyAlignment="1">
      <alignment horizontal="right" vertical="center"/>
    </xf>
    <xf numFmtId="0" fontId="13" fillId="0" borderId="0" xfId="0" applyFont="1" applyAlignment="1">
      <alignment vertical="center" wrapText="1"/>
    </xf>
    <xf numFmtId="0" fontId="13" fillId="0" borderId="0" xfId="9" applyFont="1" applyAlignment="1">
      <alignment vertical="center"/>
    </xf>
    <xf numFmtId="0" fontId="14" fillId="0" borderId="0" xfId="12" applyFont="1" applyAlignment="1">
      <alignment horizontal="center" vertical="center"/>
    </xf>
    <xf numFmtId="0" fontId="13" fillId="0" borderId="0" xfId="9" applyFont="1" applyAlignment="1">
      <alignment horizontal="center" vertical="center"/>
    </xf>
    <xf numFmtId="0" fontId="14" fillId="0" borderId="0" xfId="9" applyFont="1" applyAlignment="1">
      <alignment vertical="center"/>
    </xf>
    <xf numFmtId="0" fontId="13" fillId="4" borderId="0" xfId="9" applyFont="1" applyFill="1" applyAlignment="1">
      <alignment vertical="center"/>
    </xf>
    <xf numFmtId="3" fontId="13" fillId="0" borderId="0" xfId="9" applyNumberFormat="1" applyFont="1" applyAlignment="1">
      <alignment vertical="center"/>
    </xf>
    <xf numFmtId="0" fontId="17" fillId="0" borderId="0" xfId="9" applyFont="1" applyAlignment="1">
      <alignment vertical="center"/>
    </xf>
    <xf numFmtId="0" fontId="11" fillId="0" borderId="0" xfId="9" applyFont="1" applyAlignment="1">
      <alignment vertical="center"/>
    </xf>
    <xf numFmtId="0" fontId="14" fillId="0" borderId="0" xfId="0" applyFont="1" applyAlignment="1">
      <alignment horizontal="center" vertical="center" wrapText="1"/>
    </xf>
    <xf numFmtId="0" fontId="14" fillId="0" borderId="0" xfId="0" applyFont="1" applyAlignment="1">
      <alignment horizontal="justify" vertical="center"/>
    </xf>
    <xf numFmtId="167" fontId="13" fillId="0" borderId="0" xfId="0" applyNumberFormat="1" applyFont="1" applyAlignment="1">
      <alignment vertical="center"/>
    </xf>
    <xf numFmtId="0" fontId="13" fillId="0" borderId="0" xfId="0" applyFont="1" applyAlignment="1">
      <alignment horizontal="justify" vertical="center"/>
    </xf>
    <xf numFmtId="0" fontId="14" fillId="0" borderId="0" xfId="13" applyFont="1" applyAlignment="1">
      <alignment horizontal="center" vertical="center"/>
    </xf>
    <xf numFmtId="0" fontId="29" fillId="0" borderId="0" xfId="0" applyFont="1" applyAlignment="1">
      <alignment vertical="center"/>
    </xf>
    <xf numFmtId="0" fontId="28" fillId="0" borderId="13" xfId="0" applyFont="1" applyBorder="1" applyAlignment="1">
      <alignment horizontal="center" vertical="center" wrapText="1"/>
    </xf>
    <xf numFmtId="49" fontId="13" fillId="0" borderId="0" xfId="14" applyNumberFormat="1" applyFont="1" applyAlignment="1">
      <alignment horizontal="center"/>
    </xf>
    <xf numFmtId="0" fontId="13" fillId="0" borderId="0" xfId="14" applyFont="1"/>
    <xf numFmtId="3" fontId="13" fillId="0" borderId="0" xfId="14" applyNumberFormat="1" applyFont="1"/>
    <xf numFmtId="3" fontId="14" fillId="0" borderId="0" xfId="14" applyNumberFormat="1" applyFont="1"/>
    <xf numFmtId="49" fontId="13" fillId="0" borderId="0" xfId="14" applyNumberFormat="1" applyFont="1" applyAlignment="1">
      <alignment horizontal="center" vertical="center"/>
    </xf>
    <xf numFmtId="49" fontId="13" fillId="0" borderId="0" xfId="14" applyNumberFormat="1" applyFont="1" applyAlignment="1">
      <alignment horizontal="center" vertical="center" wrapText="1"/>
    </xf>
    <xf numFmtId="0" fontId="13" fillId="0" borderId="0" xfId="14" applyFont="1" applyAlignment="1">
      <alignment vertical="center"/>
    </xf>
    <xf numFmtId="49" fontId="13" fillId="0" borderId="0" xfId="9" applyNumberFormat="1" applyFont="1" applyAlignment="1">
      <alignment horizontal="center" vertical="center"/>
    </xf>
    <xf numFmtId="0" fontId="14" fillId="0" borderId="0" xfId="14" applyFont="1" applyAlignment="1">
      <alignment horizontal="left" vertical="center"/>
    </xf>
    <xf numFmtId="3" fontId="14" fillId="0" borderId="0" xfId="14" applyNumberFormat="1" applyFont="1" applyAlignment="1">
      <alignment horizontal="right" vertical="center"/>
    </xf>
    <xf numFmtId="3" fontId="14" fillId="0" borderId="0" xfId="14" applyNumberFormat="1" applyFont="1" applyAlignment="1">
      <alignment horizontal="left" vertical="center"/>
    </xf>
    <xf numFmtId="3" fontId="14" fillId="0" borderId="13" xfId="14" applyNumberFormat="1" applyFont="1" applyBorder="1" applyAlignment="1">
      <alignment horizontal="right" vertical="center"/>
    </xf>
    <xf numFmtId="0" fontId="31" fillId="0" borderId="0" xfId="16" applyFont="1" applyAlignment="1">
      <alignment vertical="center"/>
    </xf>
    <xf numFmtId="3" fontId="31" fillId="0" borderId="0" xfId="0" applyNumberFormat="1" applyFont="1" applyAlignment="1">
      <alignment vertical="center" wrapText="1"/>
    </xf>
    <xf numFmtId="3" fontId="31" fillId="0" borderId="0" xfId="0" applyNumberFormat="1" applyFont="1" applyAlignment="1">
      <alignment vertical="center"/>
    </xf>
    <xf numFmtId="0" fontId="32" fillId="0" borderId="0" xfId="16" applyFont="1" applyAlignment="1">
      <alignment vertical="center"/>
    </xf>
    <xf numFmtId="0" fontId="33" fillId="0" borderId="0" xfId="16" applyFont="1" applyAlignment="1">
      <alignment vertical="center"/>
    </xf>
    <xf numFmtId="3" fontId="31" fillId="0" borderId="0" xfId="16" applyNumberFormat="1" applyFont="1" applyAlignment="1">
      <alignment vertical="center" wrapText="1"/>
    </xf>
    <xf numFmtId="3" fontId="31" fillId="0" borderId="0" xfId="16" applyNumberFormat="1" applyFont="1" applyAlignment="1">
      <alignment vertical="center"/>
    </xf>
    <xf numFmtId="0" fontId="13" fillId="0" borderId="0" xfId="17" applyFont="1" applyAlignment="1">
      <alignment vertical="center" wrapText="1"/>
    </xf>
    <xf numFmtId="0" fontId="13" fillId="0" borderId="0" xfId="17" applyFont="1" applyAlignment="1">
      <alignment vertical="center"/>
    </xf>
    <xf numFmtId="0" fontId="13" fillId="0" borderId="0" xfId="17" applyFont="1" applyAlignment="1">
      <alignment horizontal="center" vertical="center" wrapText="1"/>
    </xf>
    <xf numFmtId="3" fontId="13" fillId="0" borderId="0" xfId="17" applyNumberFormat="1" applyFont="1" applyAlignment="1">
      <alignment vertical="center"/>
    </xf>
    <xf numFmtId="3" fontId="13" fillId="0" borderId="0" xfId="17" applyNumberFormat="1" applyFont="1" applyAlignment="1">
      <alignment vertical="center" wrapText="1"/>
    </xf>
    <xf numFmtId="3" fontId="14" fillId="0" borderId="13" xfId="0" applyNumberFormat="1" applyFont="1" applyBorder="1" applyAlignment="1">
      <alignment vertical="center"/>
    </xf>
    <xf numFmtId="3" fontId="14" fillId="0" borderId="14" xfId="0" applyNumberFormat="1" applyFont="1" applyBorder="1" applyAlignment="1">
      <alignment vertical="center"/>
    </xf>
    <xf numFmtId="0" fontId="13" fillId="0" borderId="0" xfId="0" applyFont="1" applyAlignment="1">
      <alignment horizontal="center" vertical="center" wrapText="1"/>
    </xf>
    <xf numFmtId="0" fontId="34" fillId="0" borderId="0" xfId="0" applyFont="1"/>
    <xf numFmtId="3" fontId="14" fillId="0" borderId="0" xfId="0" applyNumberFormat="1" applyFont="1" applyAlignment="1">
      <alignment vertical="center"/>
    </xf>
    <xf numFmtId="0" fontId="5" fillId="0" borderId="0" xfId="1" applyFont="1" applyAlignment="1">
      <alignment vertical="center"/>
    </xf>
    <xf numFmtId="3" fontId="33" fillId="0" borderId="0" xfId="16" applyNumberFormat="1" applyFont="1" applyAlignment="1">
      <alignment vertical="center"/>
    </xf>
    <xf numFmtId="3" fontId="10" fillId="0" borderId="0" xfId="1" applyNumberFormat="1" applyFont="1" applyAlignment="1">
      <alignment vertical="center"/>
    </xf>
    <xf numFmtId="3" fontId="14" fillId="0" borderId="12" xfId="0" applyNumberFormat="1" applyFont="1" applyBorder="1" applyAlignment="1">
      <alignment vertical="center"/>
    </xf>
    <xf numFmtId="3" fontId="7" fillId="0" borderId="0" xfId="0" applyNumberFormat="1" applyFont="1"/>
    <xf numFmtId="3" fontId="7" fillId="0" borderId="0" xfId="0" applyNumberFormat="1" applyFont="1" applyAlignment="1">
      <alignment vertical="center"/>
    </xf>
    <xf numFmtId="0" fontId="14" fillId="0" borderId="14" xfId="9" applyFont="1" applyBorder="1" applyAlignment="1">
      <alignment horizontal="center" vertical="center" wrapText="1"/>
    </xf>
    <xf numFmtId="3" fontId="14" fillId="0" borderId="14" xfId="9" applyNumberFormat="1" applyFont="1" applyBorder="1" applyAlignment="1">
      <alignment vertical="center"/>
    </xf>
    <xf numFmtId="3" fontId="14" fillId="0" borderId="14" xfId="0" applyNumberFormat="1" applyFont="1" applyBorder="1" applyAlignment="1">
      <alignment horizontal="right" vertical="center"/>
    </xf>
    <xf numFmtId="3" fontId="14" fillId="0" borderId="14" xfId="12" applyNumberFormat="1" applyFont="1" applyBorder="1" applyAlignment="1">
      <alignment vertical="center"/>
    </xf>
    <xf numFmtId="2" fontId="14" fillId="0" borderId="14" xfId="0" applyNumberFormat="1" applyFont="1" applyBorder="1" applyAlignment="1">
      <alignment horizontal="center" vertical="center" wrapText="1"/>
    </xf>
    <xf numFmtId="2" fontId="14" fillId="0" borderId="14" xfId="0" applyNumberFormat="1" applyFont="1" applyBorder="1" applyAlignment="1">
      <alignment horizontal="center" vertical="center"/>
    </xf>
    <xf numFmtId="3" fontId="24" fillId="0" borderId="14" xfId="0" applyNumberFormat="1" applyFont="1" applyBorder="1"/>
    <xf numFmtId="3" fontId="14" fillId="0" borderId="14" xfId="14" applyNumberFormat="1" applyFont="1" applyBorder="1" applyAlignment="1">
      <alignment horizontal="right" vertical="center"/>
    </xf>
    <xf numFmtId="0" fontId="14" fillId="0" borderId="7" xfId="14" applyFont="1" applyBorder="1" applyAlignment="1">
      <alignment horizontal="left" vertical="center"/>
    </xf>
    <xf numFmtId="49" fontId="20" fillId="0" borderId="48" xfId="4" applyNumberFormat="1" applyFont="1" applyBorder="1" applyAlignment="1">
      <alignment horizontal="left" vertical="center" wrapText="1"/>
    </xf>
    <xf numFmtId="0" fontId="13" fillId="0" borderId="23" xfId="14" applyFont="1" applyBorder="1" applyAlignment="1">
      <alignment horizontal="left" vertical="center" wrapText="1"/>
    </xf>
    <xf numFmtId="3" fontId="33" fillId="0" borderId="12" xfId="0" applyNumberFormat="1" applyFont="1" applyBorder="1" applyAlignment="1">
      <alignment horizontal="center" vertical="center" wrapText="1"/>
    </xf>
    <xf numFmtId="3" fontId="33" fillId="0" borderId="12" xfId="0" applyNumberFormat="1" applyFont="1" applyBorder="1" applyAlignment="1">
      <alignment vertical="center" wrapText="1"/>
    </xf>
    <xf numFmtId="0" fontId="17" fillId="0" borderId="0" xfId="0" applyFont="1" applyAlignment="1">
      <alignment vertical="center"/>
    </xf>
    <xf numFmtId="0" fontId="42" fillId="0" borderId="0" xfId="0" applyFont="1"/>
    <xf numFmtId="49" fontId="42" fillId="0" borderId="0" xfId="0" applyNumberFormat="1" applyFont="1"/>
    <xf numFmtId="0" fontId="42" fillId="0" borderId="0" xfId="0" applyFont="1" applyAlignment="1">
      <alignment horizontal="center"/>
    </xf>
    <xf numFmtId="3" fontId="38" fillId="0" borderId="0" xfId="0" applyNumberFormat="1" applyFont="1"/>
    <xf numFmtId="3" fontId="42" fillId="0" borderId="0" xfId="0" applyNumberFormat="1" applyFont="1"/>
    <xf numFmtId="0" fontId="5" fillId="0" borderId="0" xfId="0" applyFont="1"/>
    <xf numFmtId="3" fontId="5" fillId="0" borderId="0" xfId="0" applyNumberFormat="1" applyFont="1"/>
    <xf numFmtId="0" fontId="4" fillId="0" borderId="53" xfId="0" applyFont="1" applyBorder="1" applyAlignment="1">
      <alignment vertical="center"/>
    </xf>
    <xf numFmtId="0" fontId="4" fillId="0" borderId="54" xfId="0" applyFont="1" applyBorder="1" applyAlignment="1">
      <alignment vertical="center"/>
    </xf>
    <xf numFmtId="0" fontId="4" fillId="0" borderId="42" xfId="0" applyFont="1" applyBorder="1" applyAlignment="1">
      <alignment vertical="center" wrapText="1"/>
    </xf>
    <xf numFmtId="0" fontId="4" fillId="0" borderId="42" xfId="0" applyFont="1" applyBorder="1" applyAlignment="1">
      <alignment vertical="center"/>
    </xf>
    <xf numFmtId="0" fontId="5" fillId="0" borderId="42" xfId="0" applyFont="1" applyBorder="1" applyAlignment="1">
      <alignment vertical="center"/>
    </xf>
    <xf numFmtId="0" fontId="5" fillId="0" borderId="42" xfId="0" applyFont="1" applyBorder="1" applyAlignment="1">
      <alignment horizontal="left" vertical="center" wrapText="1"/>
    </xf>
    <xf numFmtId="0" fontId="6" fillId="0" borderId="42" xfId="0" applyFont="1" applyBorder="1" applyAlignment="1">
      <alignment vertical="center"/>
    </xf>
    <xf numFmtId="0" fontId="6" fillId="0" borderId="55" xfId="0" applyFont="1" applyBorder="1" applyAlignment="1">
      <alignment vertical="center" wrapText="1"/>
    </xf>
    <xf numFmtId="0" fontId="4" fillId="0" borderId="56" xfId="0" applyFont="1" applyBorder="1" applyAlignment="1">
      <alignment vertical="center"/>
    </xf>
    <xf numFmtId="37" fontId="5" fillId="0" borderId="0" xfId="0" applyNumberFormat="1" applyFont="1" applyAlignment="1">
      <alignment vertical="center"/>
    </xf>
    <xf numFmtId="0" fontId="6" fillId="0" borderId="56" xfId="0" applyFont="1" applyBorder="1" applyAlignment="1">
      <alignment horizontal="left" vertical="center" wrapText="1"/>
    </xf>
    <xf numFmtId="0" fontId="14" fillId="0" borderId="53" xfId="0" applyFont="1" applyBorder="1" applyAlignment="1">
      <alignment horizontal="left" vertical="center"/>
    </xf>
    <xf numFmtId="0" fontId="13" fillId="0" borderId="42" xfId="0" applyFont="1" applyBorder="1" applyAlignment="1">
      <alignment horizontal="left" vertical="center"/>
    </xf>
    <xf numFmtId="0" fontId="14" fillId="0" borderId="42" xfId="0" applyFont="1" applyBorder="1" applyAlignment="1">
      <alignment vertical="center" wrapText="1"/>
    </xf>
    <xf numFmtId="0" fontId="13" fillId="0" borderId="42" xfId="0" applyFont="1" applyBorder="1" applyAlignment="1">
      <alignment vertical="center"/>
    </xf>
    <xf numFmtId="0" fontId="14" fillId="0" borderId="42" xfId="0" applyFont="1" applyBorder="1" applyAlignment="1">
      <alignment vertical="center"/>
    </xf>
    <xf numFmtId="0" fontId="11" fillId="0" borderId="42" xfId="0" applyFont="1" applyBorder="1" applyAlignment="1">
      <alignment vertical="center"/>
    </xf>
    <xf numFmtId="0" fontId="11" fillId="0" borderId="42" xfId="0" applyFont="1" applyBorder="1" applyAlignment="1">
      <alignment horizontal="left" vertical="center" wrapText="1"/>
    </xf>
    <xf numFmtId="0" fontId="13" fillId="0" borderId="42" xfId="0" applyFont="1" applyBorder="1" applyAlignment="1">
      <alignment vertical="center" wrapText="1"/>
    </xf>
    <xf numFmtId="0" fontId="13" fillId="0" borderId="42" xfId="0" applyFont="1" applyBorder="1" applyAlignment="1">
      <alignment vertical="center" shrinkToFit="1"/>
    </xf>
    <xf numFmtId="3" fontId="14" fillId="0" borderId="42" xfId="0" applyNumberFormat="1" applyFont="1" applyBorder="1" applyAlignment="1">
      <alignment vertical="center" shrinkToFit="1"/>
    </xf>
    <xf numFmtId="3" fontId="13" fillId="0" borderId="42" xfId="0" applyNumberFormat="1" applyFont="1" applyBorder="1" applyAlignment="1">
      <alignment vertical="center" shrinkToFit="1"/>
    </xf>
    <xf numFmtId="3" fontId="13" fillId="0" borderId="56" xfId="0" applyNumberFormat="1" applyFont="1" applyBorder="1" applyAlignment="1">
      <alignment vertical="center" shrinkToFit="1"/>
    </xf>
    <xf numFmtId="3" fontId="14" fillId="0" borderId="53" xfId="0" applyNumberFormat="1" applyFont="1" applyBorder="1" applyAlignment="1">
      <alignment vertical="center" shrinkToFit="1"/>
    </xf>
    <xf numFmtId="3" fontId="14" fillId="0" borderId="42" xfId="0" applyNumberFormat="1" applyFont="1" applyBorder="1" applyAlignment="1">
      <alignment vertical="center" wrapText="1"/>
    </xf>
    <xf numFmtId="3" fontId="14" fillId="0" borderId="56" xfId="0" applyNumberFormat="1" applyFont="1" applyBorder="1" applyAlignment="1">
      <alignment vertical="center" shrinkToFit="1"/>
    </xf>
    <xf numFmtId="0" fontId="2" fillId="0" borderId="57" xfId="1" applyFont="1" applyBorder="1" applyAlignment="1">
      <alignment horizontal="center" vertical="center"/>
    </xf>
    <xf numFmtId="3" fontId="2" fillId="0" borderId="14" xfId="1" applyNumberFormat="1" applyFont="1" applyBorder="1" applyAlignment="1">
      <alignment vertical="center"/>
    </xf>
    <xf numFmtId="0" fontId="2" fillId="0" borderId="51" xfId="1" applyFont="1" applyBorder="1" applyAlignment="1">
      <alignment vertical="center" wrapText="1"/>
    </xf>
    <xf numFmtId="3" fontId="2" fillId="0" borderId="44" xfId="1" applyNumberFormat="1" applyFont="1" applyBorder="1" applyAlignment="1">
      <alignment vertical="center"/>
    </xf>
    <xf numFmtId="0" fontId="46" fillId="0" borderId="0" xfId="0" applyFont="1" applyAlignment="1">
      <alignment vertical="center"/>
    </xf>
    <xf numFmtId="3" fontId="46" fillId="0" borderId="1" xfId="0" applyNumberFormat="1" applyFont="1" applyBorder="1" applyAlignment="1">
      <alignment vertical="center"/>
    </xf>
    <xf numFmtId="0" fontId="13" fillId="2" borderId="47" xfId="9" applyFont="1" applyFill="1" applyBorder="1" applyAlignment="1">
      <alignment vertical="center" wrapText="1"/>
    </xf>
    <xf numFmtId="3" fontId="13" fillId="0" borderId="57" xfId="9" applyNumberFormat="1" applyFont="1" applyBorder="1" applyAlignment="1">
      <alignment horizontal="right" vertical="center" wrapText="1"/>
    </xf>
    <xf numFmtId="3" fontId="13" fillId="0" borderId="58" xfId="9" applyNumberFormat="1" applyFont="1" applyBorder="1" applyAlignment="1">
      <alignment horizontal="right" vertical="center" wrapText="1"/>
    </xf>
    <xf numFmtId="0" fontId="14" fillId="0" borderId="48" xfId="14" applyFont="1" applyBorder="1" applyAlignment="1">
      <alignment horizontal="left" vertical="center"/>
    </xf>
    <xf numFmtId="0" fontId="14" fillId="0" borderId="0" xfId="14" applyFont="1" applyAlignment="1">
      <alignment horizontal="center"/>
    </xf>
    <xf numFmtId="3" fontId="38" fillId="0" borderId="0" xfId="0" applyNumberFormat="1" applyFont="1" applyAlignment="1">
      <alignment horizontal="center"/>
    </xf>
    <xf numFmtId="3" fontId="33" fillId="0" borderId="0" xfId="16" applyNumberFormat="1" applyFont="1" applyAlignment="1">
      <alignment vertical="center" wrapText="1"/>
    </xf>
    <xf numFmtId="3" fontId="14" fillId="0" borderId="0" xfId="14" applyNumberFormat="1" applyFont="1" applyAlignment="1">
      <alignment horizontal="center" vertical="center" wrapText="1"/>
    </xf>
    <xf numFmtId="0" fontId="14" fillId="0" borderId="0" xfId="14" applyFont="1" applyAlignment="1">
      <alignment horizontal="center" vertical="center"/>
    </xf>
    <xf numFmtId="3" fontId="14" fillId="0" borderId="0" xfId="9" applyNumberFormat="1" applyFont="1" applyAlignment="1">
      <alignment horizontal="right" vertical="center"/>
    </xf>
    <xf numFmtId="3" fontId="14" fillId="0" borderId="1" xfId="9" applyNumberFormat="1" applyFont="1" applyBorder="1" applyAlignment="1">
      <alignment horizontal="right" vertical="center"/>
    </xf>
    <xf numFmtId="0" fontId="14" fillId="0" borderId="8" xfId="14" applyFont="1" applyBorder="1" applyAlignment="1">
      <alignment horizontal="left" vertical="center"/>
    </xf>
    <xf numFmtId="3" fontId="14" fillId="0" borderId="60" xfId="14" applyNumberFormat="1" applyFont="1" applyBorder="1" applyAlignment="1">
      <alignment horizontal="right" vertical="center"/>
    </xf>
    <xf numFmtId="0" fontId="2" fillId="0" borderId="26" xfId="1" applyFont="1" applyBorder="1" applyAlignment="1">
      <alignment horizontal="center" vertical="center"/>
    </xf>
    <xf numFmtId="3" fontId="2" fillId="0" borderId="8" xfId="1" applyNumberFormat="1" applyFont="1" applyBorder="1" applyAlignment="1">
      <alignment vertical="center"/>
    </xf>
    <xf numFmtId="3" fontId="2" fillId="0" borderId="16" xfId="1" applyNumberFormat="1" applyFont="1" applyBorder="1" applyAlignment="1">
      <alignment vertical="center"/>
    </xf>
    <xf numFmtId="3" fontId="2" fillId="0" borderId="15" xfId="2" applyNumberFormat="1" applyFont="1" applyBorder="1" applyAlignment="1">
      <alignment vertical="center"/>
    </xf>
    <xf numFmtId="3" fontId="2" fillId="0" borderId="15" xfId="1" applyNumberFormat="1" applyFont="1" applyBorder="1" applyAlignment="1">
      <alignment vertical="center"/>
    </xf>
    <xf numFmtId="3" fontId="21" fillId="0" borderId="62" xfId="5" applyNumberFormat="1" applyFont="1" applyBorder="1" applyAlignment="1">
      <alignment vertical="center"/>
    </xf>
    <xf numFmtId="49" fontId="7" fillId="0" borderId="0" xfId="0" applyNumberFormat="1" applyFont="1" applyAlignment="1">
      <alignment horizontal="center" vertical="center"/>
    </xf>
    <xf numFmtId="3" fontId="24" fillId="0" borderId="57" xfId="0" applyNumberFormat="1" applyFont="1" applyBorder="1" applyAlignment="1">
      <alignment vertical="center"/>
    </xf>
    <xf numFmtId="3" fontId="20" fillId="0" borderId="57" xfId="5" applyNumberFormat="1" applyFont="1" applyBorder="1" applyAlignment="1">
      <alignment horizontal="right" vertical="center"/>
    </xf>
    <xf numFmtId="0" fontId="20" fillId="0" borderId="1" xfId="5" applyFont="1" applyBorder="1" applyAlignment="1">
      <alignment vertical="center"/>
    </xf>
    <xf numFmtId="3" fontId="21" fillId="0" borderId="21" xfId="5" applyNumberFormat="1" applyFont="1" applyBorder="1" applyAlignment="1">
      <alignment vertical="center"/>
    </xf>
    <xf numFmtId="3" fontId="13" fillId="0" borderId="57" xfId="0" applyNumberFormat="1" applyFont="1" applyBorder="1" applyAlignment="1">
      <alignment vertical="center"/>
    </xf>
    <xf numFmtId="3" fontId="2" fillId="0" borderId="60" xfId="1" applyNumberFormat="1" applyFont="1" applyBorder="1" applyAlignment="1">
      <alignment vertical="center"/>
    </xf>
    <xf numFmtId="49" fontId="2" fillId="0" borderId="68" xfId="1" applyNumberFormat="1" applyFont="1" applyBorder="1" applyAlignment="1">
      <alignment vertical="center" wrapText="1"/>
    </xf>
    <xf numFmtId="3" fontId="2" fillId="0" borderId="69" xfId="1" applyNumberFormat="1" applyFont="1" applyBorder="1" applyAlignment="1">
      <alignment vertical="center"/>
    </xf>
    <xf numFmtId="3" fontId="2" fillId="0" borderId="70" xfId="1" applyNumberFormat="1" applyFont="1" applyBorder="1" applyAlignment="1">
      <alignment vertical="center"/>
    </xf>
    <xf numFmtId="3" fontId="2" fillId="0" borderId="71" xfId="1" applyNumberFormat="1" applyFont="1" applyBorder="1" applyAlignment="1">
      <alignment vertical="center"/>
    </xf>
    <xf numFmtId="3" fontId="5" fillId="0" borderId="71" xfId="1" applyNumberFormat="1" applyFont="1" applyBorder="1" applyAlignment="1">
      <alignment vertical="center"/>
    </xf>
    <xf numFmtId="3" fontId="10" fillId="0" borderId="71" xfId="1" applyNumberFormat="1" applyFont="1" applyBorder="1" applyAlignment="1">
      <alignment vertical="center"/>
    </xf>
    <xf numFmtId="3" fontId="4" fillId="0" borderId="71" xfId="1" applyNumberFormat="1" applyFont="1" applyBorder="1" applyAlignment="1">
      <alignment vertical="center"/>
    </xf>
    <xf numFmtId="0" fontId="2" fillId="0" borderId="68" xfId="1" applyFont="1" applyBorder="1" applyAlignment="1">
      <alignment vertical="center" wrapText="1"/>
    </xf>
    <xf numFmtId="3" fontId="2" fillId="0" borderId="72" xfId="1" applyNumberFormat="1" applyFont="1" applyBorder="1" applyAlignment="1">
      <alignment vertical="center"/>
    </xf>
    <xf numFmtId="3" fontId="2" fillId="0" borderId="4" xfId="1" applyNumberFormat="1" applyFont="1" applyBorder="1" applyAlignment="1">
      <alignment vertical="center"/>
    </xf>
    <xf numFmtId="3" fontId="2" fillId="0" borderId="43" xfId="1" applyNumberFormat="1" applyFont="1" applyBorder="1" applyAlignment="1">
      <alignment vertical="center"/>
    </xf>
    <xf numFmtId="0" fontId="24" fillId="0" borderId="57" xfId="0" applyFont="1" applyBorder="1"/>
    <xf numFmtId="0" fontId="14" fillId="0" borderId="57" xfId="0" applyFont="1" applyBorder="1" applyAlignment="1">
      <alignment vertical="center" wrapText="1"/>
    </xf>
    <xf numFmtId="3" fontId="14" fillId="0" borderId="57" xfId="0" applyNumberFormat="1" applyFont="1" applyBorder="1" applyAlignment="1">
      <alignment vertical="center"/>
    </xf>
    <xf numFmtId="3" fontId="14" fillId="0" borderId="1" xfId="0" applyNumberFormat="1" applyFont="1" applyBorder="1" applyAlignment="1">
      <alignment vertical="center"/>
    </xf>
    <xf numFmtId="0" fontId="13" fillId="0" borderId="0" xfId="0" applyFont="1"/>
    <xf numFmtId="0" fontId="47" fillId="0" borderId="0" xfId="0" applyFont="1"/>
    <xf numFmtId="0" fontId="24" fillId="0" borderId="0" xfId="0" applyFont="1"/>
    <xf numFmtId="3" fontId="24" fillId="0" borderId="0" xfId="0" applyNumberFormat="1" applyFont="1"/>
    <xf numFmtId="0" fontId="14" fillId="0" borderId="0" xfId="0" applyFont="1"/>
    <xf numFmtId="3" fontId="14" fillId="0" borderId="0" xfId="0" applyNumberFormat="1" applyFont="1"/>
    <xf numFmtId="3" fontId="24" fillId="0" borderId="57" xfId="0" applyNumberFormat="1" applyFont="1" applyBorder="1"/>
    <xf numFmtId="0" fontId="46" fillId="0" borderId="0" xfId="0" applyFont="1" applyAlignment="1">
      <alignment vertical="center" wrapText="1"/>
    </xf>
    <xf numFmtId="3" fontId="46" fillId="0" borderId="0" xfId="0" applyNumberFormat="1" applyFont="1" applyAlignment="1">
      <alignment vertical="center"/>
    </xf>
    <xf numFmtId="0" fontId="48" fillId="0" borderId="0" xfId="0" applyFont="1" applyAlignment="1">
      <alignment vertical="center"/>
    </xf>
    <xf numFmtId="3" fontId="14" fillId="0" borderId="0" xfId="0" applyNumberFormat="1" applyFont="1" applyAlignment="1">
      <alignment vertical="center" shrinkToFit="1"/>
    </xf>
    <xf numFmtId="0" fontId="14" fillId="0" borderId="0" xfId="12" applyFont="1" applyAlignment="1">
      <alignment vertical="center" wrapText="1"/>
    </xf>
    <xf numFmtId="3" fontId="14" fillId="0" borderId="0" xfId="12" applyNumberFormat="1" applyFont="1" applyAlignment="1">
      <alignment vertical="center"/>
    </xf>
    <xf numFmtId="3" fontId="13" fillId="0" borderId="67" xfId="0" applyNumberFormat="1" applyFont="1" applyBorder="1" applyAlignment="1">
      <alignment vertical="center"/>
    </xf>
    <xf numFmtId="3" fontId="13" fillId="0" borderId="50" xfId="14" applyNumberFormat="1" applyFont="1" applyBorder="1" applyAlignment="1">
      <alignment horizontal="right" vertical="center"/>
    </xf>
    <xf numFmtId="3" fontId="11" fillId="0" borderId="69" xfId="13" applyNumberFormat="1" applyFont="1" applyBorder="1" applyAlignment="1">
      <alignment horizontal="right"/>
    </xf>
    <xf numFmtId="0" fontId="13" fillId="2" borderId="77" xfId="9" applyFont="1" applyFill="1" applyBorder="1" applyAlignment="1">
      <alignment vertical="center" wrapText="1"/>
    </xf>
    <xf numFmtId="3" fontId="13" fillId="0" borderId="78" xfId="14" applyNumberFormat="1" applyFont="1" applyBorder="1" applyAlignment="1">
      <alignment horizontal="right" vertical="center"/>
    </xf>
    <xf numFmtId="0" fontId="13" fillId="2" borderId="79" xfId="9" applyFont="1" applyFill="1" applyBorder="1" applyAlignment="1">
      <alignment vertical="center" wrapText="1"/>
    </xf>
    <xf numFmtId="3" fontId="28" fillId="0" borderId="57" xfId="0" applyNumberFormat="1" applyFont="1" applyBorder="1" applyAlignment="1">
      <alignment vertical="center"/>
    </xf>
    <xf numFmtId="3" fontId="28" fillId="0" borderId="69" xfId="0" applyNumberFormat="1" applyFont="1" applyBorder="1" applyAlignment="1">
      <alignment horizontal="right" vertical="center" wrapText="1"/>
    </xf>
    <xf numFmtId="3" fontId="24" fillId="0" borderId="69" xfId="0" applyNumberFormat="1" applyFont="1" applyBorder="1" applyAlignment="1">
      <alignment vertical="center"/>
    </xf>
    <xf numFmtId="49" fontId="13" fillId="0" borderId="0" xfId="9" applyNumberFormat="1" applyFont="1" applyAlignment="1">
      <alignment vertical="center"/>
    </xf>
    <xf numFmtId="49" fontId="11" fillId="0" borderId="0" xfId="9" applyNumberFormat="1" applyFont="1" applyAlignment="1">
      <alignment vertical="center"/>
    </xf>
    <xf numFmtId="49" fontId="14" fillId="0" borderId="0" xfId="9" applyNumberFormat="1" applyFont="1" applyAlignment="1">
      <alignment vertical="center"/>
    </xf>
    <xf numFmtId="49" fontId="17" fillId="0" borderId="0" xfId="9" applyNumberFormat="1" applyFont="1" applyAlignment="1">
      <alignment vertical="center"/>
    </xf>
    <xf numFmtId="0" fontId="13" fillId="0" borderId="77" xfId="0" applyFont="1" applyBorder="1" applyAlignment="1">
      <alignment vertical="center" wrapText="1"/>
    </xf>
    <xf numFmtId="3" fontId="13" fillId="0" borderId="78" xfId="0" applyNumberFormat="1" applyFont="1" applyBorder="1" applyAlignment="1">
      <alignment vertical="center"/>
    </xf>
    <xf numFmtId="3" fontId="13" fillId="0" borderId="78" xfId="12" applyNumberFormat="1" applyFont="1" applyBorder="1" applyAlignment="1">
      <alignment vertical="center"/>
    </xf>
    <xf numFmtId="0" fontId="13" fillId="0" borderId="76" xfId="0" applyFont="1" applyBorder="1" applyAlignment="1">
      <alignment vertical="center" wrapText="1"/>
    </xf>
    <xf numFmtId="49" fontId="7" fillId="0" borderId="0" xfId="0" applyNumberFormat="1" applyFont="1" applyAlignment="1">
      <alignment vertical="center"/>
    </xf>
    <xf numFmtId="49" fontId="14" fillId="0" borderId="0" xfId="0" applyNumberFormat="1" applyFont="1" applyAlignment="1">
      <alignment vertical="center"/>
    </xf>
    <xf numFmtId="3" fontId="13" fillId="0" borderId="78" xfId="0" applyNumberFormat="1" applyFont="1" applyBorder="1" applyAlignment="1">
      <alignment horizontal="righ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17" fillId="0" borderId="0" xfId="0" applyNumberFormat="1" applyFont="1" applyAlignment="1">
      <alignment vertical="center"/>
    </xf>
    <xf numFmtId="3" fontId="13" fillId="0" borderId="78" xfId="9" applyNumberFormat="1" applyFont="1" applyBorder="1" applyAlignment="1">
      <alignment vertical="center"/>
    </xf>
    <xf numFmtId="3" fontId="28" fillId="0" borderId="82" xfId="0" applyNumberFormat="1" applyFont="1" applyBorder="1" applyAlignment="1">
      <alignment horizontal="right" vertical="center" wrapText="1"/>
    </xf>
    <xf numFmtId="3" fontId="24" fillId="0" borderId="82" xfId="0" applyNumberFormat="1" applyFont="1" applyBorder="1" applyAlignment="1">
      <alignment vertical="center"/>
    </xf>
    <xf numFmtId="3" fontId="29" fillId="0" borderId="82" xfId="0" applyNumberFormat="1" applyFont="1" applyBorder="1" applyAlignment="1">
      <alignment horizontal="right" vertical="center" wrapText="1"/>
    </xf>
    <xf numFmtId="3" fontId="7" fillId="0" borderId="82" xfId="0" applyNumberFormat="1" applyFont="1" applyBorder="1" applyAlignment="1">
      <alignment vertical="center"/>
    </xf>
    <xf numFmtId="0" fontId="42" fillId="0" borderId="82" xfId="0" applyFont="1" applyBorder="1"/>
    <xf numFmtId="49" fontId="42" fillId="0" borderId="82" xfId="0" applyNumberFormat="1" applyFont="1" applyBorder="1"/>
    <xf numFmtId="0" fontId="42" fillId="0" borderId="82" xfId="0" applyFont="1" applyBorder="1" applyAlignment="1">
      <alignment horizontal="center"/>
    </xf>
    <xf numFmtId="3" fontId="42" fillId="0" borderId="82" xfId="0" applyNumberFormat="1" applyFont="1" applyBorder="1"/>
    <xf numFmtId="0" fontId="42" fillId="0" borderId="69" xfId="0" applyFont="1" applyBorder="1"/>
    <xf numFmtId="0" fontId="42" fillId="0" borderId="69" xfId="0" applyFont="1" applyBorder="1" applyAlignment="1">
      <alignment horizontal="center"/>
    </xf>
    <xf numFmtId="3" fontId="42" fillId="0" borderId="69" xfId="0" applyNumberFormat="1" applyFont="1" applyBorder="1"/>
    <xf numFmtId="0" fontId="42" fillId="0" borderId="57" xfId="0" applyFont="1" applyBorder="1"/>
    <xf numFmtId="0" fontId="42" fillId="0" borderId="57" xfId="0" applyFont="1" applyBorder="1" applyAlignment="1">
      <alignment horizontal="center"/>
    </xf>
    <xf numFmtId="3" fontId="39" fillId="0" borderId="57" xfId="0" applyNumberFormat="1" applyFont="1" applyBorder="1"/>
    <xf numFmtId="49" fontId="39" fillId="0" borderId="0" xfId="0" applyNumberFormat="1" applyFont="1" applyAlignment="1">
      <alignment horizontal="right"/>
    </xf>
    <xf numFmtId="49" fontId="51" fillId="0" borderId="82" xfId="0" applyNumberFormat="1" applyFont="1" applyBorder="1"/>
    <xf numFmtId="0" fontId="30" fillId="0" borderId="0" xfId="0" applyFont="1"/>
    <xf numFmtId="0" fontId="30" fillId="0" borderId="0" xfId="0" applyFont="1" applyAlignment="1">
      <alignment horizontal="center"/>
    </xf>
    <xf numFmtId="3" fontId="50" fillId="0" borderId="0" xfId="0" applyNumberFormat="1" applyFont="1"/>
    <xf numFmtId="49" fontId="39" fillId="0" borderId="86" xfId="0" applyNumberFormat="1" applyFont="1" applyBorder="1"/>
    <xf numFmtId="49" fontId="39" fillId="0" borderId="86" xfId="0" applyNumberFormat="1" applyFont="1" applyBorder="1" applyAlignment="1">
      <alignment horizontal="right"/>
    </xf>
    <xf numFmtId="3" fontId="30" fillId="0" borderId="0" xfId="0" applyNumberFormat="1" applyFont="1"/>
    <xf numFmtId="0" fontId="30" fillId="0" borderId="64" xfId="0" applyFont="1" applyBorder="1" applyAlignment="1">
      <alignment horizontal="center"/>
    </xf>
    <xf numFmtId="3" fontId="30" fillId="0" borderId="50" xfId="0" applyNumberFormat="1" applyFont="1" applyBorder="1" applyAlignment="1">
      <alignment horizontal="center"/>
    </xf>
    <xf numFmtId="3" fontId="30" fillId="0" borderId="50" xfId="0" applyNumberFormat="1" applyFont="1" applyBorder="1" applyAlignment="1">
      <alignment horizontal="right"/>
    </xf>
    <xf numFmtId="3" fontId="30" fillId="0" borderId="77" xfId="0" applyNumberFormat="1" applyFont="1" applyBorder="1" applyAlignment="1">
      <alignment horizontal="right"/>
    </xf>
    <xf numFmtId="3" fontId="30" fillId="0" borderId="72" xfId="0" applyNumberFormat="1" applyFont="1" applyBorder="1" applyAlignment="1">
      <alignment horizontal="center"/>
    </xf>
    <xf numFmtId="3" fontId="30" fillId="0" borderId="68" xfId="0" applyNumberFormat="1" applyFont="1" applyBorder="1" applyAlignment="1">
      <alignment horizontal="right"/>
    </xf>
    <xf numFmtId="3" fontId="30" fillId="0" borderId="72" xfId="0" applyNumberFormat="1" applyFont="1" applyBorder="1" applyAlignment="1">
      <alignment horizontal="right"/>
    </xf>
    <xf numFmtId="3" fontId="30" fillId="0" borderId="78" xfId="0" applyNumberFormat="1" applyFont="1" applyBorder="1" applyAlignment="1">
      <alignment horizontal="center"/>
    </xf>
    <xf numFmtId="3" fontId="30" fillId="0" borderId="78" xfId="0" applyNumberFormat="1" applyFont="1" applyBorder="1" applyAlignment="1">
      <alignment horizontal="right"/>
    </xf>
    <xf numFmtId="3" fontId="30" fillId="0" borderId="11" xfId="0" applyNumberFormat="1" applyFont="1" applyBorder="1" applyAlignment="1">
      <alignment horizontal="right"/>
    </xf>
    <xf numFmtId="3" fontId="30" fillId="0" borderId="1" xfId="0" applyNumberFormat="1" applyFont="1" applyBorder="1" applyAlignment="1">
      <alignment horizontal="center"/>
    </xf>
    <xf numFmtId="3" fontId="30" fillId="0" borderId="1" xfId="0" applyNumberFormat="1" applyFont="1" applyBorder="1" applyAlignment="1">
      <alignment horizontal="right"/>
    </xf>
    <xf numFmtId="49" fontId="7" fillId="0" borderId="0" xfId="0" applyNumberFormat="1" applyFont="1"/>
    <xf numFmtId="0" fontId="4" fillId="0" borderId="0" xfId="0" applyFont="1" applyAlignment="1">
      <alignment horizontal="center" vertical="center"/>
    </xf>
    <xf numFmtId="0" fontId="20" fillId="0" borderId="78" xfId="5" applyFont="1" applyBorder="1" applyAlignment="1">
      <alignment horizontal="left" vertical="center"/>
    </xf>
    <xf numFmtId="0" fontId="14" fillId="0" borderId="5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13" applyFont="1" applyBorder="1" applyAlignment="1">
      <alignment horizontal="center" vertical="center" wrapText="1"/>
    </xf>
    <xf numFmtId="3" fontId="4" fillId="0" borderId="76" xfId="0" applyNumberFormat="1" applyFont="1" applyBorder="1" applyAlignment="1">
      <alignment vertical="center"/>
    </xf>
    <xf numFmtId="3" fontId="5" fillId="0" borderId="76" xfId="0" applyNumberFormat="1" applyFont="1" applyBorder="1" applyAlignment="1">
      <alignment vertical="center"/>
    </xf>
    <xf numFmtId="3" fontId="6" fillId="0" borderId="76" xfId="0" applyNumberFormat="1" applyFont="1" applyBorder="1" applyAlignment="1">
      <alignment vertical="center"/>
    </xf>
    <xf numFmtId="3" fontId="4" fillId="0" borderId="69" xfId="0" applyNumberFormat="1" applyFont="1" applyBorder="1" applyAlignment="1">
      <alignment vertical="center"/>
    </xf>
    <xf numFmtId="0" fontId="4" fillId="0" borderId="92"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7" xfId="0" applyFont="1" applyBorder="1" applyAlignment="1">
      <alignment horizontal="center" vertical="center"/>
    </xf>
    <xf numFmtId="0" fontId="3" fillId="0" borderId="87" xfId="0" applyFont="1" applyBorder="1" applyAlignment="1">
      <alignment vertical="center"/>
    </xf>
    <xf numFmtId="0" fontId="3" fillId="0" borderId="93" xfId="0" applyFont="1" applyBorder="1" applyAlignment="1">
      <alignment vertical="center"/>
    </xf>
    <xf numFmtId="0" fontId="4" fillId="0" borderId="11" xfId="0" applyFont="1" applyBorder="1" applyAlignment="1">
      <alignment horizontal="center" vertical="center"/>
    </xf>
    <xf numFmtId="3" fontId="4" fillId="0" borderId="57" xfId="0" applyNumberFormat="1" applyFont="1" applyBorder="1" applyAlignment="1">
      <alignment horizontal="center" vertical="center" wrapText="1"/>
    </xf>
    <xf numFmtId="3" fontId="5" fillId="0" borderId="83" xfId="0" applyNumberFormat="1" applyFont="1" applyBorder="1" applyAlignment="1">
      <alignment vertical="center"/>
    </xf>
    <xf numFmtId="3" fontId="4" fillId="0" borderId="83" xfId="0" applyNumberFormat="1" applyFont="1" applyBorder="1" applyAlignment="1">
      <alignment vertical="center"/>
    </xf>
    <xf numFmtId="3" fontId="5" fillId="0" borderId="69" xfId="0" applyNumberFormat="1" applyFont="1" applyBorder="1" applyAlignment="1">
      <alignment vertical="center"/>
    </xf>
    <xf numFmtId="49" fontId="4" fillId="0" borderId="12" xfId="0" applyNumberFormat="1" applyFont="1" applyBorder="1" applyAlignment="1">
      <alignment vertical="center"/>
    </xf>
    <xf numFmtId="3" fontId="4" fillId="0" borderId="13" xfId="0" applyNumberFormat="1" applyFont="1" applyBorder="1" applyAlignment="1">
      <alignment vertical="center"/>
    </xf>
    <xf numFmtId="3" fontId="4" fillId="0" borderId="14" xfId="0" applyNumberFormat="1" applyFont="1" applyBorder="1" applyAlignment="1">
      <alignment vertical="center"/>
    </xf>
    <xf numFmtId="0" fontId="4" fillId="0" borderId="12" xfId="0" applyFont="1" applyBorder="1" applyAlignment="1">
      <alignment vertical="center"/>
    </xf>
    <xf numFmtId="3" fontId="5" fillId="0" borderId="94" xfId="0" applyNumberFormat="1" applyFont="1" applyBorder="1" applyAlignment="1">
      <alignment vertical="center"/>
    </xf>
    <xf numFmtId="0" fontId="4" fillId="0" borderId="12" xfId="0" applyFont="1" applyBorder="1" applyAlignment="1">
      <alignment horizontal="left" vertical="center"/>
    </xf>
    <xf numFmtId="0" fontId="3" fillId="0" borderId="94" xfId="0" applyFont="1" applyBorder="1" applyAlignment="1">
      <alignment vertical="center"/>
    </xf>
    <xf numFmtId="0" fontId="3" fillId="0" borderId="92" xfId="0" applyFont="1" applyBorder="1" applyAlignment="1">
      <alignment vertical="center"/>
    </xf>
    <xf numFmtId="3" fontId="3" fillId="0" borderId="87" xfId="0" applyNumberFormat="1" applyFont="1" applyBorder="1" applyAlignment="1">
      <alignment vertical="center"/>
    </xf>
    <xf numFmtId="3" fontId="3" fillId="0" borderId="93" xfId="0" applyNumberFormat="1" applyFont="1" applyBorder="1" applyAlignment="1">
      <alignment vertical="center"/>
    </xf>
    <xf numFmtId="0" fontId="46" fillId="0" borderId="11" xfId="0" applyFont="1" applyBorder="1" applyAlignment="1">
      <alignment vertical="center" wrapText="1"/>
    </xf>
    <xf numFmtId="3" fontId="46" fillId="0" borderId="57" xfId="0" applyNumberFormat="1" applyFont="1" applyBorder="1" applyAlignment="1">
      <alignment vertical="center"/>
    </xf>
    <xf numFmtId="0" fontId="4" fillId="0" borderId="68" xfId="0" applyFont="1" applyBorder="1" applyAlignment="1">
      <alignment vertical="center"/>
    </xf>
    <xf numFmtId="3" fontId="4" fillId="0" borderId="72" xfId="0" applyNumberFormat="1" applyFont="1" applyBorder="1" applyAlignment="1">
      <alignment vertical="center"/>
    </xf>
    <xf numFmtId="0" fontId="4" fillId="0" borderId="77" xfId="0" applyFont="1" applyBorder="1" applyAlignment="1">
      <alignment vertical="center"/>
    </xf>
    <xf numFmtId="3" fontId="4" fillId="0" borderId="78" xfId="0" applyNumberFormat="1" applyFont="1" applyBorder="1" applyAlignment="1">
      <alignment vertical="center"/>
    </xf>
    <xf numFmtId="0" fontId="4" fillId="0" borderId="77" xfId="0" applyFont="1" applyBorder="1" applyAlignment="1">
      <alignment horizontal="left" vertical="center"/>
    </xf>
    <xf numFmtId="0" fontId="5" fillId="0" borderId="77" xfId="0" applyFont="1" applyBorder="1" applyAlignment="1">
      <alignment horizontal="left" vertical="center"/>
    </xf>
    <xf numFmtId="3" fontId="5" fillId="0" borderId="78" xfId="0" applyNumberFormat="1" applyFont="1" applyBorder="1" applyAlignment="1">
      <alignment vertical="center"/>
    </xf>
    <xf numFmtId="0" fontId="5" fillId="0" borderId="77" xfId="0" applyFont="1" applyBorder="1" applyAlignment="1">
      <alignment vertical="center"/>
    </xf>
    <xf numFmtId="0" fontId="4" fillId="0" borderId="77" xfId="0" applyFont="1" applyBorder="1" applyAlignment="1">
      <alignment vertical="center" wrapText="1"/>
    </xf>
    <xf numFmtId="3" fontId="6" fillId="0" borderId="78" xfId="0" applyNumberFormat="1" applyFont="1" applyBorder="1" applyAlignment="1">
      <alignment vertical="center"/>
    </xf>
    <xf numFmtId="0" fontId="5" fillId="0" borderId="77" xfId="0" applyFont="1" applyBorder="1" applyAlignment="1">
      <alignment horizontal="left" vertical="center" wrapText="1"/>
    </xf>
    <xf numFmtId="49" fontId="5" fillId="0" borderId="77" xfId="0" applyNumberFormat="1" applyFont="1" applyBorder="1" applyAlignment="1">
      <alignment vertical="center"/>
    </xf>
    <xf numFmtId="0" fontId="5" fillId="0" borderId="84" xfId="0" applyFont="1" applyBorder="1" applyAlignment="1">
      <alignment vertical="center"/>
    </xf>
    <xf numFmtId="3" fontId="4" fillId="0" borderId="91" xfId="0" applyNumberFormat="1" applyFont="1" applyBorder="1" applyAlignment="1">
      <alignment vertical="center"/>
    </xf>
    <xf numFmtId="49" fontId="4" fillId="0" borderId="68" xfId="0" applyNumberFormat="1" applyFont="1" applyBorder="1" applyAlignment="1">
      <alignment vertical="center"/>
    </xf>
    <xf numFmtId="49" fontId="4" fillId="0" borderId="77"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0" fontId="4" fillId="0" borderId="51" xfId="0" applyFont="1" applyBorder="1" applyAlignment="1">
      <alignment vertical="center"/>
    </xf>
    <xf numFmtId="3" fontId="5" fillId="0" borderId="44" xfId="0" applyNumberFormat="1" applyFont="1" applyBorder="1" applyAlignment="1">
      <alignment vertical="center"/>
    </xf>
    <xf numFmtId="0" fontId="3" fillId="0" borderId="51" xfId="0" applyFont="1" applyBorder="1" applyAlignment="1">
      <alignment vertical="center"/>
    </xf>
    <xf numFmtId="0" fontId="3" fillId="0" borderId="44" xfId="0" applyFont="1" applyBorder="1" applyAlignment="1">
      <alignment vertical="center"/>
    </xf>
    <xf numFmtId="0" fontId="4" fillId="0" borderId="88" xfId="0" applyFont="1" applyBorder="1" applyAlignment="1">
      <alignment horizontal="center" vertical="center"/>
    </xf>
    <xf numFmtId="0" fontId="4" fillId="0" borderId="26" xfId="0" applyFont="1" applyBorder="1" applyAlignment="1">
      <alignment horizontal="center" vertical="center"/>
    </xf>
    <xf numFmtId="0" fontId="4" fillId="0" borderId="70" xfId="0" applyFont="1" applyBorder="1" applyAlignment="1">
      <alignment horizontal="left" vertical="center"/>
    </xf>
    <xf numFmtId="0" fontId="4" fillId="0" borderId="71" xfId="0" applyFont="1" applyBorder="1" applyAlignment="1">
      <alignment horizontal="center" vertical="center"/>
    </xf>
    <xf numFmtId="0" fontId="4" fillId="0" borderId="71" xfId="0" applyFont="1" applyBorder="1" applyAlignment="1">
      <alignment horizontal="left" vertical="center"/>
    </xf>
    <xf numFmtId="0" fontId="5" fillId="0" borderId="71" xfId="0" applyFont="1" applyBorder="1" applyAlignment="1">
      <alignment horizontal="left" vertical="center"/>
    </xf>
    <xf numFmtId="0" fontId="6" fillId="0" borderId="71" xfId="0" applyFont="1" applyBorder="1" applyAlignment="1">
      <alignment horizontal="left" vertical="center"/>
    </xf>
    <xf numFmtId="0" fontId="6" fillId="0" borderId="71" xfId="0" applyFont="1" applyBorder="1" applyAlignment="1">
      <alignment horizontal="left" vertical="center" wrapText="1"/>
    </xf>
    <xf numFmtId="0" fontId="4" fillId="0" borderId="90" xfId="0" applyFont="1" applyBorder="1" applyAlignment="1">
      <alignment horizontal="left" vertical="center"/>
    </xf>
    <xf numFmtId="0" fontId="4" fillId="0" borderId="15" xfId="0" applyFont="1" applyBorder="1" applyAlignment="1">
      <alignment horizontal="left" vertical="center"/>
    </xf>
    <xf numFmtId="0" fontId="5" fillId="0" borderId="16" xfId="0" applyFont="1" applyBorder="1" applyAlignment="1">
      <alignment horizontal="left" vertical="center"/>
    </xf>
    <xf numFmtId="3" fontId="4" fillId="0" borderId="15" xfId="0" applyNumberFormat="1" applyFont="1" applyBorder="1" applyAlignment="1">
      <alignment horizontal="left" vertical="center"/>
    </xf>
    <xf numFmtId="0" fontId="3" fillId="0" borderId="16" xfId="0" applyFont="1" applyBorder="1" applyAlignment="1">
      <alignment vertical="center"/>
    </xf>
    <xf numFmtId="0" fontId="3" fillId="0" borderId="88" xfId="0" applyFont="1" applyBorder="1" applyAlignment="1">
      <alignment vertical="center"/>
    </xf>
    <xf numFmtId="0" fontId="46" fillId="0" borderId="26" xfId="0" applyFont="1" applyBorder="1" applyAlignment="1">
      <alignment vertical="center" wrapText="1"/>
    </xf>
    <xf numFmtId="0" fontId="4" fillId="0" borderId="93" xfId="0" applyFont="1" applyBorder="1" applyAlignment="1">
      <alignment horizontal="center" vertical="center" wrapText="1"/>
    </xf>
    <xf numFmtId="3" fontId="5" fillId="0" borderId="91" xfId="0" applyNumberFormat="1" applyFont="1" applyBorder="1" applyAlignment="1">
      <alignment vertical="center"/>
    </xf>
    <xf numFmtId="3" fontId="5" fillId="0" borderId="72" xfId="0" applyNumberFormat="1" applyFont="1" applyBorder="1" applyAlignment="1">
      <alignment vertical="center"/>
    </xf>
    <xf numFmtId="49" fontId="2" fillId="0" borderId="77" xfId="1" applyNumberFormat="1" applyFont="1" applyBorder="1" applyAlignment="1">
      <alignment vertical="center" wrapText="1"/>
    </xf>
    <xf numFmtId="3" fontId="2" fillId="0" borderId="76" xfId="1" applyNumberFormat="1" applyFont="1" applyBorder="1" applyAlignment="1">
      <alignment vertical="center"/>
    </xf>
    <xf numFmtId="3" fontId="2" fillId="0" borderId="81" xfId="1" applyNumberFormat="1" applyFont="1" applyBorder="1" applyAlignment="1">
      <alignment vertical="center"/>
    </xf>
    <xf numFmtId="3" fontId="4" fillId="0" borderId="76" xfId="1" applyNumberFormat="1" applyFont="1" applyBorder="1" applyAlignment="1">
      <alignment vertical="center"/>
    </xf>
    <xf numFmtId="3" fontId="4" fillId="0" borderId="78" xfId="1" applyNumberFormat="1" applyFont="1" applyBorder="1" applyAlignment="1">
      <alignment vertical="center"/>
    </xf>
    <xf numFmtId="49" fontId="5" fillId="0" borderId="77" xfId="1" applyNumberFormat="1" applyFont="1" applyBorder="1" applyAlignment="1">
      <alignment vertical="center" wrapText="1"/>
    </xf>
    <xf numFmtId="3" fontId="5" fillId="0" borderId="76" xfId="1" applyNumberFormat="1" applyFont="1" applyBorder="1" applyAlignment="1">
      <alignment vertical="center"/>
    </xf>
    <xf numFmtId="3" fontId="5" fillId="0" borderId="81" xfId="1" applyNumberFormat="1" applyFont="1" applyBorder="1" applyAlignment="1">
      <alignment vertical="center"/>
    </xf>
    <xf numFmtId="49" fontId="10" fillId="0" borderId="77" xfId="1" applyNumberFormat="1" applyFont="1" applyBorder="1" applyAlignment="1">
      <alignment vertical="center" wrapText="1"/>
    </xf>
    <xf numFmtId="3" fontId="10" fillId="0" borderId="76" xfId="1" applyNumberFormat="1" applyFont="1" applyBorder="1" applyAlignment="1">
      <alignment vertical="center"/>
    </xf>
    <xf numFmtId="3" fontId="10" fillId="0" borderId="81" xfId="1" applyNumberFormat="1" applyFont="1" applyBorder="1" applyAlignment="1">
      <alignment vertical="center"/>
    </xf>
    <xf numFmtId="3" fontId="4" fillId="0" borderId="81" xfId="1" applyNumberFormat="1" applyFont="1" applyBorder="1" applyAlignment="1">
      <alignment vertical="center"/>
    </xf>
    <xf numFmtId="3" fontId="10" fillId="0" borderId="78" xfId="1" applyNumberFormat="1" applyFont="1" applyBorder="1" applyAlignment="1">
      <alignment vertical="center"/>
    </xf>
    <xf numFmtId="3" fontId="5" fillId="0" borderId="78" xfId="1" applyNumberFormat="1" applyFont="1" applyBorder="1" applyAlignment="1">
      <alignment vertical="center"/>
    </xf>
    <xf numFmtId="0" fontId="13" fillId="0" borderId="77" xfId="0" applyFont="1" applyBorder="1" applyAlignment="1">
      <alignment vertical="center"/>
    </xf>
    <xf numFmtId="3" fontId="2" fillId="0" borderId="78" xfId="1" applyNumberFormat="1" applyFont="1" applyBorder="1" applyAlignment="1">
      <alignment vertical="center"/>
    </xf>
    <xf numFmtId="49" fontId="10" fillId="0" borderId="84" xfId="1" applyNumberFormat="1" applyFont="1" applyBorder="1" applyAlignment="1">
      <alignment vertical="center" wrapText="1"/>
    </xf>
    <xf numFmtId="3" fontId="10" fillId="0" borderId="83" xfId="1" applyNumberFormat="1" applyFont="1" applyBorder="1" applyAlignment="1">
      <alignment vertical="center"/>
    </xf>
    <xf numFmtId="3" fontId="10" fillId="0" borderId="90" xfId="1" applyNumberFormat="1" applyFont="1" applyBorder="1" applyAlignment="1">
      <alignment vertical="center"/>
    </xf>
    <xf numFmtId="3" fontId="10" fillId="0" borderId="97" xfId="1" applyNumberFormat="1" applyFont="1" applyBorder="1" applyAlignment="1">
      <alignment vertical="center"/>
    </xf>
    <xf numFmtId="0" fontId="2" fillId="0" borderId="77" xfId="1" applyFont="1" applyBorder="1" applyAlignment="1">
      <alignment vertical="center" wrapText="1"/>
    </xf>
    <xf numFmtId="3" fontId="14" fillId="0" borderId="77" xfId="0" applyNumberFormat="1" applyFont="1" applyBorder="1" applyAlignment="1">
      <alignment vertical="center" wrapText="1"/>
    </xf>
    <xf numFmtId="3" fontId="14" fillId="0" borderId="84" xfId="0" applyNumberFormat="1" applyFont="1" applyBorder="1" applyAlignment="1">
      <alignment vertical="center" wrapText="1"/>
    </xf>
    <xf numFmtId="3" fontId="2" fillId="0" borderId="83" xfId="1" applyNumberFormat="1" applyFont="1" applyBorder="1" applyAlignment="1">
      <alignment vertical="center"/>
    </xf>
    <xf numFmtId="3" fontId="2" fillId="0" borderId="90" xfId="1" applyNumberFormat="1" applyFont="1" applyBorder="1" applyAlignment="1">
      <alignment vertical="center"/>
    </xf>
    <xf numFmtId="3" fontId="2" fillId="0" borderId="97" xfId="1" applyNumberFormat="1" applyFont="1" applyBorder="1" applyAlignment="1">
      <alignment vertical="center"/>
    </xf>
    <xf numFmtId="3" fontId="2" fillId="0" borderId="94" xfId="1" applyNumberFormat="1" applyFont="1" applyBorder="1" applyAlignment="1">
      <alignment vertical="center"/>
    </xf>
    <xf numFmtId="3" fontId="2" fillId="0" borderId="45" xfId="1" applyNumberFormat="1" applyFont="1" applyBorder="1" applyAlignment="1">
      <alignment vertical="center"/>
    </xf>
    <xf numFmtId="0" fontId="2" fillId="0" borderId="77" xfId="1" applyFont="1" applyBorder="1" applyAlignment="1">
      <alignment horizontal="left" vertical="center" wrapText="1"/>
    </xf>
    <xf numFmtId="0" fontId="2" fillId="0" borderId="76" xfId="1" applyFont="1" applyBorder="1" applyAlignment="1">
      <alignment horizontal="center" vertical="center"/>
    </xf>
    <xf numFmtId="0" fontId="2" fillId="0" borderId="77" xfId="1" applyFont="1" applyBorder="1" applyAlignment="1">
      <alignment horizontal="center" vertical="center" wrapText="1"/>
    </xf>
    <xf numFmtId="0" fontId="2" fillId="0" borderId="78" xfId="1" applyFont="1" applyBorder="1" applyAlignment="1">
      <alignment horizontal="center" vertical="center"/>
    </xf>
    <xf numFmtId="49" fontId="5" fillId="0" borderId="68" xfId="1" applyNumberFormat="1" applyFont="1" applyBorder="1" applyAlignment="1">
      <alignment vertical="center" wrapText="1"/>
    </xf>
    <xf numFmtId="3" fontId="5" fillId="0" borderId="69" xfId="1" applyNumberFormat="1" applyFont="1" applyBorder="1" applyAlignment="1">
      <alignment vertical="center"/>
    </xf>
    <xf numFmtId="3" fontId="5" fillId="0" borderId="70" xfId="1" applyNumberFormat="1" applyFont="1" applyBorder="1" applyAlignment="1">
      <alignment vertical="center"/>
    </xf>
    <xf numFmtId="3" fontId="5" fillId="0" borderId="73" xfId="1" applyNumberFormat="1" applyFont="1" applyBorder="1" applyAlignment="1">
      <alignment vertical="center"/>
    </xf>
    <xf numFmtId="3" fontId="4" fillId="0" borderId="69" xfId="1" applyNumberFormat="1" applyFont="1" applyBorder="1" applyAlignment="1">
      <alignment vertical="center"/>
    </xf>
    <xf numFmtId="3" fontId="4" fillId="0" borderId="70" xfId="1" applyNumberFormat="1" applyFont="1" applyBorder="1" applyAlignment="1">
      <alignment vertical="center"/>
    </xf>
    <xf numFmtId="3" fontId="4" fillId="0" borderId="73" xfId="1" applyNumberFormat="1" applyFont="1" applyBorder="1" applyAlignment="1">
      <alignment vertical="center"/>
    </xf>
    <xf numFmtId="3" fontId="5" fillId="0" borderId="90" xfId="1" applyNumberFormat="1" applyFont="1" applyBorder="1" applyAlignment="1">
      <alignment vertical="center"/>
    </xf>
    <xf numFmtId="0" fontId="10" fillId="0" borderId="84" xfId="0" applyFont="1" applyBorder="1" applyAlignment="1">
      <alignment vertical="center"/>
    </xf>
    <xf numFmtId="3" fontId="6" fillId="0" borderId="76" xfId="1" applyNumberFormat="1" applyFont="1" applyBorder="1" applyAlignment="1">
      <alignment vertical="center"/>
    </xf>
    <xf numFmtId="3" fontId="12" fillId="0" borderId="76" xfId="1" applyNumberFormat="1" applyFont="1" applyBorder="1" applyAlignment="1">
      <alignment vertical="center"/>
    </xf>
    <xf numFmtId="0" fontId="2" fillId="0" borderId="68" xfId="1" applyFont="1" applyBorder="1" applyAlignment="1">
      <alignment horizontal="left" vertical="center" wrapText="1"/>
    </xf>
    <xf numFmtId="0" fontId="2" fillId="0" borderId="69" xfId="1" applyFont="1" applyBorder="1" applyAlignment="1">
      <alignment horizontal="center" vertical="center"/>
    </xf>
    <xf numFmtId="3" fontId="2" fillId="0" borderId="69" xfId="1" applyNumberFormat="1" applyFont="1" applyBorder="1" applyAlignment="1">
      <alignment horizontal="right" vertical="center"/>
    </xf>
    <xf numFmtId="3" fontId="2" fillId="0" borderId="72" xfId="1" applyNumberFormat="1" applyFont="1" applyBorder="1" applyAlignment="1">
      <alignment horizontal="right" vertical="center"/>
    </xf>
    <xf numFmtId="0" fontId="2" fillId="0" borderId="68" xfId="1" applyFont="1" applyBorder="1" applyAlignment="1">
      <alignment horizontal="center" vertical="center" wrapText="1"/>
    </xf>
    <xf numFmtId="0" fontId="2" fillId="0" borderId="72" xfId="1" applyFont="1" applyBorder="1" applyAlignment="1">
      <alignment horizontal="center" vertical="center"/>
    </xf>
    <xf numFmtId="0" fontId="5" fillId="0" borderId="77" xfId="1" applyFont="1" applyBorder="1" applyAlignment="1">
      <alignment vertical="center" wrapText="1"/>
    </xf>
    <xf numFmtId="0" fontId="10" fillId="0" borderId="77" xfId="1" applyFont="1" applyBorder="1" applyAlignment="1">
      <alignment vertical="center" wrapText="1"/>
    </xf>
    <xf numFmtId="0" fontId="12" fillId="0" borderId="77" xfId="0" applyFont="1" applyBorder="1" applyAlignment="1">
      <alignment vertical="center" wrapText="1"/>
    </xf>
    <xf numFmtId="3" fontId="6" fillId="0" borderId="78" xfId="1" applyNumberFormat="1" applyFont="1" applyBorder="1" applyAlignment="1">
      <alignment vertical="center"/>
    </xf>
    <xf numFmtId="3" fontId="12" fillId="0" borderId="77" xfId="1" applyNumberFormat="1" applyFont="1" applyBorder="1" applyAlignment="1">
      <alignment vertical="center" wrapText="1"/>
    </xf>
    <xf numFmtId="3" fontId="12" fillId="0" borderId="78" xfId="1" applyNumberFormat="1" applyFont="1" applyBorder="1" applyAlignment="1">
      <alignment vertical="center"/>
    </xf>
    <xf numFmtId="0" fontId="2" fillId="0" borderId="84" xfId="1" applyFont="1" applyBorder="1" applyAlignment="1">
      <alignment vertical="center" wrapText="1"/>
    </xf>
    <xf numFmtId="3" fontId="2" fillId="0" borderId="91" xfId="1" applyNumberFormat="1" applyFont="1" applyBorder="1" applyAlignment="1">
      <alignment vertical="center"/>
    </xf>
    <xf numFmtId="3" fontId="14" fillId="0" borderId="76" xfId="0" applyNumberFormat="1" applyFont="1" applyBorder="1" applyAlignment="1">
      <alignment horizontal="right" vertical="center" wrapText="1"/>
    </xf>
    <xf numFmtId="3" fontId="13" fillId="0" borderId="76" xfId="0" applyNumberFormat="1" applyFont="1" applyBorder="1" applyAlignment="1">
      <alignment horizontal="right" vertical="center" wrapText="1"/>
    </xf>
    <xf numFmtId="3" fontId="13" fillId="0" borderId="76" xfId="0" applyNumberFormat="1" applyFont="1" applyBorder="1" applyAlignment="1">
      <alignment vertical="center"/>
    </xf>
    <xf numFmtId="3" fontId="11" fillId="0" borderId="76" xfId="0" applyNumberFormat="1" applyFont="1" applyBorder="1" applyAlignment="1">
      <alignment horizontal="right" vertical="center" wrapText="1"/>
    </xf>
    <xf numFmtId="3" fontId="11" fillId="0" borderId="76" xfId="0" applyNumberFormat="1" applyFont="1" applyBorder="1" applyAlignment="1">
      <alignment vertical="center"/>
    </xf>
    <xf numFmtId="3" fontId="14" fillId="0" borderId="76" xfId="0" applyNumberFormat="1" applyFont="1" applyBorder="1" applyAlignment="1">
      <alignment vertical="center"/>
    </xf>
    <xf numFmtId="3" fontId="14" fillId="0" borderId="77" xfId="0" applyNumberFormat="1" applyFont="1" applyBorder="1" applyAlignment="1">
      <alignment horizontal="right" vertical="center" wrapText="1"/>
    </xf>
    <xf numFmtId="3" fontId="14" fillId="0" borderId="78" xfId="0" applyNumberFormat="1" applyFont="1" applyBorder="1" applyAlignment="1">
      <alignment horizontal="right" vertical="center" wrapText="1"/>
    </xf>
    <xf numFmtId="3" fontId="13" fillId="0" borderId="77" xfId="0" applyNumberFormat="1" applyFont="1" applyBorder="1" applyAlignment="1">
      <alignment horizontal="right" vertical="center" wrapText="1"/>
    </xf>
    <xf numFmtId="3" fontId="13" fillId="0" borderId="78" xfId="0" applyNumberFormat="1" applyFont="1" applyBorder="1" applyAlignment="1">
      <alignment horizontal="right" vertical="center" wrapText="1"/>
    </xf>
    <xf numFmtId="3" fontId="13" fillId="0" borderId="77" xfId="0" applyNumberFormat="1" applyFont="1" applyBorder="1" applyAlignment="1">
      <alignment vertical="center"/>
    </xf>
    <xf numFmtId="3" fontId="11" fillId="0" borderId="77" xfId="0" applyNumberFormat="1" applyFont="1" applyBorder="1" applyAlignment="1">
      <alignment horizontal="right" vertical="center" wrapText="1"/>
    </xf>
    <xf numFmtId="3" fontId="11" fillId="0" borderId="78" xfId="0" applyNumberFormat="1" applyFont="1" applyBorder="1" applyAlignment="1">
      <alignment horizontal="right" vertical="center" wrapText="1"/>
    </xf>
    <xf numFmtId="3" fontId="11" fillId="0" borderId="77" xfId="0" applyNumberFormat="1" applyFont="1" applyBorder="1" applyAlignment="1">
      <alignment vertical="center"/>
    </xf>
    <xf numFmtId="3" fontId="11" fillId="0" borderId="78" xfId="0" applyNumberFormat="1" applyFont="1" applyBorder="1" applyAlignment="1">
      <alignment vertical="center"/>
    </xf>
    <xf numFmtId="3" fontId="14" fillId="0" borderId="77" xfId="0" applyNumberFormat="1" applyFont="1" applyBorder="1" applyAlignment="1">
      <alignment vertical="center"/>
    </xf>
    <xf numFmtId="3" fontId="14" fillId="0" borderId="78" xfId="0" applyNumberFormat="1" applyFont="1" applyBorder="1" applyAlignment="1">
      <alignment vertical="center"/>
    </xf>
    <xf numFmtId="3" fontId="14" fillId="0" borderId="68" xfId="0" applyNumberFormat="1" applyFont="1" applyBorder="1" applyAlignment="1">
      <alignment horizontal="right" vertical="center" wrapText="1"/>
    </xf>
    <xf numFmtId="3" fontId="14" fillId="0" borderId="69" xfId="0" applyNumberFormat="1" applyFont="1" applyBorder="1" applyAlignment="1">
      <alignment horizontal="right" vertical="center" wrapText="1"/>
    </xf>
    <xf numFmtId="3" fontId="14" fillId="0" borderId="72" xfId="0" applyNumberFormat="1" applyFont="1" applyBorder="1" applyAlignment="1">
      <alignment horizontal="right" vertical="center" wrapText="1"/>
    </xf>
    <xf numFmtId="3" fontId="14" fillId="0" borderId="71" xfId="0" applyNumberFormat="1" applyFont="1" applyBorder="1" applyAlignment="1">
      <alignment vertical="center"/>
    </xf>
    <xf numFmtId="3" fontId="13" fillId="0" borderId="83" xfId="0" applyNumberFormat="1" applyFont="1" applyBorder="1" applyAlignment="1">
      <alignment vertical="center"/>
    </xf>
    <xf numFmtId="3" fontId="14" fillId="0" borderId="69" xfId="0" applyNumberFormat="1" applyFont="1" applyBorder="1" applyAlignment="1">
      <alignment vertical="center"/>
    </xf>
    <xf numFmtId="3" fontId="14" fillId="0" borderId="83" xfId="0" applyNumberFormat="1" applyFont="1" applyBorder="1" applyAlignment="1">
      <alignment vertical="center"/>
    </xf>
    <xf numFmtId="3" fontId="14" fillId="0" borderId="70" xfId="0" applyNumberFormat="1" applyFont="1" applyBorder="1" applyAlignment="1">
      <alignment vertical="center"/>
    </xf>
    <xf numFmtId="0" fontId="14" fillId="0" borderId="26" xfId="0" applyFont="1" applyBorder="1" applyAlignment="1">
      <alignment horizontal="center" vertical="center" wrapText="1"/>
    </xf>
    <xf numFmtId="3" fontId="14" fillId="0" borderId="70" xfId="0" applyNumberFormat="1" applyFont="1" applyBorder="1" applyAlignment="1">
      <alignment horizontal="right" vertical="center" wrapText="1"/>
    </xf>
    <xf numFmtId="3" fontId="13" fillId="0" borderId="71" xfId="0" applyNumberFormat="1" applyFont="1" applyBorder="1" applyAlignment="1">
      <alignment horizontal="right" vertical="center" wrapText="1"/>
    </xf>
    <xf numFmtId="3" fontId="14" fillId="0" borderId="71" xfId="0" applyNumberFormat="1" applyFont="1" applyBorder="1" applyAlignment="1">
      <alignment horizontal="right" vertical="center" wrapText="1"/>
    </xf>
    <xf numFmtId="3" fontId="13" fillId="0" borderId="71" xfId="0" applyNumberFormat="1" applyFont="1" applyBorder="1" applyAlignment="1">
      <alignment vertical="center"/>
    </xf>
    <xf numFmtId="3" fontId="11" fillId="0" borderId="71" xfId="0" applyNumberFormat="1" applyFont="1" applyBorder="1" applyAlignment="1">
      <alignment horizontal="right" vertical="center" wrapText="1"/>
    </xf>
    <xf numFmtId="3" fontId="11" fillId="0" borderId="71" xfId="0" applyNumberFormat="1" applyFont="1" applyBorder="1" applyAlignment="1">
      <alignment vertical="center"/>
    </xf>
    <xf numFmtId="3" fontId="13" fillId="0" borderId="90" xfId="0" applyNumberFormat="1" applyFont="1" applyBorder="1" applyAlignment="1">
      <alignment vertical="center"/>
    </xf>
    <xf numFmtId="3" fontId="14" fillId="0" borderId="15" xfId="0" applyNumberFormat="1" applyFont="1" applyBorder="1" applyAlignment="1">
      <alignment vertical="center"/>
    </xf>
    <xf numFmtId="3" fontId="14" fillId="0" borderId="90" xfId="0" applyNumberFormat="1" applyFont="1" applyBorder="1" applyAlignment="1">
      <alignment vertical="center"/>
    </xf>
    <xf numFmtId="3" fontId="13" fillId="0" borderId="84" xfId="0" applyNumberFormat="1" applyFont="1" applyBorder="1" applyAlignment="1">
      <alignment vertical="center"/>
    </xf>
    <xf numFmtId="3" fontId="13" fillId="0" borderId="91" xfId="0" applyNumberFormat="1" applyFont="1" applyBorder="1" applyAlignment="1">
      <alignment vertical="center"/>
    </xf>
    <xf numFmtId="3" fontId="14" fillId="0" borderId="68" xfId="0" applyNumberFormat="1" applyFont="1" applyBorder="1" applyAlignment="1">
      <alignment vertical="center"/>
    </xf>
    <xf numFmtId="3" fontId="14" fillId="0" borderId="72" xfId="0" applyNumberFormat="1" applyFont="1" applyBorder="1" applyAlignment="1">
      <alignment vertical="center"/>
    </xf>
    <xf numFmtId="3" fontId="14" fillId="0" borderId="84" xfId="0" applyNumberFormat="1" applyFont="1" applyBorder="1" applyAlignment="1">
      <alignment vertical="center"/>
    </xf>
    <xf numFmtId="3" fontId="14" fillId="0" borderId="91" xfId="0" applyNumberFormat="1" applyFont="1" applyBorder="1" applyAlignment="1">
      <alignment vertical="center"/>
    </xf>
    <xf numFmtId="3" fontId="14" fillId="0" borderId="66" xfId="0" applyNumberFormat="1" applyFont="1" applyBorder="1" applyAlignment="1">
      <alignment horizontal="right" vertical="center" wrapText="1"/>
    </xf>
    <xf numFmtId="3" fontId="13" fillId="0" borderId="67" xfId="0" applyNumberFormat="1" applyFont="1" applyBorder="1" applyAlignment="1">
      <alignment horizontal="right" vertical="center" wrapText="1"/>
    </xf>
    <xf numFmtId="3" fontId="14" fillId="0" borderId="67" xfId="0" applyNumberFormat="1" applyFont="1" applyBorder="1" applyAlignment="1">
      <alignment horizontal="right" vertical="center" wrapText="1"/>
    </xf>
    <xf numFmtId="3" fontId="11" fillId="0" borderId="67" xfId="0" applyNumberFormat="1" applyFont="1" applyBorder="1" applyAlignment="1">
      <alignment horizontal="right" vertical="center" wrapText="1"/>
    </xf>
    <xf numFmtId="3" fontId="11" fillId="0" borderId="67" xfId="0" applyNumberFormat="1" applyFont="1" applyBorder="1" applyAlignment="1">
      <alignment vertical="center"/>
    </xf>
    <xf numFmtId="3" fontId="14" fillId="0" borderId="67" xfId="0" applyNumberFormat="1" applyFont="1" applyBorder="1" applyAlignment="1">
      <alignment vertical="center"/>
    </xf>
    <xf numFmtId="3" fontId="13" fillId="0" borderId="85" xfId="0" applyNumberFormat="1" applyFont="1" applyBorder="1" applyAlignment="1">
      <alignment vertical="center"/>
    </xf>
    <xf numFmtId="3" fontId="14" fillId="0" borderId="60" xfId="0" applyNumberFormat="1" applyFont="1" applyBorder="1" applyAlignment="1">
      <alignment vertical="center"/>
    </xf>
    <xf numFmtId="3" fontId="14" fillId="0" borderId="66" xfId="0" applyNumberFormat="1" applyFont="1" applyBorder="1" applyAlignment="1">
      <alignment vertical="center"/>
    </xf>
    <xf numFmtId="3" fontId="14" fillId="0" borderId="85" xfId="0" applyNumberFormat="1" applyFont="1" applyBorder="1" applyAlignment="1">
      <alignment vertical="center"/>
    </xf>
    <xf numFmtId="3" fontId="4" fillId="0" borderId="76" xfId="0" applyNumberFormat="1" applyFont="1" applyBorder="1" applyAlignment="1">
      <alignment vertical="center" wrapText="1"/>
    </xf>
    <xf numFmtId="37" fontId="4" fillId="0" borderId="76" xfId="0" applyNumberFormat="1" applyFont="1" applyBorder="1" applyAlignment="1">
      <alignment vertical="center" wrapText="1"/>
    </xf>
    <xf numFmtId="37" fontId="5" fillId="0" borderId="76" xfId="0" applyNumberFormat="1" applyFont="1" applyBorder="1" applyAlignment="1">
      <alignment vertical="center" wrapText="1"/>
    </xf>
    <xf numFmtId="3" fontId="5" fillId="0" borderId="76" xfId="0" applyNumberFormat="1" applyFont="1" applyBorder="1" applyAlignment="1">
      <alignment vertical="center" wrapText="1"/>
    </xf>
    <xf numFmtId="3" fontId="6" fillId="0" borderId="76" xfId="0" applyNumberFormat="1" applyFont="1" applyBorder="1" applyAlignment="1">
      <alignment vertical="center" wrapText="1"/>
    </xf>
    <xf numFmtId="3" fontId="22" fillId="0" borderId="76" xfId="0" applyNumberFormat="1" applyFont="1" applyBorder="1" applyAlignment="1">
      <alignment vertical="center"/>
    </xf>
    <xf numFmtId="3" fontId="4" fillId="0" borderId="69" xfId="0" applyNumberFormat="1" applyFont="1" applyBorder="1" applyAlignment="1">
      <alignment vertical="center" wrapText="1"/>
    </xf>
    <xf numFmtId="0" fontId="4" fillId="0" borderId="11" xfId="0" applyFont="1" applyBorder="1" applyAlignment="1">
      <alignment horizontal="center" vertical="center" wrapText="1"/>
    </xf>
    <xf numFmtId="0" fontId="4" fillId="0" borderId="57" xfId="0" applyFont="1" applyBorder="1" applyAlignment="1">
      <alignment horizontal="center" vertical="center" wrapText="1"/>
    </xf>
    <xf numFmtId="3" fontId="4" fillId="0" borderId="71" xfId="0" applyNumberFormat="1" applyFont="1" applyBorder="1" applyAlignment="1">
      <alignment vertical="center" wrapText="1"/>
    </xf>
    <xf numFmtId="3" fontId="6" fillId="0" borderId="83" xfId="0" applyNumberFormat="1" applyFont="1" applyBorder="1" applyAlignment="1">
      <alignment vertical="center" wrapText="1"/>
    </xf>
    <xf numFmtId="3" fontId="4" fillId="0" borderId="12" xfId="0" applyNumberFormat="1" applyFont="1" applyBorder="1" applyAlignment="1">
      <alignment vertical="center" wrapText="1"/>
    </xf>
    <xf numFmtId="3" fontId="4" fillId="0" borderId="13" xfId="0" applyNumberFormat="1" applyFont="1" applyBorder="1" applyAlignment="1">
      <alignment vertical="center" wrapText="1"/>
    </xf>
    <xf numFmtId="3" fontId="4" fillId="0" borderId="14" xfId="0" applyNumberFormat="1" applyFont="1" applyBorder="1" applyAlignment="1">
      <alignment vertical="center" wrapText="1"/>
    </xf>
    <xf numFmtId="3" fontId="22" fillId="0" borderId="83" xfId="0" applyNumberFormat="1" applyFont="1" applyBorder="1" applyAlignment="1">
      <alignment vertical="center"/>
    </xf>
    <xf numFmtId="0" fontId="4" fillId="0" borderId="83" xfId="0" applyFont="1" applyBorder="1" applyAlignment="1">
      <alignment vertical="center"/>
    </xf>
    <xf numFmtId="3" fontId="4" fillId="0" borderId="12" xfId="0" applyNumberFormat="1" applyFont="1" applyBorder="1" applyAlignment="1">
      <alignment vertical="center"/>
    </xf>
    <xf numFmtId="0" fontId="4" fillId="0" borderId="26" xfId="0" applyFont="1" applyBorder="1" applyAlignment="1">
      <alignment horizontal="center" vertical="center" wrapText="1"/>
    </xf>
    <xf numFmtId="3" fontId="4" fillId="0" borderId="70" xfId="0" applyNumberFormat="1" applyFont="1" applyBorder="1" applyAlignment="1">
      <alignment vertical="center" wrapText="1"/>
    </xf>
    <xf numFmtId="37" fontId="4" fillId="0" borderId="71" xfId="0" applyNumberFormat="1" applyFont="1" applyBorder="1" applyAlignment="1">
      <alignment vertical="center" wrapText="1"/>
    </xf>
    <xf numFmtId="37" fontId="5" fillId="0" borderId="71" xfId="0" applyNumberFormat="1" applyFont="1" applyBorder="1" applyAlignment="1">
      <alignment vertical="center" wrapText="1"/>
    </xf>
    <xf numFmtId="3" fontId="5" fillId="0" borderId="71" xfId="0" applyNumberFormat="1" applyFont="1" applyBorder="1" applyAlignment="1">
      <alignment vertical="center" wrapText="1"/>
    </xf>
    <xf numFmtId="3" fontId="6" fillId="0" borderId="71" xfId="0" applyNumberFormat="1" applyFont="1" applyBorder="1" applyAlignment="1">
      <alignment vertical="center" wrapText="1"/>
    </xf>
    <xf numFmtId="3" fontId="6" fillId="0" borderId="90" xfId="0" applyNumberFormat="1" applyFont="1" applyBorder="1" applyAlignment="1">
      <alignment vertical="center" wrapText="1"/>
    </xf>
    <xf numFmtId="3" fontId="4" fillId="0" borderId="15" xfId="0" applyNumberFormat="1" applyFont="1" applyBorder="1" applyAlignment="1">
      <alignment vertical="center" wrapText="1"/>
    </xf>
    <xf numFmtId="0" fontId="4" fillId="0" borderId="90" xfId="0" applyFont="1" applyBorder="1" applyAlignment="1">
      <alignment vertical="center"/>
    </xf>
    <xf numFmtId="3" fontId="4" fillId="0" borderId="15" xfId="0" applyNumberFormat="1" applyFont="1" applyBorder="1" applyAlignment="1">
      <alignment vertical="center"/>
    </xf>
    <xf numFmtId="3" fontId="4" fillId="0" borderId="68" xfId="0" applyNumberFormat="1" applyFont="1" applyBorder="1" applyAlignment="1">
      <alignment vertical="center" wrapText="1"/>
    </xf>
    <xf numFmtId="3" fontId="4" fillId="0" borderId="72" xfId="0" applyNumberFormat="1" applyFont="1" applyBorder="1" applyAlignment="1">
      <alignment vertical="center" wrapText="1"/>
    </xf>
    <xf numFmtId="3" fontId="4" fillId="0" borderId="77" xfId="0" applyNumberFormat="1" applyFont="1" applyBorder="1" applyAlignment="1">
      <alignment vertical="center" wrapText="1"/>
    </xf>
    <xf numFmtId="3" fontId="4" fillId="0" borderId="78" xfId="0" applyNumberFormat="1" applyFont="1" applyBorder="1" applyAlignment="1">
      <alignment vertical="center" wrapText="1"/>
    </xf>
    <xf numFmtId="37" fontId="4" fillId="0" borderId="77" xfId="0" applyNumberFormat="1" applyFont="1" applyBorder="1" applyAlignment="1">
      <alignment vertical="center" wrapText="1"/>
    </xf>
    <xf numFmtId="37" fontId="4" fillId="0" borderId="78" xfId="0" applyNumberFormat="1" applyFont="1" applyBorder="1" applyAlignment="1">
      <alignment vertical="center" wrapText="1"/>
    </xf>
    <xf numFmtId="37" fontId="5" fillId="0" borderId="77" xfId="0" applyNumberFormat="1" applyFont="1" applyBorder="1" applyAlignment="1">
      <alignment vertical="center" wrapText="1"/>
    </xf>
    <xf numFmtId="37" fontId="5" fillId="0" borderId="78" xfId="0" applyNumberFormat="1" applyFont="1" applyBorder="1" applyAlignment="1">
      <alignment vertical="center" wrapText="1"/>
    </xf>
    <xf numFmtId="3" fontId="5" fillId="0" borderId="77" xfId="0" applyNumberFormat="1" applyFont="1" applyBorder="1" applyAlignment="1">
      <alignment vertical="center" wrapText="1"/>
    </xf>
    <xf numFmtId="3" fontId="5" fillId="0" borderId="78" xfId="0" applyNumberFormat="1" applyFont="1" applyBorder="1" applyAlignment="1">
      <alignment vertical="center" wrapText="1"/>
    </xf>
    <xf numFmtId="3" fontId="6" fillId="0" borderId="77" xfId="0" applyNumberFormat="1" applyFont="1" applyBorder="1" applyAlignment="1">
      <alignment vertical="center" wrapText="1"/>
    </xf>
    <xf numFmtId="3" fontId="6" fillId="0" borderId="78" xfId="0" applyNumberFormat="1" applyFont="1" applyBorder="1" applyAlignment="1">
      <alignment vertical="center" wrapText="1"/>
    </xf>
    <xf numFmtId="3" fontId="6" fillId="0" borderId="84" xfId="0" applyNumberFormat="1" applyFont="1" applyBorder="1" applyAlignment="1">
      <alignment vertical="center" wrapText="1"/>
    </xf>
    <xf numFmtId="3" fontId="6" fillId="0" borderId="91" xfId="0" applyNumberFormat="1" applyFont="1" applyBorder="1" applyAlignment="1">
      <alignment vertical="center" wrapText="1"/>
    </xf>
    <xf numFmtId="3" fontId="4" fillId="0" borderId="84" xfId="0" applyNumberFormat="1" applyFont="1" applyBorder="1" applyAlignment="1">
      <alignment vertical="center"/>
    </xf>
    <xf numFmtId="0" fontId="4" fillId="0" borderId="84" xfId="0" applyFont="1" applyBorder="1" applyAlignment="1">
      <alignment vertical="center"/>
    </xf>
    <xf numFmtId="0" fontId="4" fillId="0" borderId="91" xfId="0" applyFont="1" applyBorder="1" applyAlignment="1">
      <alignment vertical="center"/>
    </xf>
    <xf numFmtId="3" fontId="4" fillId="0" borderId="68" xfId="0" applyNumberFormat="1" applyFont="1" applyBorder="1" applyAlignment="1">
      <alignment vertical="center"/>
    </xf>
    <xf numFmtId="3" fontId="4" fillId="0" borderId="77" xfId="0" applyNumberFormat="1" applyFont="1" applyBorder="1" applyAlignment="1">
      <alignment vertical="center"/>
    </xf>
    <xf numFmtId="3" fontId="22" fillId="0" borderId="77" xfId="0" applyNumberFormat="1" applyFont="1" applyBorder="1" applyAlignment="1">
      <alignment vertical="center"/>
    </xf>
    <xf numFmtId="3" fontId="22" fillId="0" borderId="78" xfId="0" applyNumberFormat="1" applyFont="1" applyBorder="1" applyAlignment="1">
      <alignment vertical="center"/>
    </xf>
    <xf numFmtId="3" fontId="22" fillId="0" borderId="84" xfId="0" applyNumberFormat="1" applyFont="1" applyBorder="1" applyAlignment="1">
      <alignment vertical="center"/>
    </xf>
    <xf numFmtId="3" fontId="22" fillId="0" borderId="91" xfId="0" applyNumberFormat="1" applyFont="1" applyBorder="1" applyAlignment="1">
      <alignment vertical="center"/>
    </xf>
    <xf numFmtId="3" fontId="21" fillId="0" borderId="76" xfId="5" applyNumberFormat="1" applyFont="1" applyBorder="1" applyAlignment="1">
      <alignment vertical="center"/>
    </xf>
    <xf numFmtId="3" fontId="20" fillId="0" borderId="76" xfId="5" applyNumberFormat="1" applyFont="1" applyBorder="1" applyAlignment="1">
      <alignment vertical="center"/>
    </xf>
    <xf numFmtId="3" fontId="20" fillId="0" borderId="76" xfId="5" applyNumberFormat="1" applyFont="1" applyBorder="1" applyAlignment="1">
      <alignment horizontal="right" vertical="center"/>
    </xf>
    <xf numFmtId="3" fontId="21" fillId="0" borderId="69" xfId="5" applyNumberFormat="1" applyFont="1" applyBorder="1" applyAlignment="1">
      <alignment vertical="center"/>
    </xf>
    <xf numFmtId="3" fontId="20" fillId="0" borderId="69" xfId="5" applyNumberFormat="1" applyFont="1" applyBorder="1" applyAlignment="1">
      <alignment vertical="center"/>
    </xf>
    <xf numFmtId="0" fontId="21" fillId="0" borderId="57" xfId="5" applyFont="1" applyBorder="1" applyAlignment="1">
      <alignment horizontal="center" vertical="center" wrapText="1"/>
    </xf>
    <xf numFmtId="0" fontId="21" fillId="0" borderId="57" xfId="5" applyFont="1" applyBorder="1" applyAlignment="1">
      <alignment horizontal="center" vertical="center"/>
    </xf>
    <xf numFmtId="0" fontId="20" fillId="0" borderId="72" xfId="5" applyFont="1" applyBorder="1" applyAlignment="1">
      <alignment horizontal="left" vertical="center"/>
    </xf>
    <xf numFmtId="3" fontId="21" fillId="0" borderId="80" xfId="5" applyNumberFormat="1" applyFont="1" applyBorder="1" applyAlignment="1">
      <alignment vertical="center"/>
    </xf>
    <xf numFmtId="3" fontId="20" fillId="0" borderId="69" xfId="5" applyNumberFormat="1" applyFont="1" applyBorder="1" applyAlignment="1">
      <alignment horizontal="right" vertical="center"/>
    </xf>
    <xf numFmtId="0" fontId="21" fillId="0" borderId="11" xfId="5" applyFont="1" applyBorder="1" applyAlignment="1">
      <alignment horizontal="center" vertical="center" wrapText="1"/>
    </xf>
    <xf numFmtId="0" fontId="21" fillId="0" borderId="1" xfId="5" applyFont="1" applyBorder="1" applyAlignment="1">
      <alignment horizontal="center" vertical="center" wrapText="1"/>
    </xf>
    <xf numFmtId="3" fontId="20" fillId="0" borderId="68" xfId="5" applyNumberFormat="1" applyFont="1" applyBorder="1" applyAlignment="1">
      <alignment vertical="center"/>
    </xf>
    <xf numFmtId="3" fontId="20" fillId="0" borderId="72" xfId="5" applyNumberFormat="1" applyFont="1" applyBorder="1" applyAlignment="1">
      <alignment vertical="center"/>
    </xf>
    <xf numFmtId="3" fontId="20" fillId="0" borderId="77" xfId="5" applyNumberFormat="1" applyFont="1" applyBorder="1" applyAlignment="1">
      <alignment vertical="center"/>
    </xf>
    <xf numFmtId="3" fontId="20" fillId="0" borderId="78" xfId="5" applyNumberFormat="1" applyFont="1" applyBorder="1" applyAlignment="1">
      <alignment vertical="center"/>
    </xf>
    <xf numFmtId="3" fontId="20" fillId="0" borderId="77" xfId="5" applyNumberFormat="1" applyFont="1" applyBorder="1" applyAlignment="1">
      <alignment horizontal="right" vertical="center"/>
    </xf>
    <xf numFmtId="3" fontId="20" fillId="0" borderId="78" xfId="5" applyNumberFormat="1" applyFont="1" applyBorder="1" applyAlignment="1">
      <alignment horizontal="right" vertical="center"/>
    </xf>
    <xf numFmtId="3" fontId="20" fillId="0" borderId="11" xfId="5" applyNumberFormat="1" applyFont="1" applyBorder="1" applyAlignment="1">
      <alignment horizontal="right" vertical="center"/>
    </xf>
    <xf numFmtId="3" fontId="20" fillId="0" borderId="57" xfId="5" applyNumberFormat="1" applyFont="1" applyBorder="1" applyAlignment="1">
      <alignment vertical="center"/>
    </xf>
    <xf numFmtId="3" fontId="20" fillId="0" borderId="1" xfId="5" applyNumberFormat="1" applyFont="1" applyBorder="1" applyAlignment="1">
      <alignment horizontal="right" vertical="center"/>
    </xf>
    <xf numFmtId="0" fontId="20" fillId="0" borderId="81" xfId="5" applyFont="1" applyBorder="1" applyAlignment="1">
      <alignment vertical="center"/>
    </xf>
    <xf numFmtId="3" fontId="21" fillId="0" borderId="11" xfId="5" applyNumberFormat="1" applyFont="1" applyBorder="1" applyAlignment="1">
      <alignment horizontal="center" vertical="center" wrapText="1"/>
    </xf>
    <xf numFmtId="0" fontId="20" fillId="0" borderId="72" xfId="5" applyFont="1" applyBorder="1" applyAlignment="1">
      <alignment vertical="center"/>
    </xf>
    <xf numFmtId="0" fontId="20" fillId="0" borderId="78" xfId="5" applyFont="1" applyBorder="1" applyAlignment="1">
      <alignment vertical="center"/>
    </xf>
    <xf numFmtId="3" fontId="21" fillId="0" borderId="63" xfId="5" applyNumberFormat="1" applyFont="1" applyBorder="1" applyAlignment="1">
      <alignment vertical="center"/>
    </xf>
    <xf numFmtId="3" fontId="20" fillId="0" borderId="84" xfId="5" applyNumberFormat="1" applyFont="1" applyBorder="1" applyAlignment="1">
      <alignment vertical="center"/>
    </xf>
    <xf numFmtId="3" fontId="20" fillId="0" borderId="83" xfId="5" applyNumberFormat="1" applyFont="1" applyBorder="1" applyAlignment="1">
      <alignment vertical="center"/>
    </xf>
    <xf numFmtId="3" fontId="20" fillId="0" borderId="91" xfId="5" applyNumberFormat="1" applyFont="1" applyBorder="1" applyAlignment="1">
      <alignment vertical="center"/>
    </xf>
    <xf numFmtId="0" fontId="20" fillId="0" borderId="91" xfId="5" applyFont="1" applyBorder="1" applyAlignment="1">
      <alignment vertical="center"/>
    </xf>
    <xf numFmtId="3" fontId="20" fillId="0" borderId="68" xfId="5" applyNumberFormat="1" applyFont="1" applyBorder="1" applyAlignment="1">
      <alignment horizontal="right" vertical="center"/>
    </xf>
    <xf numFmtId="3" fontId="20" fillId="0" borderId="72" xfId="5" applyNumberFormat="1" applyFont="1" applyBorder="1" applyAlignment="1">
      <alignment horizontal="right" vertical="center"/>
    </xf>
    <xf numFmtId="0" fontId="20" fillId="0" borderId="101" xfId="5" applyFont="1" applyBorder="1" applyAlignment="1">
      <alignment horizontal="left" vertical="center"/>
    </xf>
    <xf numFmtId="3" fontId="21" fillId="0" borderId="102" xfId="5" applyNumberFormat="1" applyFont="1" applyBorder="1" applyAlignment="1">
      <alignment vertical="center"/>
    </xf>
    <xf numFmtId="3" fontId="20" fillId="0" borderId="99" xfId="5" applyNumberFormat="1" applyFont="1" applyBorder="1" applyAlignment="1">
      <alignment horizontal="right" vertical="center"/>
    </xf>
    <xf numFmtId="3" fontId="20" fillId="0" borderId="100" xfId="5" applyNumberFormat="1" applyFont="1" applyBorder="1" applyAlignment="1">
      <alignment horizontal="right" vertical="center"/>
    </xf>
    <xf numFmtId="3" fontId="20" fillId="0" borderId="100" xfId="5" applyNumberFormat="1" applyFont="1" applyBorder="1" applyAlignment="1">
      <alignment vertical="center"/>
    </xf>
    <xf numFmtId="3" fontId="20" fillId="0" borderId="101" xfId="5" applyNumberFormat="1" applyFont="1" applyBorder="1" applyAlignment="1">
      <alignment horizontal="right" vertical="center"/>
    </xf>
    <xf numFmtId="3" fontId="20" fillId="0" borderId="101" xfId="5" applyNumberFormat="1" applyFont="1" applyBorder="1" applyAlignment="1">
      <alignment vertical="center"/>
    </xf>
    <xf numFmtId="3" fontId="20" fillId="0" borderId="1" xfId="5" applyNumberFormat="1" applyFont="1" applyBorder="1" applyAlignment="1">
      <alignment vertical="center"/>
    </xf>
    <xf numFmtId="3" fontId="20" fillId="0" borderId="84" xfId="5" applyNumberFormat="1" applyFont="1" applyBorder="1" applyAlignment="1">
      <alignment horizontal="right" vertical="center"/>
    </xf>
    <xf numFmtId="3" fontId="20" fillId="0" borderId="83" xfId="5" applyNumberFormat="1" applyFont="1" applyBorder="1" applyAlignment="1">
      <alignment horizontal="right" vertical="center"/>
    </xf>
    <xf numFmtId="3" fontId="20" fillId="0" borderId="91" xfId="5" applyNumberFormat="1" applyFont="1" applyBorder="1" applyAlignment="1">
      <alignment horizontal="right" vertical="center"/>
    </xf>
    <xf numFmtId="3" fontId="20" fillId="0" borderId="99" xfId="5" applyNumberFormat="1" applyFont="1" applyBorder="1" applyAlignment="1">
      <alignment vertical="center"/>
    </xf>
    <xf numFmtId="0" fontId="20" fillId="0" borderId="101" xfId="5" applyFont="1" applyBorder="1" applyAlignment="1">
      <alignment vertical="center"/>
    </xf>
    <xf numFmtId="3" fontId="20" fillId="0" borderId="11" xfId="5" applyNumberFormat="1" applyFont="1" applyBorder="1" applyAlignment="1">
      <alignment vertical="center"/>
    </xf>
    <xf numFmtId="0" fontId="20" fillId="0" borderId="91" xfId="5" applyFont="1" applyBorder="1" applyAlignment="1">
      <alignment horizontal="left" vertical="center"/>
    </xf>
    <xf numFmtId="0" fontId="20" fillId="0" borderId="69" xfId="5" applyFont="1" applyBorder="1" applyAlignment="1">
      <alignment horizontal="right" vertical="center"/>
    </xf>
    <xf numFmtId="0" fontId="20" fillId="0" borderId="100" xfId="5" applyFont="1" applyBorder="1" applyAlignment="1">
      <alignment horizontal="right" vertical="center"/>
    </xf>
    <xf numFmtId="0" fontId="20" fillId="0" borderId="76" xfId="5" applyFont="1" applyBorder="1" applyAlignment="1">
      <alignment horizontal="right" vertical="center"/>
    </xf>
    <xf numFmtId="0" fontId="20" fillId="0" borderId="57" xfId="5" applyFont="1" applyBorder="1" applyAlignment="1">
      <alignment horizontal="right" vertical="center"/>
    </xf>
    <xf numFmtId="0" fontId="20" fillId="0" borderId="83" xfId="5" applyFont="1" applyBorder="1" applyAlignment="1">
      <alignment horizontal="right" vertical="center"/>
    </xf>
    <xf numFmtId="3" fontId="21" fillId="0" borderId="100" xfId="5" applyNumberFormat="1" applyFont="1" applyBorder="1" applyAlignment="1">
      <alignment vertical="center"/>
    </xf>
    <xf numFmtId="3" fontId="21" fillId="0" borderId="57" xfId="5" applyNumberFormat="1" applyFont="1" applyBorder="1" applyAlignment="1">
      <alignment vertical="center"/>
    </xf>
    <xf numFmtId="3" fontId="21" fillId="0" borderId="73" xfId="5" applyNumberFormat="1" applyFont="1" applyBorder="1" applyAlignment="1">
      <alignment vertical="center"/>
    </xf>
    <xf numFmtId="3" fontId="21" fillId="0" borderId="81" xfId="5" applyNumberFormat="1" applyFont="1" applyBorder="1" applyAlignment="1">
      <alignment vertical="center"/>
    </xf>
    <xf numFmtId="3" fontId="21" fillId="0" borderId="97" xfId="5" applyNumberFormat="1" applyFont="1" applyBorder="1" applyAlignment="1">
      <alignment vertical="center"/>
    </xf>
    <xf numFmtId="3" fontId="21" fillId="0" borderId="105" xfId="5" applyNumberFormat="1" applyFont="1" applyBorder="1" applyAlignment="1">
      <alignment vertical="center"/>
    </xf>
    <xf numFmtId="3" fontId="21" fillId="0" borderId="96" xfId="5" applyNumberFormat="1" applyFont="1" applyBorder="1" applyAlignment="1">
      <alignment vertical="center"/>
    </xf>
    <xf numFmtId="0" fontId="7" fillId="0" borderId="0" xfId="0" applyFont="1" applyBorder="1" applyAlignment="1">
      <alignment vertical="center"/>
    </xf>
    <xf numFmtId="0" fontId="21" fillId="0" borderId="78" xfId="5" applyFont="1" applyBorder="1" applyAlignment="1">
      <alignment horizontal="left" vertical="center"/>
    </xf>
    <xf numFmtId="3" fontId="21" fillId="0" borderId="77" xfId="5" applyNumberFormat="1" applyFont="1" applyBorder="1" applyAlignment="1">
      <alignment vertical="center"/>
    </xf>
    <xf numFmtId="3" fontId="21" fillId="0" borderId="78" xfId="5" applyNumberFormat="1" applyFont="1" applyBorder="1" applyAlignment="1">
      <alignment vertical="center"/>
    </xf>
    <xf numFmtId="3" fontId="21" fillId="0" borderId="11" xfId="5" applyNumberFormat="1" applyFont="1" applyBorder="1" applyAlignment="1">
      <alignment vertical="center"/>
    </xf>
    <xf numFmtId="3" fontId="21" fillId="0" borderId="1" xfId="5" applyNumberFormat="1" applyFont="1" applyBorder="1" applyAlignment="1">
      <alignment vertical="center"/>
    </xf>
    <xf numFmtId="0" fontId="21" fillId="0" borderId="11" xfId="5" applyFont="1" applyBorder="1" applyAlignment="1">
      <alignment horizontal="center" vertical="center"/>
    </xf>
    <xf numFmtId="3" fontId="21" fillId="0" borderId="1" xfId="5" applyNumberFormat="1" applyFont="1" applyBorder="1" applyAlignment="1">
      <alignment horizontal="center" vertical="center" wrapText="1"/>
    </xf>
    <xf numFmtId="0" fontId="20" fillId="0" borderId="73" xfId="5" applyFont="1" applyBorder="1" applyAlignment="1">
      <alignment vertical="center"/>
    </xf>
    <xf numFmtId="0" fontId="20" fillId="0" borderId="97" xfId="5" applyFont="1" applyBorder="1" applyAlignment="1">
      <alignment vertical="center"/>
    </xf>
    <xf numFmtId="0" fontId="20" fillId="0" borderId="105" xfId="5" applyFont="1" applyBorder="1" applyAlignment="1">
      <alignment vertical="center"/>
    </xf>
    <xf numFmtId="0" fontId="20" fillId="0" borderId="96" xfId="5" applyFont="1" applyBorder="1" applyAlignment="1">
      <alignment vertical="center"/>
    </xf>
    <xf numFmtId="3" fontId="20" fillId="0" borderId="105" xfId="5" applyNumberFormat="1" applyFont="1" applyBorder="1" applyAlignment="1">
      <alignment vertical="center"/>
    </xf>
    <xf numFmtId="3" fontId="20" fillId="0" borderId="81" xfId="5" applyNumberFormat="1" applyFont="1" applyBorder="1" applyAlignment="1">
      <alignment vertical="center"/>
    </xf>
    <xf numFmtId="3" fontId="20" fillId="0" borderId="96" xfId="5" applyNumberFormat="1" applyFont="1" applyBorder="1" applyAlignment="1">
      <alignment vertical="center"/>
    </xf>
    <xf numFmtId="0" fontId="20" fillId="0" borderId="78" xfId="5" applyFont="1" applyFill="1" applyBorder="1" applyAlignment="1">
      <alignment horizontal="left" vertical="center"/>
    </xf>
    <xf numFmtId="3" fontId="21" fillId="0" borderId="80" xfId="5" applyNumberFormat="1" applyFont="1" applyFill="1" applyBorder="1" applyAlignment="1">
      <alignment vertical="center"/>
    </xf>
    <xf numFmtId="3" fontId="20" fillId="0" borderId="77" xfId="5" applyNumberFormat="1" applyFont="1" applyFill="1" applyBorder="1" applyAlignment="1">
      <alignment horizontal="right" vertical="center"/>
    </xf>
    <xf numFmtId="3" fontId="20" fillId="0" borderId="76" xfId="5" applyNumberFormat="1" applyFont="1" applyFill="1" applyBorder="1" applyAlignment="1">
      <alignment horizontal="right" vertical="center"/>
    </xf>
    <xf numFmtId="3" fontId="20" fillId="0" borderId="78" xfId="5" applyNumberFormat="1" applyFont="1" applyFill="1" applyBorder="1" applyAlignment="1">
      <alignment horizontal="right" vertical="center"/>
    </xf>
    <xf numFmtId="0" fontId="20" fillId="0" borderId="78" xfId="5" applyFont="1" applyFill="1" applyBorder="1" applyAlignment="1">
      <alignment vertical="center"/>
    </xf>
    <xf numFmtId="0" fontId="20" fillId="0" borderId="81" xfId="5" applyFont="1" applyFill="1" applyBorder="1" applyAlignment="1">
      <alignment vertical="center"/>
    </xf>
    <xf numFmtId="0" fontId="20" fillId="0" borderId="101" xfId="5" applyFont="1" applyFill="1" applyBorder="1" applyAlignment="1">
      <alignment horizontal="left" vertical="center"/>
    </xf>
    <xf numFmtId="3" fontId="21" fillId="0" borderId="102" xfId="5" applyNumberFormat="1" applyFont="1" applyFill="1" applyBorder="1" applyAlignment="1">
      <alignment vertical="center"/>
    </xf>
    <xf numFmtId="3" fontId="20" fillId="0" borderId="99" xfId="5" applyNumberFormat="1" applyFont="1" applyFill="1" applyBorder="1" applyAlignment="1">
      <alignment horizontal="right" vertical="center"/>
    </xf>
    <xf numFmtId="3" fontId="20" fillId="0" borderId="100" xfId="5" applyNumberFormat="1" applyFont="1" applyFill="1" applyBorder="1" applyAlignment="1">
      <alignment horizontal="right" vertical="center"/>
    </xf>
    <xf numFmtId="3" fontId="20" fillId="0" borderId="101" xfId="5" applyNumberFormat="1" applyFont="1" applyFill="1" applyBorder="1" applyAlignment="1">
      <alignment horizontal="right" vertical="center"/>
    </xf>
    <xf numFmtId="0" fontId="20" fillId="0" borderId="101" xfId="5" applyFont="1" applyFill="1" applyBorder="1" applyAlignment="1">
      <alignment vertical="center"/>
    </xf>
    <xf numFmtId="0" fontId="20" fillId="0" borderId="105" xfId="5" applyFont="1" applyFill="1" applyBorder="1" applyAlignment="1">
      <alignment vertical="center"/>
    </xf>
    <xf numFmtId="3" fontId="21" fillId="0" borderId="21" xfId="5" applyNumberFormat="1" applyFont="1" applyFill="1" applyBorder="1" applyAlignment="1">
      <alignment vertical="center"/>
    </xf>
    <xf numFmtId="3" fontId="20" fillId="0" borderId="11" xfId="5" applyNumberFormat="1" applyFont="1" applyFill="1" applyBorder="1" applyAlignment="1">
      <alignment horizontal="right" vertical="center"/>
    </xf>
    <xf numFmtId="3" fontId="20" fillId="0" borderId="57" xfId="5" applyNumberFormat="1" applyFont="1" applyFill="1" applyBorder="1" applyAlignment="1">
      <alignment horizontal="right" vertical="center"/>
    </xf>
    <xf numFmtId="3" fontId="20" fillId="0" borderId="1" xfId="5" applyNumberFormat="1" applyFont="1" applyFill="1" applyBorder="1" applyAlignment="1">
      <alignment horizontal="right" vertical="center"/>
    </xf>
    <xf numFmtId="0" fontId="20" fillId="0" borderId="1" xfId="5" applyFont="1" applyFill="1" applyBorder="1" applyAlignment="1">
      <alignment vertical="center"/>
    </xf>
    <xf numFmtId="0" fontId="20" fillId="0" borderId="96" xfId="5" applyFont="1" applyFill="1" applyBorder="1" applyAlignment="1">
      <alignment vertical="center"/>
    </xf>
    <xf numFmtId="0" fontId="21" fillId="0" borderId="72" xfId="5" applyFont="1" applyBorder="1" applyAlignment="1">
      <alignment horizontal="left" vertical="center"/>
    </xf>
    <xf numFmtId="3" fontId="21" fillId="0" borderId="68" xfId="5" applyNumberFormat="1" applyFont="1" applyBorder="1" applyAlignment="1">
      <alignment vertical="center"/>
    </xf>
    <xf numFmtId="3" fontId="21" fillId="0" borderId="72" xfId="5" applyNumberFormat="1" applyFont="1" applyBorder="1" applyAlignment="1">
      <alignment vertical="center"/>
    </xf>
    <xf numFmtId="3" fontId="21" fillId="0" borderId="99" xfId="5" applyNumberFormat="1" applyFont="1" applyBorder="1" applyAlignment="1">
      <alignment vertical="center"/>
    </xf>
    <xf numFmtId="3" fontId="21" fillId="0" borderId="101" xfId="5" applyNumberFormat="1" applyFont="1" applyBorder="1" applyAlignment="1">
      <alignment vertical="center"/>
    </xf>
    <xf numFmtId="3" fontId="21" fillId="0" borderId="84" xfId="5" applyNumberFormat="1" applyFont="1" applyBorder="1" applyAlignment="1">
      <alignment vertical="center"/>
    </xf>
    <xf numFmtId="3" fontId="21" fillId="0" borderId="83" xfId="5" applyNumberFormat="1" applyFont="1" applyBorder="1" applyAlignment="1">
      <alignment vertical="center"/>
    </xf>
    <xf numFmtId="3" fontId="21" fillId="0" borderId="91" xfId="5" applyNumberFormat="1" applyFont="1" applyBorder="1" applyAlignment="1">
      <alignment vertical="center"/>
    </xf>
    <xf numFmtId="0" fontId="7" fillId="0" borderId="76" xfId="0" applyFont="1" applyBorder="1"/>
    <xf numFmtId="0" fontId="14" fillId="0" borderId="76" xfId="0" applyFont="1" applyBorder="1" applyAlignment="1">
      <alignment vertical="center" wrapText="1"/>
    </xf>
    <xf numFmtId="0" fontId="24" fillId="0" borderId="76" xfId="0" applyFont="1" applyBorder="1"/>
    <xf numFmtId="0" fontId="13" fillId="2" borderId="76" xfId="0" applyFont="1" applyFill="1" applyBorder="1" applyAlignment="1">
      <alignment vertical="center" wrapText="1"/>
    </xf>
    <xf numFmtId="3" fontId="13" fillId="2" borderId="76" xfId="0" applyNumberFormat="1" applyFont="1" applyFill="1" applyBorder="1" applyAlignment="1">
      <alignment vertical="center"/>
    </xf>
    <xf numFmtId="3" fontId="13" fillId="0" borderId="76" xfId="0" applyNumberFormat="1" applyFont="1" applyBorder="1" applyAlignment="1">
      <alignment vertical="center" wrapText="1"/>
    </xf>
    <xf numFmtId="3" fontId="14" fillId="0" borderId="76" xfId="0" applyNumberFormat="1" applyFont="1" applyBorder="1" applyAlignment="1">
      <alignment horizontal="right" vertical="center"/>
    </xf>
    <xf numFmtId="3" fontId="24" fillId="0" borderId="76" xfId="0" applyNumberFormat="1" applyFont="1" applyBorder="1"/>
    <xf numFmtId="3" fontId="24" fillId="0" borderId="76" xfId="0" applyNumberFormat="1" applyFont="1" applyBorder="1" applyAlignment="1">
      <alignment vertical="center"/>
    </xf>
    <xf numFmtId="0" fontId="13" fillId="0" borderId="69" xfId="0" applyFont="1" applyBorder="1" applyAlignment="1">
      <alignment vertical="center" wrapText="1"/>
    </xf>
    <xf numFmtId="3" fontId="13" fillId="0" borderId="69" xfId="0" applyNumberFormat="1" applyFont="1" applyBorder="1" applyAlignment="1">
      <alignment vertical="center"/>
    </xf>
    <xf numFmtId="0" fontId="13" fillId="0" borderId="100" xfId="0" applyFont="1" applyBorder="1" applyAlignment="1">
      <alignment vertical="center" wrapText="1"/>
    </xf>
    <xf numFmtId="3" fontId="13" fillId="0" borderId="100" xfId="0" applyNumberFormat="1" applyFont="1" applyBorder="1" applyAlignment="1">
      <alignment vertical="center"/>
    </xf>
    <xf numFmtId="3" fontId="14" fillId="0" borderId="101" xfId="0" applyNumberFormat="1" applyFont="1" applyBorder="1" applyAlignment="1">
      <alignment vertical="center"/>
    </xf>
    <xf numFmtId="0" fontId="13" fillId="0" borderId="57" xfId="0" applyFont="1" applyBorder="1" applyAlignment="1">
      <alignment vertical="center" wrapText="1"/>
    </xf>
    <xf numFmtId="0" fontId="13" fillId="0" borderId="83" xfId="0" applyFont="1" applyBorder="1" applyAlignment="1">
      <alignment vertical="center" wrapText="1"/>
    </xf>
    <xf numFmtId="0" fontId="13" fillId="0" borderId="32" xfId="0" applyFont="1" applyBorder="1" applyAlignment="1">
      <alignment vertical="center" wrapText="1"/>
    </xf>
    <xf numFmtId="3" fontId="13" fillId="0" borderId="32" xfId="0" applyNumberFormat="1" applyFont="1" applyBorder="1" applyAlignment="1">
      <alignment vertical="center"/>
    </xf>
    <xf numFmtId="3" fontId="14" fillId="0" borderId="109" xfId="0" applyNumberFormat="1" applyFont="1" applyBorder="1" applyAlignment="1">
      <alignment vertical="center"/>
    </xf>
    <xf numFmtId="0" fontId="14" fillId="0" borderId="69" xfId="0" applyFont="1" applyBorder="1" applyAlignment="1">
      <alignment vertical="center" wrapText="1"/>
    </xf>
    <xf numFmtId="0" fontId="13" fillId="0" borderId="110" xfId="0" applyFont="1" applyBorder="1" applyAlignment="1">
      <alignment vertical="center" wrapText="1"/>
    </xf>
    <xf numFmtId="3" fontId="13" fillId="0" borderId="110" xfId="0" applyNumberFormat="1" applyFont="1" applyBorder="1" applyAlignment="1">
      <alignment vertical="center"/>
    </xf>
    <xf numFmtId="3" fontId="14" fillId="0" borderId="114" xfId="0" applyNumberFormat="1" applyFont="1" applyBorder="1" applyAlignment="1">
      <alignment vertical="center"/>
    </xf>
    <xf numFmtId="0" fontId="13" fillId="0" borderId="117" xfId="0" applyFont="1" applyBorder="1" applyAlignment="1">
      <alignment vertical="center" wrapText="1"/>
    </xf>
    <xf numFmtId="3" fontId="13" fillId="0" borderId="117" xfId="0" applyNumberFormat="1" applyFont="1" applyBorder="1" applyAlignment="1">
      <alignment vertical="center"/>
    </xf>
    <xf numFmtId="3" fontId="14" fillId="0" borderId="118" xfId="0" applyNumberFormat="1" applyFont="1" applyBorder="1" applyAlignment="1">
      <alignment vertical="center"/>
    </xf>
    <xf numFmtId="0" fontId="13" fillId="2" borderId="117" xfId="0" applyFont="1" applyFill="1" applyBorder="1" applyAlignment="1">
      <alignment vertical="center" wrapText="1"/>
    </xf>
    <xf numFmtId="3" fontId="13" fillId="2" borderId="117" xfId="0" applyNumberFormat="1" applyFont="1" applyFill="1" applyBorder="1" applyAlignment="1">
      <alignment vertical="center"/>
    </xf>
    <xf numFmtId="0" fontId="13" fillId="2" borderId="57" xfId="0" applyFont="1" applyFill="1" applyBorder="1" applyAlignment="1">
      <alignment vertical="center" wrapText="1"/>
    </xf>
    <xf numFmtId="3" fontId="13" fillId="2" borderId="57" xfId="0" applyNumberFormat="1" applyFont="1" applyFill="1" applyBorder="1" applyAlignment="1">
      <alignment vertical="center"/>
    </xf>
    <xf numFmtId="0" fontId="14" fillId="0" borderId="117" xfId="0" applyFont="1" applyBorder="1" applyAlignment="1">
      <alignment vertical="center" wrapText="1"/>
    </xf>
    <xf numFmtId="3" fontId="14" fillId="0" borderId="117" xfId="0" applyNumberFormat="1" applyFont="1" applyBorder="1" applyAlignment="1">
      <alignment vertical="center"/>
    </xf>
    <xf numFmtId="3" fontId="13" fillId="0" borderId="117" xfId="0" applyNumberFormat="1" applyFont="1" applyBorder="1" applyAlignment="1">
      <alignment vertical="center" wrapText="1"/>
    </xf>
    <xf numFmtId="3" fontId="13" fillId="0" borderId="57" xfId="0" applyNumberFormat="1" applyFont="1" applyBorder="1" applyAlignment="1">
      <alignment vertical="center" wrapText="1"/>
    </xf>
    <xf numFmtId="0" fontId="14" fillId="0" borderId="83" xfId="0" applyFont="1" applyBorder="1" applyAlignment="1">
      <alignment vertical="center" wrapText="1"/>
    </xf>
    <xf numFmtId="3" fontId="24" fillId="0" borderId="69" xfId="0" applyNumberFormat="1" applyFont="1" applyBorder="1"/>
    <xf numFmtId="3" fontId="14" fillId="0" borderId="117" xfId="0" applyNumberFormat="1" applyFont="1" applyBorder="1" applyAlignment="1">
      <alignment horizontal="right" vertical="center"/>
    </xf>
    <xf numFmtId="3" fontId="24" fillId="0" borderId="117" xfId="0" applyNumberFormat="1" applyFont="1" applyBorder="1" applyAlignment="1">
      <alignment horizontal="right" vertical="center"/>
    </xf>
    <xf numFmtId="3" fontId="14" fillId="0" borderId="57" xfId="0" applyNumberFormat="1" applyFont="1" applyBorder="1" applyAlignment="1">
      <alignment horizontal="right" vertical="center"/>
    </xf>
    <xf numFmtId="0" fontId="7" fillId="0" borderId="77" xfId="0" applyFont="1" applyBorder="1"/>
    <xf numFmtId="0" fontId="7" fillId="0" borderId="78" xfId="0" applyFont="1" applyBorder="1"/>
    <xf numFmtId="0" fontId="24" fillId="0" borderId="77" xfId="0" applyFont="1" applyBorder="1"/>
    <xf numFmtId="0" fontId="24" fillId="0" borderId="78" xfId="0" applyFont="1" applyBorder="1"/>
    <xf numFmtId="0" fontId="24" fillId="0" borderId="11" xfId="0" applyFont="1" applyBorder="1"/>
    <xf numFmtId="0" fontId="24" fillId="0" borderId="1" xfId="0" applyFont="1" applyBorder="1"/>
    <xf numFmtId="0" fontId="24" fillId="0" borderId="102" xfId="0" applyFont="1" applyBorder="1" applyAlignment="1">
      <alignment horizontal="center" vertical="center" wrapText="1"/>
    </xf>
    <xf numFmtId="0" fontId="7" fillId="0" borderId="80" xfId="0" applyFont="1" applyBorder="1"/>
    <xf numFmtId="0" fontId="24" fillId="0" borderId="80" xfId="0" applyFont="1" applyBorder="1"/>
    <xf numFmtId="0" fontId="24" fillId="0" borderId="21" xfId="0" applyFont="1" applyBorder="1"/>
    <xf numFmtId="0" fontId="24" fillId="0" borderId="84" xfId="0" applyFont="1" applyBorder="1" applyAlignment="1">
      <alignment horizontal="center" vertical="center" wrapText="1"/>
    </xf>
    <xf numFmtId="0" fontId="24" fillId="0" borderId="83" xfId="0" applyFont="1" applyBorder="1" applyAlignment="1">
      <alignment horizontal="center" vertical="center" wrapText="1"/>
    </xf>
    <xf numFmtId="0" fontId="24" fillId="0" borderId="91" xfId="0" applyFont="1" applyBorder="1" applyAlignment="1">
      <alignment horizontal="center" vertical="center"/>
    </xf>
    <xf numFmtId="0" fontId="24" fillId="0" borderId="84" xfId="0" applyFont="1" applyBorder="1" applyAlignment="1">
      <alignment horizontal="center" vertical="center"/>
    </xf>
    <xf numFmtId="0" fontId="7" fillId="0" borderId="63" xfId="0" applyFont="1" applyBorder="1" applyAlignment="1">
      <alignment horizontal="center" vertical="center"/>
    </xf>
    <xf numFmtId="0" fontId="7" fillId="0" borderId="118" xfId="0" applyFont="1" applyBorder="1"/>
    <xf numFmtId="0" fontId="7" fillId="0" borderId="99" xfId="0" applyFont="1" applyBorder="1"/>
    <xf numFmtId="0" fontId="7" fillId="0" borderId="117" xfId="0" applyFont="1" applyBorder="1"/>
    <xf numFmtId="0" fontId="7" fillId="0" borderId="102" xfId="0" applyFont="1" applyBorder="1"/>
    <xf numFmtId="0" fontId="7" fillId="0" borderId="11" xfId="0" applyFont="1" applyBorder="1"/>
    <xf numFmtId="0" fontId="7" fillId="0" borderId="57" xfId="0" applyFont="1" applyBorder="1"/>
    <xf numFmtId="0" fontId="7" fillId="0" borderId="1" xfId="0" applyFont="1" applyBorder="1"/>
    <xf numFmtId="0" fontId="7" fillId="0" borderId="21" xfId="0" applyFont="1" applyBorder="1"/>
    <xf numFmtId="0" fontId="7" fillId="0" borderId="33" xfId="0" applyFont="1" applyBorder="1"/>
    <xf numFmtId="0" fontId="7" fillId="0" borderId="32" xfId="0" applyFont="1" applyBorder="1"/>
    <xf numFmtId="0" fontId="7" fillId="0" borderId="109" xfId="0" applyFont="1" applyBorder="1"/>
    <xf numFmtId="0" fontId="7" fillId="0" borderId="107" xfId="0" applyFont="1" applyBorder="1"/>
    <xf numFmtId="0" fontId="24" fillId="0" borderId="72" xfId="0" applyFont="1" applyBorder="1"/>
    <xf numFmtId="0" fontId="24" fillId="0" borderId="68" xfId="0" applyFont="1" applyBorder="1"/>
    <xf numFmtId="0" fontId="24" fillId="0" borderId="69" xfId="0" applyFont="1" applyBorder="1"/>
    <xf numFmtId="0" fontId="24" fillId="0" borderId="62" xfId="0" applyFont="1" applyBorder="1"/>
    <xf numFmtId="0" fontId="7" fillId="0" borderId="114" xfId="0" applyFont="1" applyBorder="1"/>
    <xf numFmtId="0" fontId="7" fillId="0" borderId="113" xfId="0" applyFont="1" applyBorder="1"/>
    <xf numFmtId="0" fontId="7" fillId="0" borderId="110" xfId="0" applyFont="1" applyBorder="1"/>
    <xf numFmtId="0" fontId="7" fillId="0" borderId="112" xfId="0" applyFont="1" applyBorder="1"/>
    <xf numFmtId="0" fontId="24" fillId="0" borderId="84" xfId="0" applyFont="1" applyBorder="1"/>
    <xf numFmtId="0" fontId="24" fillId="0" borderId="83" xfId="0" applyFont="1" applyBorder="1"/>
    <xf numFmtId="0" fontId="24" fillId="0" borderId="91" xfId="0" applyFont="1" applyBorder="1"/>
    <xf numFmtId="0" fontId="24" fillId="0" borderId="63" xfId="0" applyFont="1" applyBorder="1"/>
    <xf numFmtId="0" fontId="24" fillId="0" borderId="118" xfId="0" applyFont="1" applyBorder="1"/>
    <xf numFmtId="0" fontId="24" fillId="0" borderId="99" xfId="0" applyFont="1" applyBorder="1"/>
    <xf numFmtId="0" fontId="24" fillId="0" borderId="117" xfId="0" applyFont="1" applyBorder="1"/>
    <xf numFmtId="0" fontId="24" fillId="0" borderId="102" xfId="0" applyFont="1" applyBorder="1"/>
    <xf numFmtId="0" fontId="14" fillId="0" borderId="7" xfId="9" applyFont="1" applyBorder="1" applyAlignment="1">
      <alignment horizontal="center" vertical="center" wrapText="1"/>
    </xf>
    <xf numFmtId="0" fontId="14" fillId="0" borderId="7" xfId="9" applyFont="1" applyBorder="1" applyAlignment="1">
      <alignment vertical="center" wrapText="1"/>
    </xf>
    <xf numFmtId="0" fontId="13" fillId="0" borderId="23" xfId="9" applyFont="1" applyBorder="1" applyAlignment="1">
      <alignment vertical="center" wrapText="1"/>
    </xf>
    <xf numFmtId="0" fontId="14" fillId="0" borderId="79" xfId="9" applyFont="1" applyBorder="1" applyAlignment="1">
      <alignment vertical="center" wrapText="1"/>
    </xf>
    <xf numFmtId="49" fontId="13" fillId="2" borderId="79" xfId="10" applyNumberFormat="1" applyFont="1" applyFill="1" applyBorder="1" applyAlignment="1">
      <alignment horizontal="left" vertical="center" wrapText="1"/>
    </xf>
    <xf numFmtId="0" fontId="13" fillId="0" borderId="79" xfId="0" applyFont="1" applyBorder="1" applyAlignment="1">
      <alignment vertical="center" wrapText="1"/>
    </xf>
    <xf numFmtId="49" fontId="20" fillId="2" borderId="79" xfId="10" applyNumberFormat="1" applyFont="1" applyFill="1" applyBorder="1" applyAlignment="1">
      <alignment horizontal="left" vertical="center" wrapText="1"/>
    </xf>
    <xf numFmtId="49" fontId="20" fillId="2" borderId="79" xfId="10" applyNumberFormat="1" applyFont="1" applyFill="1" applyBorder="1" applyAlignment="1">
      <alignment vertical="center" wrapText="1"/>
    </xf>
    <xf numFmtId="49" fontId="7" fillId="2" borderId="79" xfId="10" applyNumberFormat="1" applyFont="1" applyFill="1" applyBorder="1" applyAlignment="1">
      <alignment horizontal="left" vertical="center" wrapText="1"/>
    </xf>
    <xf numFmtId="49" fontId="13" fillId="2" borderId="79" xfId="9" applyNumberFormat="1" applyFont="1" applyFill="1" applyBorder="1" applyAlignment="1">
      <alignment vertical="center" wrapText="1"/>
    </xf>
    <xf numFmtId="0" fontId="49" fillId="0" borderId="67" xfId="0" applyFont="1" applyBorder="1" applyAlignment="1">
      <alignment horizontal="left" vertical="center"/>
    </xf>
    <xf numFmtId="0" fontId="14" fillId="2" borderId="7" xfId="9" applyFont="1" applyFill="1" applyBorder="1" applyAlignment="1">
      <alignment vertical="center" wrapText="1"/>
    </xf>
    <xf numFmtId="0" fontId="14" fillId="2" borderId="23" xfId="9" applyFont="1" applyFill="1" applyBorder="1" applyAlignment="1">
      <alignment vertical="center" wrapText="1"/>
    </xf>
    <xf numFmtId="0" fontId="17" fillId="2" borderId="79" xfId="9" applyFont="1" applyFill="1" applyBorder="1" applyAlignment="1">
      <alignment vertical="center" wrapText="1"/>
    </xf>
    <xf numFmtId="0" fontId="49" fillId="0" borderId="67" xfId="0" applyFont="1" applyBorder="1"/>
    <xf numFmtId="0" fontId="13" fillId="2" borderId="23" xfId="9" applyFont="1" applyFill="1" applyBorder="1" applyAlignment="1">
      <alignment vertical="center" wrapText="1"/>
    </xf>
    <xf numFmtId="49" fontId="35" fillId="4" borderId="67" xfId="0" applyNumberFormat="1" applyFont="1" applyFill="1" applyBorder="1" applyAlignment="1">
      <alignment vertical="center" wrapText="1"/>
    </xf>
    <xf numFmtId="3" fontId="13" fillId="0" borderId="72" xfId="9" applyNumberFormat="1" applyFont="1" applyBorder="1" applyAlignment="1">
      <alignment vertical="center"/>
    </xf>
    <xf numFmtId="3" fontId="14" fillId="0" borderId="78" xfId="9" applyNumberFormat="1" applyFont="1" applyBorder="1" applyAlignment="1">
      <alignment vertical="center"/>
    </xf>
    <xf numFmtId="3" fontId="13" fillId="0" borderId="78" xfId="9" applyNumberFormat="1" applyFont="1" applyBorder="1" applyAlignment="1">
      <alignment vertical="center" wrapText="1"/>
    </xf>
    <xf numFmtId="3" fontId="20" fillId="0" borderId="78" xfId="10" applyNumberFormat="1" applyFont="1" applyBorder="1" applyAlignment="1">
      <alignment vertical="center"/>
    </xf>
    <xf numFmtId="3" fontId="7" fillId="0" borderId="78" xfId="10" applyNumberFormat="1" applyFont="1" applyBorder="1" applyAlignment="1">
      <alignment vertical="center"/>
    </xf>
    <xf numFmtId="3" fontId="7" fillId="0" borderId="78" xfId="9" applyNumberFormat="1" applyFont="1" applyBorder="1" applyAlignment="1">
      <alignment vertical="center"/>
    </xf>
    <xf numFmtId="3" fontId="24" fillId="0" borderId="14" xfId="9" applyNumberFormat="1" applyFont="1" applyBorder="1" applyAlignment="1">
      <alignment vertical="center"/>
    </xf>
    <xf numFmtId="3" fontId="24" fillId="0" borderId="72" xfId="9" applyNumberFormat="1" applyFont="1" applyBorder="1" applyAlignment="1">
      <alignment vertical="center"/>
    </xf>
    <xf numFmtId="3" fontId="24" fillId="0" borderId="78" xfId="9" applyNumberFormat="1" applyFont="1" applyBorder="1" applyAlignment="1">
      <alignment vertical="center"/>
    </xf>
    <xf numFmtId="3" fontId="17" fillId="0" borderId="78" xfId="9" applyNumberFormat="1" applyFont="1" applyBorder="1" applyAlignment="1">
      <alignment vertical="center"/>
    </xf>
    <xf numFmtId="3" fontId="14" fillId="0" borderId="76" xfId="9" applyNumberFormat="1" applyFont="1" applyBorder="1" applyAlignment="1">
      <alignment vertical="center"/>
    </xf>
    <xf numFmtId="3" fontId="13" fillId="0" borderId="76" xfId="9" applyNumberFormat="1" applyFont="1" applyBorder="1" applyAlignment="1">
      <alignment vertical="center"/>
    </xf>
    <xf numFmtId="3" fontId="13" fillId="0" borderId="76" xfId="9" applyNumberFormat="1" applyFont="1" applyBorder="1" applyAlignment="1">
      <alignment vertical="center" wrapText="1"/>
    </xf>
    <xf numFmtId="3" fontId="20" fillId="0" borderId="76" xfId="10" applyNumberFormat="1" applyFont="1" applyBorder="1" applyAlignment="1">
      <alignment vertical="center"/>
    </xf>
    <xf numFmtId="3" fontId="7" fillId="0" borderId="76" xfId="10" applyNumberFormat="1" applyFont="1" applyBorder="1" applyAlignment="1">
      <alignment vertical="center"/>
    </xf>
    <xf numFmtId="3" fontId="7" fillId="0" borderId="76" xfId="9" applyNumberFormat="1" applyFont="1" applyBorder="1" applyAlignment="1">
      <alignment vertical="center"/>
    </xf>
    <xf numFmtId="3" fontId="24" fillId="0" borderId="76" xfId="9" applyNumberFormat="1" applyFont="1" applyBorder="1" applyAlignment="1">
      <alignment vertical="center"/>
    </xf>
    <xf numFmtId="3" fontId="17" fillId="0" borderId="76" xfId="9" applyNumberFormat="1" applyFont="1" applyBorder="1" applyAlignment="1">
      <alignment vertical="center"/>
    </xf>
    <xf numFmtId="3" fontId="35" fillId="4" borderId="76" xfId="0" applyNumberFormat="1" applyFont="1" applyFill="1" applyBorder="1" applyAlignment="1">
      <alignment horizontal="right" wrapText="1"/>
    </xf>
    <xf numFmtId="49" fontId="20" fillId="2" borderId="120" xfId="10" applyNumberFormat="1" applyFont="1" applyFill="1" applyBorder="1" applyAlignment="1">
      <alignment horizontal="left" vertical="center" wrapText="1"/>
    </xf>
    <xf numFmtId="0" fontId="13" fillId="2" borderId="120" xfId="9" applyFont="1" applyFill="1" applyBorder="1" applyAlignment="1">
      <alignment vertical="center" wrapText="1"/>
    </xf>
    <xf numFmtId="49" fontId="35" fillId="4" borderId="121" xfId="0" applyNumberFormat="1" applyFont="1" applyFill="1" applyBorder="1" applyAlignment="1">
      <alignment vertical="center" wrapText="1"/>
    </xf>
    <xf numFmtId="3" fontId="14" fillId="0" borderId="77" xfId="9" applyNumberFormat="1" applyFont="1" applyBorder="1" applyAlignment="1">
      <alignment vertical="center"/>
    </xf>
    <xf numFmtId="3" fontId="13" fillId="0" borderId="77" xfId="9" applyNumberFormat="1" applyFont="1" applyBorder="1" applyAlignment="1">
      <alignment vertical="center"/>
    </xf>
    <xf numFmtId="3" fontId="13" fillId="0" borderId="77" xfId="9" applyNumberFormat="1" applyFont="1" applyBorder="1" applyAlignment="1">
      <alignment vertical="center" wrapText="1"/>
    </xf>
    <xf numFmtId="3" fontId="20" fillId="0" borderId="77" xfId="10" applyNumberFormat="1" applyFont="1" applyBorder="1" applyAlignment="1">
      <alignment vertical="center"/>
    </xf>
    <xf numFmtId="3" fontId="7" fillId="0" borderId="77" xfId="10" applyNumberFormat="1" applyFont="1" applyBorder="1" applyAlignment="1">
      <alignment vertical="center"/>
    </xf>
    <xf numFmtId="3" fontId="7" fillId="0" borderId="77" xfId="9" applyNumberFormat="1" applyFont="1" applyBorder="1" applyAlignment="1">
      <alignment vertical="center"/>
    </xf>
    <xf numFmtId="3" fontId="24" fillId="0" borderId="77" xfId="9" applyNumberFormat="1" applyFont="1" applyBorder="1" applyAlignment="1">
      <alignment vertical="center"/>
    </xf>
    <xf numFmtId="3" fontId="17" fillId="0" borderId="77" xfId="9" applyNumberFormat="1" applyFont="1" applyBorder="1" applyAlignment="1">
      <alignment vertical="center"/>
    </xf>
    <xf numFmtId="3" fontId="35" fillId="4" borderId="77" xfId="0" applyNumberFormat="1" applyFont="1" applyFill="1" applyBorder="1" applyAlignment="1">
      <alignment horizontal="right" wrapText="1"/>
    </xf>
    <xf numFmtId="3" fontId="35" fillId="0" borderId="78" xfId="0" applyNumberFormat="1" applyFont="1" applyBorder="1" applyAlignment="1">
      <alignment horizontal="right" wrapText="1"/>
    </xf>
    <xf numFmtId="3" fontId="14" fillId="0" borderId="11" xfId="9" applyNumberFormat="1" applyFont="1" applyBorder="1" applyAlignment="1">
      <alignment vertical="center"/>
    </xf>
    <xf numFmtId="3" fontId="14" fillId="0" borderId="57" xfId="9" applyNumberFormat="1" applyFont="1" applyBorder="1" applyAlignment="1">
      <alignment vertical="center"/>
    </xf>
    <xf numFmtId="3" fontId="14" fillId="0" borderId="1" xfId="9" applyNumberFormat="1" applyFont="1" applyBorder="1" applyAlignment="1">
      <alignment vertical="center"/>
    </xf>
    <xf numFmtId="0" fontId="14" fillId="0" borderId="39" xfId="9" applyFont="1" applyBorder="1" applyAlignment="1">
      <alignment horizontal="center" vertical="center" wrapText="1"/>
    </xf>
    <xf numFmtId="0" fontId="14" fillId="0" borderId="34" xfId="9" applyFont="1" applyBorder="1" applyAlignment="1">
      <alignment horizontal="center" vertical="center" wrapText="1"/>
    </xf>
    <xf numFmtId="3" fontId="13" fillId="0" borderId="68" xfId="9" applyNumberFormat="1" applyFont="1" applyBorder="1" applyAlignment="1">
      <alignment vertical="center"/>
    </xf>
    <xf numFmtId="3" fontId="13" fillId="0" borderId="69" xfId="9" applyNumberFormat="1" applyFont="1" applyBorder="1" applyAlignment="1">
      <alignment vertical="center"/>
    </xf>
    <xf numFmtId="3" fontId="14" fillId="0" borderId="12" xfId="9" applyNumberFormat="1" applyFont="1" applyBorder="1" applyAlignment="1">
      <alignment vertical="center"/>
    </xf>
    <xf numFmtId="3" fontId="14" fillId="0" borderId="13" xfId="9" applyNumberFormat="1" applyFont="1" applyBorder="1" applyAlignment="1">
      <alignment vertical="center"/>
    </xf>
    <xf numFmtId="49" fontId="20" fillId="2" borderId="120" xfId="10" applyNumberFormat="1" applyFont="1" applyFill="1" applyBorder="1" applyAlignment="1">
      <alignment vertical="center" wrapText="1"/>
    </xf>
    <xf numFmtId="3" fontId="13" fillId="0" borderId="122" xfId="9" applyNumberFormat="1" applyFont="1" applyBorder="1" applyAlignment="1">
      <alignment vertical="center" wrapText="1"/>
    </xf>
    <xf numFmtId="3" fontId="13" fillId="0" borderId="123" xfId="9" applyNumberFormat="1" applyFont="1" applyBorder="1" applyAlignment="1">
      <alignment vertical="center" wrapText="1"/>
    </xf>
    <xf numFmtId="3" fontId="13" fillId="0" borderId="124" xfId="9" applyNumberFormat="1" applyFont="1" applyBorder="1" applyAlignment="1">
      <alignment vertical="center" wrapText="1"/>
    </xf>
    <xf numFmtId="49" fontId="20" fillId="2" borderId="23" xfId="10" applyNumberFormat="1" applyFont="1" applyFill="1" applyBorder="1" applyAlignment="1">
      <alignment vertical="center" wrapText="1"/>
    </xf>
    <xf numFmtId="3" fontId="13" fillId="0" borderId="68" xfId="9" applyNumberFormat="1" applyFont="1" applyBorder="1" applyAlignment="1">
      <alignment vertical="center" wrapText="1"/>
    </xf>
    <xf numFmtId="3" fontId="13" fillId="0" borderId="69" xfId="9" applyNumberFormat="1" applyFont="1" applyBorder="1" applyAlignment="1">
      <alignment vertical="center" wrapText="1"/>
    </xf>
    <xf numFmtId="3" fontId="13" fillId="0" borderId="72" xfId="9" applyNumberFormat="1" applyFont="1" applyBorder="1" applyAlignment="1">
      <alignment vertical="center" wrapText="1"/>
    </xf>
    <xf numFmtId="3" fontId="20" fillId="0" borderId="122" xfId="10" applyNumberFormat="1" applyFont="1" applyBorder="1" applyAlignment="1">
      <alignment vertical="center"/>
    </xf>
    <xf numFmtId="3" fontId="20" fillId="0" borderId="123" xfId="10" applyNumberFormat="1" applyFont="1" applyBorder="1" applyAlignment="1">
      <alignment vertical="center"/>
    </xf>
    <xf numFmtId="3" fontId="20" fillId="0" borderId="124" xfId="10" applyNumberFormat="1" applyFont="1" applyBorder="1" applyAlignment="1">
      <alignment vertical="center"/>
    </xf>
    <xf numFmtId="3" fontId="24" fillId="0" borderId="68" xfId="9" applyNumberFormat="1" applyFont="1" applyBorder="1" applyAlignment="1">
      <alignment vertical="center"/>
    </xf>
    <xf numFmtId="3" fontId="24" fillId="0" borderId="69" xfId="9" applyNumberFormat="1" applyFont="1" applyBorder="1" applyAlignment="1">
      <alignment vertical="center"/>
    </xf>
    <xf numFmtId="3" fontId="24" fillId="0" borderId="12" xfId="9" applyNumberFormat="1" applyFont="1" applyBorder="1" applyAlignment="1">
      <alignment vertical="center"/>
    </xf>
    <xf numFmtId="3" fontId="24" fillId="0" borderId="13" xfId="9" applyNumberFormat="1" applyFont="1" applyBorder="1" applyAlignment="1">
      <alignment vertical="center"/>
    </xf>
    <xf numFmtId="3" fontId="13" fillId="0" borderId="122" xfId="9" applyNumberFormat="1" applyFont="1" applyBorder="1" applyAlignment="1">
      <alignment vertical="center"/>
    </xf>
    <xf numFmtId="3" fontId="13" fillId="0" borderId="123" xfId="9" applyNumberFormat="1" applyFont="1" applyBorder="1" applyAlignment="1">
      <alignment vertical="center"/>
    </xf>
    <xf numFmtId="3" fontId="13" fillId="0" borderId="124" xfId="9" applyNumberFormat="1" applyFont="1" applyBorder="1" applyAlignment="1">
      <alignment vertical="center"/>
    </xf>
    <xf numFmtId="0" fontId="14" fillId="0" borderId="48" xfId="9" applyFont="1" applyBorder="1" applyAlignment="1">
      <alignment vertical="center" wrapText="1"/>
    </xf>
    <xf numFmtId="0" fontId="13" fillId="0" borderId="79" xfId="9" applyFont="1" applyBorder="1" applyAlignment="1">
      <alignment vertical="center" wrapText="1"/>
    </xf>
    <xf numFmtId="0" fontId="14" fillId="2" borderId="79" xfId="9" applyFont="1" applyFill="1" applyBorder="1" applyAlignment="1">
      <alignment vertical="center" wrapText="1"/>
    </xf>
    <xf numFmtId="49" fontId="20" fillId="0" borderId="125" xfId="18" applyNumberFormat="1" applyFont="1" applyBorder="1" applyAlignment="1">
      <alignment horizontal="left" vertical="center" wrapText="1"/>
    </xf>
    <xf numFmtId="0" fontId="13" fillId="0" borderId="120" xfId="9" applyFont="1" applyBorder="1" applyAlignment="1">
      <alignment vertical="center" wrapText="1"/>
    </xf>
    <xf numFmtId="49" fontId="35" fillId="4" borderId="126" xfId="0" applyNumberFormat="1" applyFont="1" applyFill="1" applyBorder="1" applyAlignment="1">
      <alignment vertical="center" wrapText="1"/>
    </xf>
    <xf numFmtId="3" fontId="14" fillId="0" borderId="82" xfId="9" applyNumberFormat="1" applyFont="1" applyBorder="1" applyAlignment="1">
      <alignment vertical="center"/>
    </xf>
    <xf numFmtId="3" fontId="13" fillId="0" borderId="82" xfId="9" applyNumberFormat="1" applyFont="1" applyBorder="1" applyAlignment="1">
      <alignment vertical="center"/>
    </xf>
    <xf numFmtId="3" fontId="20" fillId="0" borderId="82" xfId="10" applyNumberFormat="1" applyFont="1" applyBorder="1" applyAlignment="1">
      <alignment vertical="center"/>
    </xf>
    <xf numFmtId="3" fontId="17" fillId="0" borderId="82" xfId="9" applyNumberFormat="1" applyFont="1" applyBorder="1" applyAlignment="1">
      <alignment vertical="center"/>
    </xf>
    <xf numFmtId="3" fontId="35" fillId="4" borderId="82" xfId="0" applyNumberFormat="1" applyFont="1" applyFill="1" applyBorder="1" applyAlignment="1">
      <alignment horizontal="right" wrapText="1"/>
    </xf>
    <xf numFmtId="3" fontId="35" fillId="4" borderId="78" xfId="0" applyNumberFormat="1" applyFont="1" applyFill="1" applyBorder="1" applyAlignment="1">
      <alignment horizontal="right" wrapText="1"/>
    </xf>
    <xf numFmtId="3" fontId="14" fillId="0" borderId="25" xfId="9" applyNumberFormat="1" applyFont="1" applyBorder="1" applyAlignment="1">
      <alignment vertical="center"/>
    </xf>
    <xf numFmtId="3" fontId="14" fillId="0" borderId="69" xfId="9" applyNumberFormat="1" applyFont="1" applyBorder="1" applyAlignment="1">
      <alignment vertical="center"/>
    </xf>
    <xf numFmtId="3" fontId="14" fillId="0" borderId="72" xfId="9" applyNumberFormat="1" applyFont="1" applyBorder="1" applyAlignment="1">
      <alignment vertical="center"/>
    </xf>
    <xf numFmtId="0" fontId="14" fillId="0" borderId="13" xfId="9" applyFont="1" applyBorder="1" applyAlignment="1">
      <alignment horizontal="center" vertical="center" wrapText="1"/>
    </xf>
    <xf numFmtId="3" fontId="13" fillId="0" borderId="25" xfId="9" applyNumberFormat="1" applyFont="1" applyBorder="1" applyAlignment="1">
      <alignment vertical="center"/>
    </xf>
    <xf numFmtId="3" fontId="13" fillId="0" borderId="78" xfId="9" applyNumberFormat="1" applyFont="1" applyFill="1" applyBorder="1" applyAlignment="1">
      <alignment vertical="center"/>
    </xf>
    <xf numFmtId="3" fontId="13" fillId="0" borderId="82" xfId="0" applyNumberFormat="1" applyFont="1" applyBorder="1" applyAlignment="1">
      <alignment horizontal="right" vertical="center"/>
    </xf>
    <xf numFmtId="3" fontId="14" fillId="0" borderId="82" xfId="0" applyNumberFormat="1" applyFont="1" applyBorder="1" applyAlignment="1">
      <alignment horizontal="right" vertical="center"/>
    </xf>
    <xf numFmtId="3" fontId="17" fillId="0" borderId="82" xfId="0" applyNumberFormat="1" applyFont="1" applyBorder="1" applyAlignment="1">
      <alignment horizontal="right" vertical="center"/>
    </xf>
    <xf numFmtId="0" fontId="14" fillId="0" borderId="7" xfId="0" applyFont="1" applyBorder="1" applyAlignment="1">
      <alignment horizontal="center" vertical="center" wrapText="1"/>
    </xf>
    <xf numFmtId="0" fontId="13" fillId="0" borderId="23" xfId="0" applyFont="1" applyBorder="1" applyAlignment="1">
      <alignment vertical="center" wrapText="1"/>
    </xf>
    <xf numFmtId="0" fontId="13" fillId="0" borderId="79" xfId="0" applyFont="1" applyBorder="1" applyAlignment="1">
      <alignment horizontal="left" vertical="center" wrapText="1"/>
    </xf>
    <xf numFmtId="0" fontId="14" fillId="0" borderId="79" xfId="0" applyFont="1" applyBorder="1" applyAlignment="1">
      <alignment vertical="center" wrapText="1"/>
    </xf>
    <xf numFmtId="0" fontId="17" fillId="0" borderId="79" xfId="0" applyFont="1" applyBorder="1" applyAlignment="1">
      <alignment vertical="center" wrapText="1"/>
    </xf>
    <xf numFmtId="0" fontId="13" fillId="0" borderId="120" xfId="0" applyFont="1" applyBorder="1" applyAlignment="1">
      <alignment vertical="center" wrapText="1"/>
    </xf>
    <xf numFmtId="0" fontId="14" fillId="0" borderId="7" xfId="0" applyFont="1" applyBorder="1" applyAlignment="1">
      <alignment vertical="center" wrapText="1"/>
    </xf>
    <xf numFmtId="3" fontId="13" fillId="0" borderId="77" xfId="0" applyNumberFormat="1" applyFont="1" applyBorder="1" applyAlignment="1">
      <alignment horizontal="right" vertical="center"/>
    </xf>
    <xf numFmtId="3" fontId="14" fillId="0" borderId="77" xfId="0" applyNumberFormat="1" applyFont="1" applyBorder="1" applyAlignment="1">
      <alignment horizontal="right" vertical="center"/>
    </xf>
    <xf numFmtId="3" fontId="14" fillId="0" borderId="78" xfId="0" applyNumberFormat="1" applyFont="1" applyBorder="1" applyAlignment="1">
      <alignment horizontal="right" vertical="center"/>
    </xf>
    <xf numFmtId="3" fontId="17" fillId="0" borderId="77" xfId="0" applyNumberFormat="1" applyFont="1" applyBorder="1" applyAlignment="1">
      <alignment horizontal="right" vertical="center"/>
    </xf>
    <xf numFmtId="3" fontId="17" fillId="0" borderId="78" xfId="0" applyNumberFormat="1" applyFont="1" applyBorder="1" applyAlignment="1">
      <alignment horizontal="right" vertical="center"/>
    </xf>
    <xf numFmtId="3" fontId="13" fillId="0" borderId="25" xfId="0" applyNumberFormat="1" applyFont="1" applyBorder="1" applyAlignment="1">
      <alignment horizontal="right" vertical="center"/>
    </xf>
    <xf numFmtId="3" fontId="13" fillId="0" borderId="69" xfId="0" applyNumberFormat="1" applyFont="1" applyBorder="1" applyAlignment="1">
      <alignment horizontal="right" vertical="center"/>
    </xf>
    <xf numFmtId="3" fontId="13" fillId="0" borderId="72" xfId="0" applyNumberFormat="1" applyFont="1" applyBorder="1" applyAlignment="1">
      <alignment horizontal="righ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3" fontId="13" fillId="0" borderId="122" xfId="0" applyNumberFormat="1" applyFont="1" applyBorder="1" applyAlignment="1">
      <alignment horizontal="right" vertical="center"/>
    </xf>
    <xf numFmtId="3" fontId="13" fillId="0" borderId="123" xfId="0" applyNumberFormat="1" applyFont="1" applyBorder="1" applyAlignment="1">
      <alignment horizontal="right" vertical="center"/>
    </xf>
    <xf numFmtId="3" fontId="13" fillId="0" borderId="124" xfId="0" applyNumberFormat="1" applyFont="1" applyBorder="1" applyAlignment="1">
      <alignment horizontal="right" vertical="center"/>
    </xf>
    <xf numFmtId="3" fontId="14" fillId="0" borderId="12" xfId="0" applyNumberFormat="1" applyFont="1" applyBorder="1" applyAlignment="1">
      <alignment horizontal="right" vertical="center"/>
    </xf>
    <xf numFmtId="3" fontId="14" fillId="0" borderId="13" xfId="0" applyNumberFormat="1" applyFont="1" applyBorder="1" applyAlignment="1">
      <alignment horizontal="right" vertical="center"/>
    </xf>
    <xf numFmtId="3" fontId="14" fillId="0" borderId="82" xfId="12" applyNumberFormat="1" applyFont="1" applyBorder="1" applyAlignment="1">
      <alignment vertical="center"/>
    </xf>
    <xf numFmtId="3" fontId="13" fillId="0" borderId="82" xfId="12" applyNumberFormat="1" applyFont="1" applyBorder="1" applyAlignment="1">
      <alignment vertical="center"/>
    </xf>
    <xf numFmtId="3" fontId="17" fillId="0" borderId="82" xfId="12" applyNumberFormat="1" applyFont="1" applyBorder="1" applyAlignment="1">
      <alignment vertical="center"/>
    </xf>
    <xf numFmtId="3" fontId="14" fillId="0" borderId="82" xfId="12" applyNumberFormat="1" applyFont="1" applyBorder="1" applyAlignment="1">
      <alignment horizontal="center" vertical="center"/>
    </xf>
    <xf numFmtId="0" fontId="14" fillId="0" borderId="23" xfId="12" applyFont="1" applyBorder="1" applyAlignment="1">
      <alignment vertical="center" wrapText="1"/>
    </xf>
    <xf numFmtId="0" fontId="13" fillId="0" borderId="79" xfId="12" applyFont="1" applyBorder="1" applyAlignment="1">
      <alignment vertical="center" wrapText="1"/>
    </xf>
    <xf numFmtId="0" fontId="17" fillId="0" borderId="79" xfId="12" applyFont="1" applyBorder="1" applyAlignment="1">
      <alignment vertical="center" wrapText="1"/>
    </xf>
    <xf numFmtId="0" fontId="13" fillId="3" borderId="79" xfId="12" applyFont="1" applyFill="1" applyBorder="1" applyAlignment="1">
      <alignment vertical="center" wrapText="1"/>
    </xf>
    <xf numFmtId="0" fontId="14" fillId="0" borderId="79" xfId="12" applyFont="1" applyBorder="1" applyAlignment="1">
      <alignment vertical="center" wrapText="1"/>
    </xf>
    <xf numFmtId="0" fontId="14" fillId="0" borderId="120" xfId="12" applyFont="1" applyBorder="1" applyAlignment="1">
      <alignment vertical="center" wrapText="1"/>
    </xf>
    <xf numFmtId="0" fontId="14" fillId="0" borderId="7" xfId="12" applyFont="1" applyBorder="1" applyAlignment="1">
      <alignment vertical="center" wrapText="1"/>
    </xf>
    <xf numFmtId="0" fontId="13" fillId="0" borderId="120" xfId="12" applyFont="1" applyBorder="1" applyAlignment="1">
      <alignment vertical="center" wrapText="1"/>
    </xf>
    <xf numFmtId="3" fontId="13" fillId="0" borderId="77" xfId="12" applyNumberFormat="1" applyFont="1" applyBorder="1" applyAlignment="1">
      <alignment vertical="center"/>
    </xf>
    <xf numFmtId="3" fontId="17" fillId="0" borderId="77" xfId="12" applyNumberFormat="1" applyFont="1" applyBorder="1" applyAlignment="1">
      <alignment vertical="center"/>
    </xf>
    <xf numFmtId="3" fontId="17" fillId="0" borderId="78" xfId="12" applyNumberFormat="1" applyFont="1" applyBorder="1" applyAlignment="1">
      <alignment vertical="center"/>
    </xf>
    <xf numFmtId="3" fontId="14" fillId="0" borderId="78" xfId="12" applyNumberFormat="1" applyFont="1" applyBorder="1" applyAlignment="1">
      <alignment vertical="center"/>
    </xf>
    <xf numFmtId="3" fontId="14" fillId="0" borderId="77" xfId="12" applyNumberFormat="1" applyFont="1" applyBorder="1" applyAlignment="1">
      <alignment vertical="center"/>
    </xf>
    <xf numFmtId="3" fontId="14" fillId="0" borderId="77" xfId="12" applyNumberFormat="1" applyFont="1" applyBorder="1" applyAlignment="1">
      <alignment horizontal="center" vertical="center"/>
    </xf>
    <xf numFmtId="3" fontId="14" fillId="0" borderId="78" xfId="12" applyNumberFormat="1" applyFont="1" applyBorder="1" applyAlignment="1">
      <alignment horizontal="center" vertical="center"/>
    </xf>
    <xf numFmtId="3" fontId="14" fillId="0" borderId="25" xfId="12" applyNumberFormat="1" applyFont="1" applyBorder="1" applyAlignment="1">
      <alignment vertical="center"/>
    </xf>
    <xf numFmtId="3" fontId="14" fillId="0" borderId="69" xfId="12" applyNumberFormat="1" applyFont="1" applyBorder="1" applyAlignment="1">
      <alignment vertical="center"/>
    </xf>
    <xf numFmtId="3" fontId="14" fillId="0" borderId="72" xfId="12" applyNumberFormat="1" applyFont="1" applyBorder="1" applyAlignment="1">
      <alignment vertical="center"/>
    </xf>
    <xf numFmtId="0" fontId="14" fillId="0" borderId="7" xfId="12" applyFont="1" applyBorder="1" applyAlignment="1">
      <alignment horizontal="center" vertical="center" wrapText="1"/>
    </xf>
    <xf numFmtId="3" fontId="14" fillId="0" borderId="12" xfId="12" applyNumberFormat="1" applyFont="1" applyBorder="1" applyAlignment="1">
      <alignment horizontal="center" vertical="center"/>
    </xf>
    <xf numFmtId="3" fontId="14" fillId="0" borderId="13" xfId="12" applyNumberFormat="1" applyFont="1" applyBorder="1" applyAlignment="1">
      <alignment horizontal="center" vertical="center"/>
    </xf>
    <xf numFmtId="3" fontId="14" fillId="0" borderId="122" xfId="12" applyNumberFormat="1" applyFont="1" applyBorder="1" applyAlignment="1">
      <alignment vertical="center"/>
    </xf>
    <xf numFmtId="3" fontId="14" fillId="0" borderId="123" xfId="12" applyNumberFormat="1" applyFont="1" applyBorder="1" applyAlignment="1">
      <alignment vertical="center"/>
    </xf>
    <xf numFmtId="3" fontId="14" fillId="0" borderId="124" xfId="12" applyNumberFormat="1" applyFont="1" applyBorder="1" applyAlignment="1">
      <alignment vertical="center"/>
    </xf>
    <xf numFmtId="3" fontId="14" fillId="0" borderId="25" xfId="12" applyNumberFormat="1" applyFont="1" applyBorder="1" applyAlignment="1">
      <alignment horizontal="center" vertical="center"/>
    </xf>
    <xf numFmtId="3" fontId="14" fillId="0" borderId="69" xfId="12" applyNumberFormat="1" applyFont="1" applyBorder="1" applyAlignment="1">
      <alignment horizontal="center" vertical="center"/>
    </xf>
    <xf numFmtId="3" fontId="14" fillId="0" borderId="72" xfId="12" applyNumberFormat="1" applyFont="1" applyBorder="1" applyAlignment="1">
      <alignment horizontal="center" vertical="center"/>
    </xf>
    <xf numFmtId="3" fontId="14" fillId="0" borderId="12" xfId="12" applyNumberFormat="1" applyFont="1" applyBorder="1" applyAlignment="1">
      <alignment vertical="center"/>
    </xf>
    <xf numFmtId="3" fontId="14" fillId="0" borderId="13" xfId="12" applyNumberFormat="1" applyFont="1" applyBorder="1" applyAlignment="1">
      <alignment vertical="center"/>
    </xf>
    <xf numFmtId="3" fontId="13" fillId="0" borderId="122" xfId="12" applyNumberFormat="1" applyFont="1" applyBorder="1" applyAlignment="1">
      <alignment vertical="center"/>
    </xf>
    <xf numFmtId="3" fontId="13" fillId="0" borderId="123" xfId="12" applyNumberFormat="1" applyFont="1" applyBorder="1" applyAlignment="1">
      <alignment vertical="center"/>
    </xf>
    <xf numFmtId="3" fontId="13" fillId="0" borderId="124" xfId="12" applyNumberFormat="1" applyFont="1" applyBorder="1" applyAlignment="1">
      <alignment vertical="center"/>
    </xf>
    <xf numFmtId="3" fontId="14" fillId="0" borderId="82" xfId="0" applyNumberFormat="1" applyFont="1" applyBorder="1" applyAlignment="1">
      <alignment horizontal="center" vertical="center"/>
    </xf>
    <xf numFmtId="3" fontId="14" fillId="0" borderId="39" xfId="0" applyNumberFormat="1" applyFont="1" applyBorder="1" applyAlignment="1">
      <alignment horizontal="center" vertical="center"/>
    </xf>
    <xf numFmtId="3" fontId="14" fillId="0" borderId="127" xfId="0" applyNumberFormat="1" applyFont="1" applyBorder="1" applyAlignment="1">
      <alignment horizontal="center" vertical="center"/>
    </xf>
    <xf numFmtId="3" fontId="14" fillId="0" borderId="82" xfId="0" applyNumberFormat="1" applyFont="1" applyBorder="1" applyAlignment="1">
      <alignment vertical="center"/>
    </xf>
    <xf numFmtId="3" fontId="13" fillId="0" borderId="82" xfId="0" applyNumberFormat="1" applyFont="1" applyBorder="1" applyAlignment="1">
      <alignment vertical="center"/>
    </xf>
    <xf numFmtId="3" fontId="17" fillId="0" borderId="82" xfId="0" applyNumberFormat="1" applyFont="1" applyBorder="1" applyAlignment="1">
      <alignment vertical="center"/>
    </xf>
    <xf numFmtId="0" fontId="13" fillId="0" borderId="79" xfId="0" applyFont="1" applyBorder="1" applyAlignment="1">
      <alignment vertical="center"/>
    </xf>
    <xf numFmtId="0" fontId="13" fillId="0" borderId="125" xfId="0" applyFont="1" applyBorder="1" applyAlignment="1">
      <alignment vertical="center" wrapText="1"/>
    </xf>
    <xf numFmtId="49" fontId="20" fillId="0" borderId="125" xfId="4" applyNumberFormat="1" applyFont="1" applyBorder="1" applyAlignment="1">
      <alignment horizontal="left" vertical="center" wrapText="1"/>
    </xf>
    <xf numFmtId="3" fontId="14" fillId="0" borderId="10" xfId="0" applyNumberFormat="1" applyFont="1" applyBorder="1" applyAlignment="1">
      <alignment vertical="center"/>
    </xf>
    <xf numFmtId="3" fontId="14" fillId="0" borderId="49" xfId="0" applyNumberFormat="1" applyFont="1" applyBorder="1" applyAlignment="1">
      <alignment vertical="center"/>
    </xf>
    <xf numFmtId="3" fontId="14" fillId="0" borderId="50" xfId="0" applyNumberFormat="1" applyFont="1" applyBorder="1" applyAlignment="1">
      <alignment vertical="center"/>
    </xf>
    <xf numFmtId="3" fontId="17" fillId="0" borderId="77" xfId="0" applyNumberFormat="1" applyFont="1" applyBorder="1" applyAlignment="1">
      <alignment vertical="center"/>
    </xf>
    <xf numFmtId="3" fontId="17" fillId="0" borderId="78" xfId="0" applyNumberFormat="1" applyFont="1" applyBorder="1" applyAlignment="1">
      <alignment vertical="center"/>
    </xf>
    <xf numFmtId="3" fontId="13" fillId="0" borderId="122" xfId="0" applyNumberFormat="1" applyFont="1" applyBorder="1" applyAlignment="1">
      <alignment vertical="center"/>
    </xf>
    <xf numFmtId="3" fontId="13" fillId="0" borderId="123" xfId="0" applyNumberFormat="1" applyFont="1" applyBorder="1" applyAlignment="1">
      <alignment vertical="center"/>
    </xf>
    <xf numFmtId="3" fontId="13" fillId="0" borderId="124" xfId="0" applyNumberFormat="1" applyFont="1" applyBorder="1" applyAlignment="1">
      <alignment vertical="center"/>
    </xf>
    <xf numFmtId="3" fontId="14" fillId="0" borderId="39" xfId="0" applyNumberFormat="1" applyFont="1" applyBorder="1" applyAlignment="1">
      <alignment vertical="center"/>
    </xf>
    <xf numFmtId="3" fontId="14" fillId="0" borderId="127" xfId="0" applyNumberFormat="1" applyFont="1" applyBorder="1" applyAlignment="1">
      <alignment vertical="center"/>
    </xf>
    <xf numFmtId="3" fontId="14" fillId="0" borderId="40" xfId="0" applyNumberFormat="1" applyFont="1" applyBorder="1" applyAlignment="1">
      <alignment vertical="center"/>
    </xf>
    <xf numFmtId="0" fontId="14" fillId="0" borderId="23" xfId="0" applyFont="1" applyBorder="1" applyAlignment="1">
      <alignment vertical="center" wrapText="1"/>
    </xf>
    <xf numFmtId="3" fontId="14" fillId="0" borderId="77" xfId="0" applyNumberFormat="1" applyFont="1" applyBorder="1" applyAlignment="1">
      <alignment horizontal="center" vertical="center"/>
    </xf>
    <xf numFmtId="3" fontId="14" fillId="0" borderId="78" xfId="0" applyNumberFormat="1" applyFont="1" applyBorder="1" applyAlignment="1">
      <alignment horizontal="center" vertical="center"/>
    </xf>
    <xf numFmtId="0" fontId="14" fillId="0" borderId="122" xfId="0" applyFont="1" applyBorder="1" applyAlignment="1">
      <alignment horizontal="center" vertical="center" wrapText="1"/>
    </xf>
    <xf numFmtId="0" fontId="14" fillId="0" borderId="123" xfId="0" applyFont="1" applyBorder="1" applyAlignment="1">
      <alignment horizontal="center" vertical="center" wrapText="1"/>
    </xf>
    <xf numFmtId="2" fontId="13" fillId="0" borderId="82" xfId="0" applyNumberFormat="1" applyFont="1" applyBorder="1" applyAlignment="1">
      <alignment horizontal="center" vertical="center" wrapText="1"/>
    </xf>
    <xf numFmtId="2" fontId="11" fillId="0" borderId="82" xfId="0" applyNumberFormat="1" applyFont="1" applyBorder="1" applyAlignment="1">
      <alignment horizontal="center" vertical="center" wrapText="1"/>
    </xf>
    <xf numFmtId="2" fontId="14" fillId="0" borderId="82" xfId="0" applyNumberFormat="1" applyFont="1" applyBorder="1" applyAlignment="1">
      <alignment horizontal="center" vertical="center" wrapText="1"/>
    </xf>
    <xf numFmtId="2" fontId="13" fillId="0" borderId="82" xfId="0" applyNumberFormat="1" applyFont="1" applyBorder="1" applyAlignment="1">
      <alignment horizontal="center" vertical="center"/>
    </xf>
    <xf numFmtId="0" fontId="13" fillId="0" borderId="23" xfId="0" applyFont="1" applyBorder="1" applyAlignment="1">
      <alignment horizontal="justify" vertical="center" wrapText="1"/>
    </xf>
    <xf numFmtId="0" fontId="13" fillId="0" borderId="79" xfId="0" applyFont="1" applyBorder="1" applyAlignment="1">
      <alignment horizontal="justify" vertical="center" wrapText="1"/>
    </xf>
    <xf numFmtId="0" fontId="14" fillId="0" borderId="79" xfId="0" applyFont="1" applyBorder="1" applyAlignment="1">
      <alignment horizontal="justify" vertical="center" wrapText="1"/>
    </xf>
    <xf numFmtId="49" fontId="13" fillId="0" borderId="79" xfId="0" applyNumberFormat="1" applyFont="1" applyBorder="1" applyAlignment="1">
      <alignment horizontal="justify" vertical="center" wrapText="1"/>
    </xf>
    <xf numFmtId="0" fontId="13" fillId="0" borderId="120" xfId="0" applyFont="1" applyBorder="1" applyAlignment="1">
      <alignment horizontal="justify" vertical="center" wrapText="1"/>
    </xf>
    <xf numFmtId="2" fontId="13" fillId="0" borderId="77" xfId="0" applyNumberFormat="1" applyFont="1" applyBorder="1" applyAlignment="1">
      <alignment horizontal="center" vertical="center" wrapText="1"/>
    </xf>
    <xf numFmtId="2" fontId="13" fillId="0" borderId="78" xfId="0" applyNumberFormat="1" applyFont="1" applyBorder="1" applyAlignment="1">
      <alignment horizontal="center" vertical="center" wrapText="1"/>
    </xf>
    <xf numFmtId="2" fontId="11" fillId="0" borderId="77" xfId="0" applyNumberFormat="1" applyFont="1" applyBorder="1" applyAlignment="1">
      <alignment horizontal="center" vertical="center" wrapText="1"/>
    </xf>
    <xf numFmtId="2" fontId="11" fillId="0" borderId="78" xfId="0" applyNumberFormat="1" applyFont="1" applyBorder="1" applyAlignment="1">
      <alignment horizontal="center" vertical="center" wrapText="1"/>
    </xf>
    <xf numFmtId="2" fontId="14" fillId="0" borderId="77" xfId="0" applyNumberFormat="1" applyFont="1" applyBorder="1" applyAlignment="1">
      <alignment horizontal="center" vertical="center" wrapText="1"/>
    </xf>
    <xf numFmtId="2" fontId="14" fillId="0" borderId="78" xfId="0" applyNumberFormat="1" applyFont="1" applyBorder="1" applyAlignment="1">
      <alignment horizontal="center" vertical="center" wrapText="1"/>
    </xf>
    <xf numFmtId="2" fontId="13" fillId="0" borderId="77" xfId="0" applyNumberFormat="1" applyFont="1" applyBorder="1" applyAlignment="1">
      <alignment horizontal="center" vertical="center"/>
    </xf>
    <xf numFmtId="0" fontId="14" fillId="0" borderId="7" xfId="0" applyFont="1" applyBorder="1" applyAlignment="1">
      <alignment horizontal="justify" vertical="center" wrapText="1"/>
    </xf>
    <xf numFmtId="2" fontId="14" fillId="0" borderId="12"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13" fillId="0" borderId="48" xfId="0" applyFont="1" applyBorder="1" applyAlignment="1">
      <alignment vertical="center"/>
    </xf>
    <xf numFmtId="2" fontId="13" fillId="0" borderId="39" xfId="0" applyNumberFormat="1" applyFont="1" applyBorder="1" applyAlignment="1">
      <alignment horizontal="center" vertical="center"/>
    </xf>
    <xf numFmtId="2" fontId="13" fillId="0" borderId="127" xfId="0" applyNumberFormat="1" applyFont="1" applyBorder="1" applyAlignment="1">
      <alignment horizontal="center" vertical="center"/>
    </xf>
    <xf numFmtId="2" fontId="13" fillId="0" borderId="40" xfId="0" applyNumberFormat="1" applyFont="1" applyBorder="1" applyAlignment="1">
      <alignment horizontal="center" vertical="center"/>
    </xf>
    <xf numFmtId="0" fontId="14" fillId="0" borderId="7" xfId="0" applyFont="1" applyBorder="1" applyAlignment="1">
      <alignment vertical="center"/>
    </xf>
    <xf numFmtId="2" fontId="14" fillId="0" borderId="12" xfId="0" applyNumberFormat="1" applyFont="1" applyBorder="1" applyAlignment="1">
      <alignment horizontal="center" vertical="center"/>
    </xf>
    <xf numFmtId="2" fontId="14" fillId="0" borderId="13" xfId="0" applyNumberFormat="1" applyFont="1" applyBorder="1" applyAlignment="1">
      <alignment horizontal="center" vertical="center"/>
    </xf>
    <xf numFmtId="0" fontId="14" fillId="0" borderId="57" xfId="13" applyFont="1" applyBorder="1" applyAlignment="1">
      <alignment horizontal="center" vertical="center" wrapText="1"/>
    </xf>
    <xf numFmtId="0" fontId="13" fillId="0" borderId="77" xfId="13" applyFont="1" applyBorder="1" applyAlignment="1">
      <alignment horizontal="left"/>
    </xf>
    <xf numFmtId="0" fontId="13" fillId="0" borderId="78" xfId="13" applyFont="1" applyBorder="1"/>
    <xf numFmtId="0" fontId="13" fillId="0" borderId="122" xfId="13" applyFont="1" applyBorder="1" applyAlignment="1">
      <alignment horizontal="left"/>
    </xf>
    <xf numFmtId="0" fontId="13" fillId="0" borderId="124" xfId="13" applyFont="1" applyBorder="1"/>
    <xf numFmtId="3" fontId="11" fillId="0" borderId="25" xfId="13" applyNumberFormat="1" applyFont="1" applyBorder="1" applyAlignment="1">
      <alignment horizontal="right"/>
    </xf>
    <xf numFmtId="3" fontId="11" fillId="0" borderId="72" xfId="13" applyNumberFormat="1" applyFont="1" applyBorder="1" applyAlignment="1">
      <alignment horizontal="right"/>
    </xf>
    <xf numFmtId="3" fontId="13" fillId="0" borderId="77" xfId="13" applyNumberFormat="1" applyFont="1" applyBorder="1" applyAlignment="1">
      <alignment horizontal="right"/>
    </xf>
    <xf numFmtId="3" fontId="13" fillId="0" borderId="82" xfId="13" applyNumberFormat="1" applyFont="1" applyBorder="1" applyAlignment="1">
      <alignment horizontal="right"/>
    </xf>
    <xf numFmtId="3" fontId="13" fillId="0" borderId="78" xfId="13" applyNumberFormat="1" applyFont="1" applyBorder="1" applyAlignment="1">
      <alignment horizontal="right"/>
    </xf>
    <xf numFmtId="3" fontId="11" fillId="0" borderId="77" xfId="13" applyNumberFormat="1" applyFont="1" applyBorder="1" applyAlignment="1">
      <alignment horizontal="right"/>
    </xf>
    <xf numFmtId="3" fontId="11" fillId="0" borderId="82" xfId="13" applyNumberFormat="1" applyFont="1" applyBorder="1" applyAlignment="1">
      <alignment horizontal="right"/>
    </xf>
    <xf numFmtId="3" fontId="11" fillId="0" borderId="78" xfId="13" applyNumberFormat="1" applyFont="1" applyBorder="1" applyAlignment="1">
      <alignment horizontal="right"/>
    </xf>
    <xf numFmtId="3" fontId="13" fillId="0" borderId="122" xfId="13" applyNumberFormat="1" applyFont="1" applyBorder="1" applyAlignment="1">
      <alignment horizontal="right"/>
    </xf>
    <xf numFmtId="3" fontId="13" fillId="0" borderId="123" xfId="13" applyNumberFormat="1" applyFont="1" applyBorder="1" applyAlignment="1">
      <alignment horizontal="right"/>
    </xf>
    <xf numFmtId="3" fontId="13" fillId="0" borderId="124" xfId="13" applyNumberFormat="1" applyFont="1" applyBorder="1" applyAlignment="1">
      <alignment horizontal="right"/>
    </xf>
    <xf numFmtId="0" fontId="7" fillId="0" borderId="82" xfId="0" applyFont="1" applyBorder="1"/>
    <xf numFmtId="3" fontId="17" fillId="0" borderId="69" xfId="13" applyNumberFormat="1" applyFont="1" applyBorder="1" applyAlignment="1">
      <alignment horizontal="right"/>
    </xf>
    <xf numFmtId="3" fontId="17" fillId="0" borderId="72" xfId="13" applyNumberFormat="1" applyFont="1" applyBorder="1" applyAlignment="1">
      <alignment horizontal="right"/>
    </xf>
    <xf numFmtId="3" fontId="14" fillId="0" borderId="82" xfId="13" applyNumberFormat="1" applyFont="1" applyBorder="1" applyAlignment="1">
      <alignment horizontal="right"/>
    </xf>
    <xf numFmtId="3" fontId="17" fillId="0" borderId="82" xfId="13" applyNumberFormat="1" applyFont="1" applyBorder="1" applyAlignment="1">
      <alignment horizontal="right"/>
    </xf>
    <xf numFmtId="3" fontId="14" fillId="0" borderId="123" xfId="13" applyNumberFormat="1" applyFont="1" applyBorder="1" applyAlignment="1">
      <alignment horizontal="right"/>
    </xf>
    <xf numFmtId="3" fontId="13" fillId="0" borderId="82" xfId="4" applyNumberFormat="1" applyFont="1" applyBorder="1" applyAlignment="1">
      <alignment vertical="center"/>
    </xf>
    <xf numFmtId="0" fontId="24" fillId="0" borderId="7" xfId="0" applyFont="1" applyBorder="1"/>
    <xf numFmtId="3" fontId="13" fillId="0" borderId="77" xfId="4" applyNumberFormat="1" applyFont="1" applyBorder="1" applyAlignment="1">
      <alignment vertical="center"/>
    </xf>
    <xf numFmtId="3" fontId="13" fillId="0" borderId="78" xfId="4" applyNumberFormat="1" applyFont="1" applyBorder="1" applyAlignment="1">
      <alignment vertical="center"/>
    </xf>
    <xf numFmtId="3" fontId="13" fillId="0" borderId="122" xfId="4" applyNumberFormat="1" applyFont="1" applyBorder="1" applyAlignment="1">
      <alignment vertical="center"/>
    </xf>
    <xf numFmtId="3" fontId="13" fillId="0" borderId="123" xfId="4" applyNumberFormat="1" applyFont="1" applyBorder="1" applyAlignment="1">
      <alignment vertical="center"/>
    </xf>
    <xf numFmtId="3" fontId="13" fillId="0" borderId="124" xfId="4" applyNumberFormat="1" applyFont="1" applyBorder="1" applyAlignment="1">
      <alignment vertical="center"/>
    </xf>
    <xf numFmtId="3" fontId="24" fillId="0" borderId="12" xfId="0" applyNumberFormat="1" applyFont="1" applyBorder="1"/>
    <xf numFmtId="3" fontId="24" fillId="0" borderId="13" xfId="0" applyNumberFormat="1" applyFont="1" applyBorder="1"/>
    <xf numFmtId="0" fontId="24" fillId="0" borderId="7" xfId="0" applyFont="1" applyBorder="1" applyAlignment="1">
      <alignment horizontal="center"/>
    </xf>
    <xf numFmtId="0" fontId="13" fillId="0" borderId="65" xfId="14" applyFont="1" applyBorder="1" applyAlignment="1">
      <alignment horizontal="left" vertical="center" wrapText="1"/>
    </xf>
    <xf numFmtId="0" fontId="13" fillId="0" borderId="130" xfId="14" applyFont="1" applyBorder="1" applyAlignment="1">
      <alignment horizontal="left" vertical="center" wrapText="1"/>
    </xf>
    <xf numFmtId="0" fontId="13" fillId="2" borderId="130" xfId="9" applyFont="1" applyFill="1" applyBorder="1" applyAlignment="1">
      <alignment vertical="center" wrapText="1"/>
    </xf>
    <xf numFmtId="49" fontId="13" fillId="2" borderId="130" xfId="10" applyNumberFormat="1" applyFont="1" applyFill="1" applyBorder="1" applyAlignment="1">
      <alignment horizontal="left" vertical="center" wrapText="1"/>
    </xf>
    <xf numFmtId="0" fontId="13" fillId="0" borderId="130" xfId="0" applyFont="1" applyBorder="1" applyAlignment="1">
      <alignment vertical="center" wrapText="1"/>
    </xf>
    <xf numFmtId="49" fontId="20" fillId="2" borderId="130" xfId="10" applyNumberFormat="1" applyFont="1" applyFill="1" applyBorder="1" applyAlignment="1">
      <alignment horizontal="left" vertical="center" wrapText="1"/>
    </xf>
    <xf numFmtId="3" fontId="13" fillId="0" borderId="82" xfId="14" applyNumberFormat="1" applyFont="1" applyBorder="1" applyAlignment="1">
      <alignment horizontal="right" vertical="center"/>
    </xf>
    <xf numFmtId="0" fontId="13" fillId="0" borderId="79" xfId="14" applyFont="1" applyBorder="1" applyAlignment="1">
      <alignment horizontal="left" vertical="center" wrapText="1"/>
    </xf>
    <xf numFmtId="3" fontId="13" fillId="0" borderId="10" xfId="14" applyNumberFormat="1" applyFont="1" applyBorder="1" applyAlignment="1">
      <alignment horizontal="right" vertical="center"/>
    </xf>
    <xf numFmtId="3" fontId="13" fillId="0" borderId="49" xfId="14" applyNumberFormat="1" applyFont="1" applyBorder="1" applyAlignment="1">
      <alignment horizontal="right" vertical="center"/>
    </xf>
    <xf numFmtId="3" fontId="13" fillId="0" borderId="77" xfId="14" applyNumberFormat="1" applyFont="1" applyBorder="1" applyAlignment="1">
      <alignment horizontal="right" vertical="center"/>
    </xf>
    <xf numFmtId="3" fontId="13" fillId="0" borderId="122" xfId="14" applyNumberFormat="1" applyFont="1" applyBorder="1" applyAlignment="1">
      <alignment horizontal="right" vertical="center"/>
    </xf>
    <xf numFmtId="3" fontId="13" fillId="0" borderId="123" xfId="14" applyNumberFormat="1" applyFont="1" applyBorder="1" applyAlignment="1">
      <alignment horizontal="right" vertical="center"/>
    </xf>
    <xf numFmtId="3" fontId="13" fillId="0" borderId="124" xfId="14" applyNumberFormat="1" applyFont="1" applyBorder="1" applyAlignment="1">
      <alignment horizontal="right" vertical="center"/>
    </xf>
    <xf numFmtId="3" fontId="14" fillId="0" borderId="12" xfId="14" applyNumberFormat="1" applyFont="1" applyBorder="1" applyAlignment="1">
      <alignment horizontal="right" vertical="center"/>
    </xf>
    <xf numFmtId="3" fontId="14" fillId="0" borderId="89" xfId="14" applyNumberFormat="1" applyFont="1" applyBorder="1" applyAlignment="1">
      <alignment horizontal="right" vertical="center"/>
    </xf>
    <xf numFmtId="3" fontId="13" fillId="0" borderId="82" xfId="9" applyNumberFormat="1" applyFont="1" applyBorder="1" applyAlignment="1">
      <alignment horizontal="right" vertical="center" wrapText="1"/>
    </xf>
    <xf numFmtId="3" fontId="13" fillId="0" borderId="82" xfId="10" applyNumberFormat="1" applyFont="1" applyBorder="1" applyAlignment="1">
      <alignment horizontal="right" vertical="center" wrapText="1"/>
    </xf>
    <xf numFmtId="3" fontId="13" fillId="0" borderId="82" xfId="0" applyNumberFormat="1" applyFont="1" applyBorder="1" applyAlignment="1">
      <alignment horizontal="right" vertical="center" wrapText="1"/>
    </xf>
    <xf numFmtId="3" fontId="20" fillId="0" borderId="82" xfId="10" applyNumberFormat="1" applyFont="1" applyBorder="1" applyAlignment="1">
      <alignment horizontal="right" vertical="center" wrapText="1"/>
    </xf>
    <xf numFmtId="3" fontId="13" fillId="0" borderId="77" xfId="9" applyNumberFormat="1" applyFont="1" applyBorder="1" applyAlignment="1">
      <alignment horizontal="right" vertical="center" wrapText="1"/>
    </xf>
    <xf numFmtId="3" fontId="13" fillId="0" borderId="77" xfId="10" applyNumberFormat="1" applyFont="1" applyBorder="1" applyAlignment="1">
      <alignment horizontal="right" vertical="center" wrapText="1"/>
    </xf>
    <xf numFmtId="3" fontId="20" fillId="0" borderId="77" xfId="10" applyNumberFormat="1" applyFont="1" applyBorder="1" applyAlignment="1">
      <alignment horizontal="right" vertical="center" wrapText="1"/>
    </xf>
    <xf numFmtId="3" fontId="13" fillId="0" borderId="11" xfId="9" applyNumberFormat="1" applyFont="1" applyBorder="1" applyAlignment="1">
      <alignment horizontal="right" vertical="center" wrapText="1"/>
    </xf>
    <xf numFmtId="3" fontId="13" fillId="0" borderId="25" xfId="14" applyNumberFormat="1" applyFont="1" applyBorder="1" applyAlignment="1">
      <alignment horizontal="right" vertical="center"/>
    </xf>
    <xf numFmtId="3" fontId="13" fillId="0" borderId="69" xfId="14" applyNumberFormat="1" applyFont="1" applyBorder="1" applyAlignment="1">
      <alignment horizontal="right" vertical="center"/>
    </xf>
    <xf numFmtId="3" fontId="14" fillId="0" borderId="12" xfId="14" applyNumberFormat="1" applyFont="1" applyBorder="1" applyAlignment="1">
      <alignment horizontal="center" vertical="center" wrapText="1"/>
    </xf>
    <xf numFmtId="3" fontId="14" fillId="0" borderId="13" xfId="14" applyNumberFormat="1" applyFont="1" applyBorder="1" applyAlignment="1">
      <alignment horizontal="center" vertical="center" wrapText="1"/>
    </xf>
    <xf numFmtId="3" fontId="13" fillId="0" borderId="66" xfId="14" applyNumberFormat="1" applyFont="1" applyBorder="1" applyAlignment="1">
      <alignment horizontal="right" vertical="center"/>
    </xf>
    <xf numFmtId="3" fontId="13" fillId="0" borderId="125" xfId="14" applyNumberFormat="1" applyFont="1" applyBorder="1" applyAlignment="1">
      <alignment horizontal="right" vertical="center"/>
    </xf>
    <xf numFmtId="3" fontId="13" fillId="0" borderId="125" xfId="9" applyNumberFormat="1" applyFont="1" applyBorder="1" applyAlignment="1">
      <alignment horizontal="right" vertical="center" wrapText="1"/>
    </xf>
    <xf numFmtId="3" fontId="13" fillId="0" borderId="125" xfId="10" applyNumberFormat="1" applyFont="1" applyBorder="1" applyAlignment="1">
      <alignment horizontal="right" vertical="center" wrapText="1"/>
    </xf>
    <xf numFmtId="3" fontId="13" fillId="0" borderId="125" xfId="0" applyNumberFormat="1" applyFont="1" applyBorder="1" applyAlignment="1">
      <alignment horizontal="right" vertical="center" wrapText="1"/>
    </xf>
    <xf numFmtId="3" fontId="20" fillId="0" borderId="125" xfId="10" applyNumberFormat="1" applyFont="1" applyBorder="1" applyAlignment="1">
      <alignment horizontal="right" vertical="center" wrapText="1"/>
    </xf>
    <xf numFmtId="3" fontId="14" fillId="0" borderId="3" xfId="14" applyNumberFormat="1" applyFont="1" applyBorder="1" applyAlignment="1">
      <alignment horizontal="right" vertical="center"/>
    </xf>
    <xf numFmtId="3" fontId="13" fillId="0" borderId="82" xfId="9" applyNumberFormat="1" applyFont="1" applyBorder="1" applyAlignment="1">
      <alignment horizontal="right" vertical="center"/>
    </xf>
    <xf numFmtId="3" fontId="13" fillId="0" borderId="77" xfId="9" applyNumberFormat="1" applyFont="1" applyBorder="1" applyAlignment="1">
      <alignment horizontal="right" vertical="center"/>
    </xf>
    <xf numFmtId="3" fontId="13" fillId="0" borderId="78" xfId="9" applyNumberFormat="1" applyFont="1" applyBorder="1" applyAlignment="1">
      <alignment horizontal="right" vertical="center"/>
    </xf>
    <xf numFmtId="3" fontId="13" fillId="0" borderId="125" xfId="9" applyNumberFormat="1" applyFont="1" applyBorder="1" applyAlignment="1">
      <alignment horizontal="right" vertical="center"/>
    </xf>
    <xf numFmtId="3" fontId="14" fillId="0" borderId="61" xfId="14" applyNumberFormat="1" applyFont="1" applyBorder="1" applyAlignment="1">
      <alignment horizontal="right" vertical="center"/>
    </xf>
    <xf numFmtId="3" fontId="14" fillId="0" borderId="41" xfId="14" applyNumberFormat="1" applyFont="1" applyBorder="1" applyAlignment="1">
      <alignment horizontal="right" vertical="center"/>
    </xf>
    <xf numFmtId="3" fontId="14" fillId="0" borderId="82" xfId="9" applyNumberFormat="1" applyFont="1" applyBorder="1" applyAlignment="1">
      <alignment horizontal="right" vertical="center"/>
    </xf>
    <xf numFmtId="3" fontId="14" fillId="0" borderId="77" xfId="9" applyNumberFormat="1" applyFont="1" applyBorder="1" applyAlignment="1">
      <alignment horizontal="right" vertical="center"/>
    </xf>
    <xf numFmtId="3" fontId="14" fillId="0" borderId="78" xfId="9" applyNumberFormat="1" applyFont="1" applyBorder="1" applyAlignment="1">
      <alignment horizontal="right" vertical="center"/>
    </xf>
    <xf numFmtId="3" fontId="14" fillId="0" borderId="11" xfId="9" applyNumberFormat="1" applyFont="1" applyBorder="1" applyAlignment="1">
      <alignment horizontal="right" vertical="center"/>
    </xf>
    <xf numFmtId="3" fontId="14" fillId="0" borderId="57" xfId="9" applyNumberFormat="1" applyFont="1" applyBorder="1" applyAlignment="1">
      <alignment horizontal="right" vertical="center"/>
    </xf>
    <xf numFmtId="3" fontId="14" fillId="0" borderId="25" xfId="9" applyNumberFormat="1" applyFont="1" applyBorder="1" applyAlignment="1">
      <alignment horizontal="right" vertical="center"/>
    </xf>
    <xf numFmtId="3" fontId="14" fillId="0" borderId="69" xfId="9" applyNumberFormat="1" applyFont="1" applyBorder="1" applyAlignment="1">
      <alignment horizontal="right" vertical="center"/>
    </xf>
    <xf numFmtId="3" fontId="14" fillId="0" borderId="72" xfId="9" applyNumberFormat="1" applyFont="1" applyBorder="1" applyAlignment="1">
      <alignment horizontal="right" vertical="center"/>
    </xf>
    <xf numFmtId="3" fontId="13" fillId="0" borderId="122" xfId="9" applyNumberFormat="1" applyFont="1" applyBorder="1" applyAlignment="1">
      <alignment horizontal="right" vertical="center"/>
    </xf>
    <xf numFmtId="3" fontId="13" fillId="0" borderId="123" xfId="9" applyNumberFormat="1" applyFont="1" applyBorder="1" applyAlignment="1">
      <alignment horizontal="right" vertical="center"/>
    </xf>
    <xf numFmtId="3" fontId="13" fillId="0" borderId="85" xfId="9" applyNumberFormat="1" applyFont="1" applyBorder="1" applyAlignment="1">
      <alignment horizontal="right" vertical="center"/>
    </xf>
    <xf numFmtId="3" fontId="14" fillId="0" borderId="123" xfId="14" applyNumberFormat="1" applyFont="1" applyBorder="1" applyAlignment="1">
      <alignment horizontal="center" vertical="center" wrapText="1"/>
    </xf>
    <xf numFmtId="0" fontId="13" fillId="0" borderId="23" xfId="14" applyFont="1" applyBorder="1" applyAlignment="1">
      <alignment vertical="center" wrapText="1"/>
    </xf>
    <xf numFmtId="0" fontId="13" fillId="0" borderId="79" xfId="14" applyFont="1" applyBorder="1" applyAlignment="1">
      <alignment vertical="center" wrapText="1"/>
    </xf>
    <xf numFmtId="0" fontId="13" fillId="0" borderId="10" xfId="14" applyFont="1" applyBorder="1" applyAlignment="1">
      <alignment vertical="center" wrapText="1"/>
    </xf>
    <xf numFmtId="0" fontId="13" fillId="0" borderId="77" xfId="14" applyFont="1" applyBorder="1" applyAlignment="1">
      <alignment vertical="center" wrapText="1"/>
    </xf>
    <xf numFmtId="49" fontId="13" fillId="2" borderId="77" xfId="10" applyNumberFormat="1" applyFont="1" applyFill="1" applyBorder="1" applyAlignment="1">
      <alignment horizontal="right" vertical="center" wrapText="1"/>
    </xf>
    <xf numFmtId="49" fontId="20" fillId="2" borderId="77" xfId="10" applyNumberFormat="1" applyFont="1" applyFill="1" applyBorder="1" applyAlignment="1">
      <alignment horizontal="right" vertical="center" wrapText="1"/>
    </xf>
    <xf numFmtId="0" fontId="13" fillId="0" borderId="122" xfId="14" applyFont="1" applyBorder="1" applyAlignment="1">
      <alignment vertical="center" wrapText="1"/>
    </xf>
    <xf numFmtId="3" fontId="13" fillId="0" borderId="82" xfId="14" applyNumberFormat="1" applyFont="1" applyBorder="1" applyAlignment="1">
      <alignment horizontal="right" vertical="center" wrapText="1"/>
    </xf>
    <xf numFmtId="3" fontId="14" fillId="0" borderId="82" xfId="14" applyNumberFormat="1" applyFont="1" applyBorder="1" applyAlignment="1">
      <alignment horizontal="right" vertical="center" wrapText="1"/>
    </xf>
    <xf numFmtId="3" fontId="13" fillId="2" borderId="82" xfId="9" applyNumberFormat="1" applyFont="1" applyFill="1" applyBorder="1" applyAlignment="1">
      <alignment horizontal="right" vertical="center" wrapText="1"/>
    </xf>
    <xf numFmtId="3" fontId="20" fillId="2" borderId="82" xfId="10" applyNumberFormat="1" applyFont="1" applyFill="1" applyBorder="1" applyAlignment="1">
      <alignment horizontal="right" vertical="center" wrapText="1"/>
    </xf>
    <xf numFmtId="3" fontId="13" fillId="0" borderId="69" xfId="14" applyNumberFormat="1" applyFont="1" applyBorder="1" applyAlignment="1">
      <alignment horizontal="right" vertical="center" wrapText="1"/>
    </xf>
    <xf numFmtId="0" fontId="13" fillId="0" borderId="65" xfId="14" applyFont="1" applyBorder="1" applyAlignment="1">
      <alignment vertical="center" wrapText="1"/>
    </xf>
    <xf numFmtId="0" fontId="13" fillId="0" borderId="130" xfId="14" applyFont="1" applyBorder="1" applyAlignment="1">
      <alignment vertical="center" wrapText="1"/>
    </xf>
    <xf numFmtId="3" fontId="13" fillId="0" borderId="10" xfId="14" applyNumberFormat="1" applyFont="1" applyBorder="1" applyAlignment="1">
      <alignment horizontal="right" vertical="center" wrapText="1"/>
    </xf>
    <xf numFmtId="3" fontId="13" fillId="0" borderId="49" xfId="14" applyNumberFormat="1" applyFont="1" applyBorder="1" applyAlignment="1">
      <alignment horizontal="right" vertical="center" wrapText="1"/>
    </xf>
    <xf numFmtId="3" fontId="13" fillId="0" borderId="50" xfId="14" applyNumberFormat="1" applyFont="1" applyBorder="1" applyAlignment="1">
      <alignment horizontal="right" vertical="center" wrapText="1"/>
    </xf>
    <xf numFmtId="3" fontId="13" fillId="0" borderId="77" xfId="14" applyNumberFormat="1" applyFont="1" applyBorder="1" applyAlignment="1">
      <alignment horizontal="right" vertical="center" wrapText="1"/>
    </xf>
    <xf numFmtId="3" fontId="13" fillId="0" borderId="78" xfId="14" applyNumberFormat="1" applyFont="1" applyBorder="1" applyAlignment="1">
      <alignment horizontal="right" vertical="center" wrapText="1"/>
    </xf>
    <xf numFmtId="3" fontId="13" fillId="2" borderId="77" xfId="9" applyNumberFormat="1" applyFont="1" applyFill="1" applyBorder="1" applyAlignment="1">
      <alignment horizontal="right" vertical="center" wrapText="1"/>
    </xf>
    <xf numFmtId="3" fontId="13" fillId="2" borderId="78" xfId="9" applyNumberFormat="1" applyFont="1" applyFill="1" applyBorder="1" applyAlignment="1">
      <alignment horizontal="right" vertical="center" wrapText="1"/>
    </xf>
    <xf numFmtId="3" fontId="20" fillId="2" borderId="77" xfId="10" applyNumberFormat="1" applyFont="1" applyFill="1" applyBorder="1" applyAlignment="1">
      <alignment horizontal="right" vertical="center" wrapText="1"/>
    </xf>
    <xf numFmtId="3" fontId="20" fillId="2" borderId="78" xfId="10" applyNumberFormat="1" applyFont="1" applyFill="1" applyBorder="1" applyAlignment="1">
      <alignment horizontal="right" vertical="center" wrapText="1"/>
    </xf>
    <xf numFmtId="3" fontId="13" fillId="0" borderId="11" xfId="14" applyNumberFormat="1" applyFont="1" applyBorder="1" applyAlignment="1">
      <alignment horizontal="right" vertical="center" wrapText="1"/>
    </xf>
    <xf numFmtId="3" fontId="13" fillId="0" borderId="57" xfId="14" applyNumberFormat="1" applyFont="1" applyBorder="1" applyAlignment="1">
      <alignment horizontal="right" vertical="center" wrapText="1"/>
    </xf>
    <xf numFmtId="3" fontId="13" fillId="0" borderId="1" xfId="14" applyNumberFormat="1" applyFont="1" applyBorder="1" applyAlignment="1">
      <alignment horizontal="right" vertical="center" wrapText="1"/>
    </xf>
    <xf numFmtId="3" fontId="13" fillId="0" borderId="104" xfId="14" applyNumberFormat="1" applyFont="1" applyBorder="1" applyAlignment="1">
      <alignment horizontal="right" vertical="center" wrapText="1"/>
    </xf>
    <xf numFmtId="3" fontId="13" fillId="0" borderId="125" xfId="14" applyNumberFormat="1" applyFont="1" applyBorder="1" applyAlignment="1">
      <alignment horizontal="right" vertical="center" wrapText="1"/>
    </xf>
    <xf numFmtId="3" fontId="13" fillId="2" borderId="125" xfId="9" applyNumberFormat="1" applyFont="1" applyFill="1" applyBorder="1" applyAlignment="1">
      <alignment horizontal="right" vertical="center" wrapText="1"/>
    </xf>
    <xf numFmtId="3" fontId="20" fillId="2" borderId="125" xfId="10" applyNumberFormat="1" applyFont="1" applyFill="1" applyBorder="1" applyAlignment="1">
      <alignment horizontal="right" vertical="center" wrapText="1"/>
    </xf>
    <xf numFmtId="3" fontId="13" fillId="0" borderId="58" xfId="14" applyNumberFormat="1" applyFont="1" applyBorder="1" applyAlignment="1">
      <alignment horizontal="right" vertical="center" wrapText="1"/>
    </xf>
    <xf numFmtId="3" fontId="13" fillId="0" borderId="25" xfId="14" applyNumberFormat="1" applyFont="1" applyBorder="1" applyAlignment="1">
      <alignment horizontal="right" vertical="center" wrapText="1"/>
    </xf>
    <xf numFmtId="3" fontId="13" fillId="0" borderId="72" xfId="14" applyNumberFormat="1" applyFont="1" applyBorder="1" applyAlignment="1">
      <alignment horizontal="right" vertical="center" wrapText="1"/>
    </xf>
    <xf numFmtId="3" fontId="14" fillId="0" borderId="77" xfId="14" applyNumberFormat="1" applyFont="1" applyBorder="1" applyAlignment="1">
      <alignment horizontal="right" vertical="center" wrapText="1"/>
    </xf>
    <xf numFmtId="3" fontId="14" fillId="0" borderId="123" xfId="9" applyNumberFormat="1" applyFont="1" applyBorder="1" applyAlignment="1">
      <alignment horizontal="right" vertical="center"/>
    </xf>
    <xf numFmtId="3" fontId="14" fillId="0" borderId="124" xfId="9" applyNumberFormat="1" applyFont="1" applyBorder="1" applyAlignment="1">
      <alignment horizontal="right" vertical="center"/>
    </xf>
    <xf numFmtId="3" fontId="13" fillId="0" borderId="123" xfId="9" applyNumberFormat="1" applyFont="1" applyBorder="1" applyAlignment="1">
      <alignment horizontal="right" vertical="center" wrapText="1"/>
    </xf>
    <xf numFmtId="3" fontId="14" fillId="0" borderId="69" xfId="14" applyNumberFormat="1" applyFont="1" applyBorder="1" applyAlignment="1">
      <alignment horizontal="center" vertical="center" wrapText="1"/>
    </xf>
    <xf numFmtId="3" fontId="14" fillId="0" borderId="11" xfId="14" applyNumberFormat="1" applyFont="1" applyBorder="1" applyAlignment="1">
      <alignment horizontal="center" vertical="center" wrapText="1"/>
    </xf>
    <xf numFmtId="3" fontId="14" fillId="0" borderId="70" xfId="14" applyNumberFormat="1" applyFont="1" applyBorder="1" applyAlignment="1">
      <alignment horizontal="center" vertical="center" wrapText="1"/>
    </xf>
    <xf numFmtId="3" fontId="14" fillId="0" borderId="117" xfId="14" applyNumberFormat="1" applyFont="1" applyBorder="1" applyAlignment="1">
      <alignment horizontal="center" vertical="center" wrapText="1"/>
    </xf>
    <xf numFmtId="3" fontId="14" fillId="0" borderId="118" xfId="14" applyNumberFormat="1" applyFont="1" applyBorder="1" applyAlignment="1">
      <alignment horizontal="center" vertical="center" wrapText="1"/>
    </xf>
    <xf numFmtId="3" fontId="13" fillId="0" borderId="1" xfId="9" applyNumberFormat="1" applyFont="1" applyBorder="1" applyAlignment="1">
      <alignment horizontal="right" vertical="center" wrapText="1"/>
    </xf>
    <xf numFmtId="3" fontId="14" fillId="0" borderId="66" xfId="14" applyNumberFormat="1" applyFont="1" applyBorder="1" applyAlignment="1">
      <alignment horizontal="center" vertical="center" wrapText="1"/>
    </xf>
    <xf numFmtId="3" fontId="13" fillId="0" borderId="11" xfId="9" applyNumberFormat="1" applyFont="1" applyBorder="1" applyAlignment="1">
      <alignment horizontal="right" vertical="center"/>
    </xf>
    <xf numFmtId="3" fontId="13" fillId="0" borderId="85" xfId="9" applyNumberFormat="1" applyFont="1" applyBorder="1" applyAlignment="1">
      <alignment horizontal="right" vertical="center" wrapText="1"/>
    </xf>
    <xf numFmtId="3" fontId="14" fillId="0" borderId="7" xfId="14" applyNumberFormat="1" applyFont="1" applyBorder="1" applyAlignment="1">
      <alignment horizontal="right" vertical="center"/>
    </xf>
    <xf numFmtId="3" fontId="14" fillId="0" borderId="57" xfId="14" applyNumberFormat="1" applyFont="1" applyBorder="1" applyAlignment="1">
      <alignment horizontal="center" vertical="center" wrapText="1"/>
    </xf>
    <xf numFmtId="0" fontId="14" fillId="0" borderId="0" xfId="14" applyFont="1" applyBorder="1" applyAlignment="1">
      <alignment horizontal="center" vertical="center"/>
    </xf>
    <xf numFmtId="0" fontId="13" fillId="2" borderId="46" xfId="9" applyFont="1" applyFill="1" applyBorder="1" applyAlignment="1">
      <alignment vertical="center" wrapText="1"/>
    </xf>
    <xf numFmtId="3" fontId="14" fillId="0" borderId="72" xfId="14" applyNumberFormat="1" applyFont="1" applyBorder="1" applyAlignment="1">
      <alignment horizontal="center" vertical="center" wrapText="1"/>
    </xf>
    <xf numFmtId="3" fontId="24" fillId="0" borderId="72" xfId="0" applyNumberFormat="1" applyFont="1" applyBorder="1" applyAlignment="1">
      <alignment vertical="center"/>
    </xf>
    <xf numFmtId="3" fontId="24" fillId="0" borderId="78" xfId="0" applyNumberFormat="1" applyFont="1" applyBorder="1" applyAlignment="1">
      <alignment vertical="center"/>
    </xf>
    <xf numFmtId="3" fontId="28" fillId="0" borderId="78" xfId="0" applyNumberFormat="1" applyFont="1" applyBorder="1" applyAlignment="1">
      <alignment horizontal="right" vertical="center" wrapText="1"/>
    </xf>
    <xf numFmtId="3" fontId="7" fillId="0" borderId="78" xfId="0" applyNumberFormat="1" applyFont="1" applyBorder="1" applyAlignment="1">
      <alignment vertical="center"/>
    </xf>
    <xf numFmtId="3" fontId="28" fillId="0" borderId="82" xfId="0" applyNumberFormat="1" applyFont="1" applyBorder="1" applyAlignment="1">
      <alignment vertical="center"/>
    </xf>
    <xf numFmtId="3" fontId="28" fillId="0" borderId="78" xfId="0" applyNumberFormat="1" applyFont="1" applyBorder="1" applyAlignment="1">
      <alignment vertical="center"/>
    </xf>
    <xf numFmtId="3" fontId="28" fillId="0" borderId="1" xfId="0" applyNumberFormat="1" applyFont="1" applyBorder="1" applyAlignment="1">
      <alignment vertical="center"/>
    </xf>
    <xf numFmtId="3" fontId="28" fillId="0" borderId="70" xfId="0" applyNumberFormat="1" applyFont="1" applyBorder="1" applyAlignment="1">
      <alignment horizontal="right" vertical="center" wrapText="1"/>
    </xf>
    <xf numFmtId="3" fontId="28" fillId="0" borderId="71" xfId="0" applyNumberFormat="1" applyFont="1" applyBorder="1" applyAlignment="1">
      <alignment horizontal="right" vertical="center" wrapText="1"/>
    </xf>
    <xf numFmtId="3" fontId="29" fillId="0" borderId="71" xfId="0" applyNumberFormat="1" applyFont="1" applyBorder="1" applyAlignment="1">
      <alignment horizontal="right" vertical="center" wrapText="1"/>
    </xf>
    <xf numFmtId="3" fontId="28" fillId="0" borderId="71" xfId="0" applyNumberFormat="1" applyFont="1" applyBorder="1" applyAlignment="1">
      <alignment vertical="center"/>
    </xf>
    <xf numFmtId="3" fontId="28" fillId="0" borderId="26" xfId="0" applyNumberFormat="1" applyFont="1" applyBorder="1" applyAlignment="1">
      <alignment vertical="center"/>
    </xf>
    <xf numFmtId="3" fontId="38" fillId="0" borderId="69" xfId="0" applyNumberFormat="1" applyFont="1" applyBorder="1"/>
    <xf numFmtId="3" fontId="38" fillId="0" borderId="123" xfId="0" applyNumberFormat="1" applyFont="1" applyBorder="1" applyAlignment="1">
      <alignment horizontal="center" vertical="center" wrapText="1"/>
    </xf>
    <xf numFmtId="3" fontId="42" fillId="0" borderId="123" xfId="0" applyNumberFormat="1" applyFont="1" applyBorder="1" applyAlignment="1">
      <alignment horizontal="center" vertical="center" wrapText="1"/>
    </xf>
    <xf numFmtId="3" fontId="38" fillId="0" borderId="82" xfId="0" applyNumberFormat="1" applyFont="1" applyBorder="1"/>
    <xf numFmtId="49" fontId="40" fillId="0" borderId="82" xfId="0" applyNumberFormat="1" applyFont="1" applyBorder="1"/>
    <xf numFmtId="3" fontId="41" fillId="0" borderId="82" xfId="0" applyNumberFormat="1" applyFont="1" applyBorder="1"/>
    <xf numFmtId="3" fontId="40" fillId="0" borderId="82" xfId="0" applyNumberFormat="1" applyFont="1" applyBorder="1"/>
    <xf numFmtId="49" fontId="41" fillId="0" borderId="82" xfId="0" applyNumberFormat="1" applyFont="1" applyBorder="1"/>
    <xf numFmtId="168" fontId="42" fillId="0" borderId="82" xfId="0" applyNumberFormat="1" applyFont="1" applyBorder="1" applyAlignment="1">
      <alignment horizontal="right"/>
    </xf>
    <xf numFmtId="3" fontId="42" fillId="0" borderId="82" xfId="0" applyNumberFormat="1" applyFont="1" applyBorder="1" applyAlignment="1">
      <alignment horizontal="center"/>
    </xf>
    <xf numFmtId="3" fontId="38" fillId="0" borderId="82" xfId="0" applyNumberFormat="1" applyFont="1" applyBorder="1" applyAlignment="1">
      <alignment horizontal="right"/>
    </xf>
    <xf numFmtId="0" fontId="44" fillId="0" borderId="82" xfId="0" applyFont="1" applyBorder="1" applyAlignment="1">
      <alignment horizontal="center"/>
    </xf>
    <xf numFmtId="168" fontId="38" fillId="0" borderId="82" xfId="0" applyNumberFormat="1" applyFont="1" applyBorder="1"/>
    <xf numFmtId="49" fontId="39" fillId="0" borderId="82" xfId="0" applyNumberFormat="1" applyFont="1" applyBorder="1"/>
    <xf numFmtId="3" fontId="39" fillId="0" borderId="82" xfId="0" applyNumberFormat="1" applyFont="1" applyBorder="1"/>
    <xf numFmtId="0" fontId="5" fillId="0" borderId="82" xfId="0" applyFont="1" applyBorder="1"/>
    <xf numFmtId="49" fontId="42" fillId="0" borderId="82" xfId="0" applyNumberFormat="1" applyFont="1" applyBorder="1" applyAlignment="1">
      <alignment vertical="center" wrapText="1"/>
    </xf>
    <xf numFmtId="167" fontId="42" fillId="0" borderId="82" xfId="0" applyNumberFormat="1" applyFont="1" applyBorder="1"/>
    <xf numFmtId="49" fontId="39" fillId="0" borderId="82" xfId="0" applyNumberFormat="1" applyFont="1" applyBorder="1" applyAlignment="1">
      <alignment vertical="center" wrapText="1"/>
    </xf>
    <xf numFmtId="3" fontId="5" fillId="0" borderId="82" xfId="0" applyNumberFormat="1" applyFont="1" applyBorder="1"/>
    <xf numFmtId="0" fontId="42" fillId="0" borderId="82" xfId="0" applyFont="1" applyBorder="1" applyAlignment="1">
      <alignment vertical="center" wrapText="1"/>
    </xf>
    <xf numFmtId="0" fontId="5" fillId="0" borderId="82" xfId="0" applyFont="1" applyBorder="1" applyAlignment="1">
      <alignment horizontal="center"/>
    </xf>
    <xf numFmtId="3" fontId="44" fillId="0" borderId="82" xfId="0" applyNumberFormat="1" applyFont="1" applyBorder="1" applyAlignment="1">
      <alignment horizontal="center"/>
    </xf>
    <xf numFmtId="0" fontId="44" fillId="0" borderId="82" xfId="0" applyFont="1" applyBorder="1" applyAlignment="1">
      <alignment horizontal="center" vertical="center" wrapText="1"/>
    </xf>
    <xf numFmtId="10" fontId="38" fillId="0" borderId="82" xfId="0" applyNumberFormat="1" applyFont="1" applyBorder="1"/>
    <xf numFmtId="49" fontId="38" fillId="0" borderId="82" xfId="0" applyNumberFormat="1" applyFont="1" applyBorder="1" applyAlignment="1">
      <alignment vertical="center" wrapText="1"/>
    </xf>
    <xf numFmtId="3" fontId="5" fillId="0" borderId="82" xfId="0" applyNumberFormat="1" applyFont="1" applyBorder="1" applyAlignment="1">
      <alignment horizontal="center"/>
    </xf>
    <xf numFmtId="0" fontId="39" fillId="0" borderId="99" xfId="0" applyFont="1" applyBorder="1" applyAlignment="1">
      <alignment horizontal="center" vertical="center" wrapText="1"/>
    </xf>
    <xf numFmtId="49" fontId="38" fillId="0" borderId="117" xfId="0" applyNumberFormat="1" applyFont="1" applyBorder="1" applyAlignment="1">
      <alignment horizontal="left" vertical="center"/>
    </xf>
    <xf numFmtId="0" fontId="42" fillId="0" borderId="117" xfId="0" applyFont="1" applyBorder="1"/>
    <xf numFmtId="0" fontId="42" fillId="0" borderId="117" xfId="0" applyFont="1" applyBorder="1" applyAlignment="1">
      <alignment horizontal="center"/>
    </xf>
    <xf numFmtId="3" fontId="38" fillId="0" borderId="117" xfId="0" applyNumberFormat="1" applyFont="1" applyBorder="1"/>
    <xf numFmtId="3" fontId="42" fillId="0" borderId="117" xfId="0" applyNumberFormat="1" applyFont="1" applyBorder="1"/>
    <xf numFmtId="3" fontId="42" fillId="0" borderId="118" xfId="0" applyNumberFormat="1" applyFont="1" applyBorder="1"/>
    <xf numFmtId="0" fontId="40" fillId="0" borderId="77" xfId="0" applyFont="1" applyBorder="1"/>
    <xf numFmtId="3" fontId="40" fillId="0" borderId="78" xfId="0" applyNumberFormat="1" applyFont="1" applyBorder="1"/>
    <xf numFmtId="3" fontId="42" fillId="0" borderId="78" xfId="0" applyNumberFormat="1" applyFont="1" applyBorder="1"/>
    <xf numFmtId="0" fontId="42" fillId="0" borderId="77" xfId="0" applyFont="1" applyBorder="1"/>
    <xf numFmtId="0" fontId="41" fillId="0" borderId="77" xfId="0" applyFont="1" applyBorder="1"/>
    <xf numFmtId="0" fontId="39" fillId="0" borderId="77" xfId="0" applyFont="1" applyBorder="1"/>
    <xf numFmtId="3" fontId="39" fillId="0" borderId="78" xfId="0" applyNumberFormat="1" applyFont="1" applyBorder="1"/>
    <xf numFmtId="49" fontId="42" fillId="0" borderId="77" xfId="0" applyNumberFormat="1" applyFont="1" applyBorder="1" applyAlignment="1">
      <alignment vertical="center" wrapText="1"/>
    </xf>
    <xf numFmtId="49" fontId="42" fillId="0" borderId="77" xfId="0" applyNumberFormat="1" applyFont="1" applyBorder="1" applyAlignment="1">
      <alignment wrapText="1"/>
    </xf>
    <xf numFmtId="49" fontId="39" fillId="0" borderId="77" xfId="0" applyNumberFormat="1" applyFont="1" applyBorder="1" applyAlignment="1">
      <alignment vertical="center" wrapText="1"/>
    </xf>
    <xf numFmtId="3" fontId="5" fillId="0" borderId="78" xfId="0" applyNumberFormat="1" applyFont="1" applyBorder="1"/>
    <xf numFmtId="3" fontId="38" fillId="0" borderId="57" xfId="0" applyNumberFormat="1" applyFont="1" applyBorder="1"/>
    <xf numFmtId="0" fontId="40" fillId="0" borderId="84" xfId="0" applyFont="1" applyBorder="1"/>
    <xf numFmtId="49" fontId="40" fillId="0" borderId="123" xfId="0" applyNumberFormat="1" applyFont="1" applyBorder="1" applyAlignment="1">
      <alignment vertical="center" wrapText="1"/>
    </xf>
    <xf numFmtId="0" fontId="42" fillId="0" borderId="123" xfId="0" applyFont="1" applyBorder="1"/>
    <xf numFmtId="0" fontId="42" fillId="0" borderId="123" xfId="0" applyFont="1" applyBorder="1" applyAlignment="1">
      <alignment horizontal="center"/>
    </xf>
    <xf numFmtId="3" fontId="38" fillId="0" borderId="123" xfId="0" applyNumberFormat="1" applyFont="1" applyBorder="1"/>
    <xf numFmtId="3" fontId="42" fillId="0" borderId="123" xfId="0" applyNumberFormat="1" applyFont="1" applyBorder="1"/>
    <xf numFmtId="3" fontId="40" fillId="0" borderId="123" xfId="0" applyNumberFormat="1" applyFont="1" applyBorder="1"/>
    <xf numFmtId="3" fontId="40" fillId="0" borderId="124" xfId="0" applyNumberFormat="1" applyFont="1" applyBorder="1"/>
    <xf numFmtId="49" fontId="39" fillId="0" borderId="99" xfId="0" applyNumberFormat="1" applyFont="1" applyBorder="1" applyAlignment="1">
      <alignment vertical="center" wrapText="1"/>
    </xf>
    <xf numFmtId="49" fontId="42" fillId="0" borderId="117" xfId="0" applyNumberFormat="1" applyFont="1" applyBorder="1" applyAlignment="1">
      <alignment vertical="center" wrapText="1"/>
    </xf>
    <xf numFmtId="3" fontId="39" fillId="0" borderId="1" xfId="0" applyNumberFormat="1" applyFont="1" applyBorder="1"/>
    <xf numFmtId="0" fontId="42" fillId="0" borderId="84" xfId="0" applyFont="1" applyBorder="1"/>
    <xf numFmtId="49" fontId="40" fillId="0" borderId="123" xfId="0" applyNumberFormat="1" applyFont="1" applyBorder="1"/>
    <xf numFmtId="3" fontId="38" fillId="0" borderId="123" xfId="0" applyNumberFormat="1" applyFont="1" applyBorder="1" applyAlignment="1">
      <alignment horizontal="center"/>
    </xf>
    <xf numFmtId="3" fontId="39" fillId="0" borderId="123" xfId="0" applyNumberFormat="1" applyFont="1" applyBorder="1"/>
    <xf numFmtId="3" fontId="39" fillId="0" borderId="124" xfId="0" applyNumberFormat="1" applyFont="1" applyBorder="1"/>
    <xf numFmtId="0" fontId="42" fillId="0" borderId="99" xfId="0" applyFont="1" applyBorder="1"/>
    <xf numFmtId="49" fontId="42" fillId="0" borderId="117" xfId="0" applyNumberFormat="1" applyFont="1" applyBorder="1" applyAlignment="1">
      <alignment wrapText="1"/>
    </xf>
    <xf numFmtId="3" fontId="38" fillId="0" borderId="117" xfId="0" applyNumberFormat="1" applyFont="1" applyBorder="1" applyAlignment="1">
      <alignment horizontal="center"/>
    </xf>
    <xf numFmtId="49" fontId="40" fillId="0" borderId="123" xfId="0" applyNumberFormat="1" applyFont="1" applyBorder="1" applyAlignment="1">
      <alignment wrapText="1"/>
    </xf>
    <xf numFmtId="0" fontId="42" fillId="0" borderId="12" xfId="0" applyFont="1" applyBorder="1"/>
    <xf numFmtId="49" fontId="39" fillId="0" borderId="13" xfId="0" applyNumberFormat="1" applyFont="1" applyBorder="1" applyAlignment="1">
      <alignment wrapText="1"/>
    </xf>
    <xf numFmtId="0" fontId="42" fillId="0" borderId="13" xfId="0" applyFont="1" applyBorder="1"/>
    <xf numFmtId="0" fontId="42" fillId="0" borderId="13" xfId="0" applyFont="1" applyBorder="1" applyAlignment="1">
      <alignment horizontal="center"/>
    </xf>
    <xf numFmtId="3" fontId="38" fillId="0" borderId="13" xfId="0" applyNumberFormat="1" applyFont="1" applyBorder="1" applyAlignment="1">
      <alignment horizontal="center"/>
    </xf>
    <xf numFmtId="3" fontId="42" fillId="0" borderId="13" xfId="0" applyNumberFormat="1" applyFont="1" applyBorder="1"/>
    <xf numFmtId="3" fontId="39" fillId="0" borderId="13" xfId="0" applyNumberFormat="1" applyFont="1" applyBorder="1"/>
    <xf numFmtId="3" fontId="39" fillId="0" borderId="14" xfId="0" applyNumberFormat="1" applyFont="1" applyBorder="1"/>
    <xf numFmtId="49" fontId="39" fillId="0" borderId="123" xfId="0" applyNumberFormat="1" applyFont="1" applyBorder="1" applyAlignment="1">
      <alignment vertical="center" wrapText="1"/>
    </xf>
    <xf numFmtId="0" fontId="39" fillId="0" borderId="99" xfId="0" applyFont="1" applyBorder="1"/>
    <xf numFmtId="49" fontId="43" fillId="0" borderId="117" xfId="0" applyNumberFormat="1" applyFont="1" applyBorder="1" applyAlignment="1">
      <alignment vertical="center" wrapText="1"/>
    </xf>
    <xf numFmtId="0" fontId="39" fillId="0" borderId="11" xfId="0" applyFont="1" applyBorder="1"/>
    <xf numFmtId="0" fontId="39" fillId="0" borderId="84" xfId="0" applyFont="1" applyBorder="1"/>
    <xf numFmtId="3" fontId="39" fillId="0" borderId="117" xfId="0" applyNumberFormat="1" applyFont="1" applyBorder="1"/>
    <xf numFmtId="3" fontId="39" fillId="0" borderId="118" xfId="0" applyNumberFormat="1" applyFont="1" applyBorder="1"/>
    <xf numFmtId="3" fontId="42" fillId="0" borderId="72" xfId="0" applyNumberFormat="1" applyFont="1" applyBorder="1"/>
    <xf numFmtId="49" fontId="39" fillId="0" borderId="57" xfId="0" applyNumberFormat="1" applyFont="1" applyBorder="1"/>
    <xf numFmtId="0" fontId="5" fillId="0" borderId="57" xfId="0" applyFont="1" applyBorder="1"/>
    <xf numFmtId="0" fontId="40" fillId="0" borderId="99" xfId="0" applyFont="1" applyBorder="1"/>
    <xf numFmtId="49" fontId="40" fillId="0" borderId="117" xfId="0" applyNumberFormat="1" applyFont="1" applyBorder="1" applyAlignment="1">
      <alignment vertical="center" wrapText="1"/>
    </xf>
    <xf numFmtId="49" fontId="39" fillId="0" borderId="57" xfId="0" applyNumberFormat="1" applyFont="1" applyBorder="1" applyAlignment="1">
      <alignment vertical="center" wrapText="1"/>
    </xf>
    <xf numFmtId="49" fontId="39" fillId="0" borderId="68" xfId="0" applyNumberFormat="1" applyFont="1" applyBorder="1" applyAlignment="1">
      <alignment horizontal="left" wrapText="1"/>
    </xf>
    <xf numFmtId="49" fontId="42" fillId="0" borderId="69" xfId="0" applyNumberFormat="1" applyFont="1" applyBorder="1"/>
    <xf numFmtId="49" fontId="39" fillId="0" borderId="11" xfId="0" applyNumberFormat="1" applyFont="1" applyBorder="1" applyAlignment="1">
      <alignment vertical="center" wrapText="1"/>
    </xf>
    <xf numFmtId="49" fontId="39" fillId="0" borderId="117" xfId="0" applyNumberFormat="1" applyFont="1" applyBorder="1"/>
    <xf numFmtId="3" fontId="40" fillId="0" borderId="117" xfId="0" applyNumberFormat="1" applyFont="1" applyBorder="1"/>
    <xf numFmtId="3" fontId="33" fillId="0" borderId="0" xfId="16" applyNumberFormat="1" applyFont="1" applyBorder="1" applyAlignment="1">
      <alignment vertical="center" wrapText="1"/>
    </xf>
    <xf numFmtId="3" fontId="33" fillId="0" borderId="82" xfId="0" applyNumberFormat="1" applyFont="1" applyBorder="1" applyAlignment="1">
      <alignment vertical="center"/>
    </xf>
    <xf numFmtId="3" fontId="32" fillId="0" borderId="82" xfId="0" applyNumberFormat="1" applyFont="1" applyBorder="1" applyAlignment="1">
      <alignment vertical="center"/>
    </xf>
    <xf numFmtId="3" fontId="31" fillId="0" borderId="82" xfId="0" applyNumberFormat="1" applyFont="1" applyBorder="1" applyAlignment="1">
      <alignment vertical="center"/>
    </xf>
    <xf numFmtId="3" fontId="31" fillId="2" borderId="82" xfId="0" applyNumberFormat="1" applyFont="1" applyFill="1" applyBorder="1" applyAlignment="1">
      <alignment vertical="center"/>
    </xf>
    <xf numFmtId="3" fontId="33" fillId="0" borderId="77" xfId="0" applyNumberFormat="1" applyFont="1" applyBorder="1" applyAlignment="1">
      <alignment vertical="center" wrapText="1"/>
    </xf>
    <xf numFmtId="3" fontId="33" fillId="0" borderId="78" xfId="0" applyNumberFormat="1" applyFont="1" applyBorder="1" applyAlignment="1">
      <alignment vertical="center"/>
    </xf>
    <xf numFmtId="3" fontId="32" fillId="0" borderId="77" xfId="0" applyNumberFormat="1" applyFont="1" applyBorder="1" applyAlignment="1">
      <alignment vertical="center" wrapText="1"/>
    </xf>
    <xf numFmtId="3" fontId="32" fillId="0" borderId="78" xfId="0" applyNumberFormat="1" applyFont="1" applyBorder="1" applyAlignment="1">
      <alignment vertical="center"/>
    </xf>
    <xf numFmtId="3" fontId="31" fillId="0" borderId="77" xfId="0" applyNumberFormat="1" applyFont="1" applyBorder="1" applyAlignment="1">
      <alignment vertical="center" wrapText="1"/>
    </xf>
    <xf numFmtId="3" fontId="31" fillId="0" borderId="78" xfId="0" applyNumberFormat="1" applyFont="1" applyBorder="1" applyAlignment="1">
      <alignment vertical="center"/>
    </xf>
    <xf numFmtId="3" fontId="31" fillId="0" borderId="77" xfId="0" applyNumberFormat="1" applyFont="1" applyBorder="1" applyAlignment="1">
      <alignment vertical="center"/>
    </xf>
    <xf numFmtId="3" fontId="31" fillId="2" borderId="78" xfId="0" applyNumberFormat="1" applyFont="1" applyFill="1" applyBorder="1" applyAlignment="1">
      <alignment vertical="center"/>
    </xf>
    <xf numFmtId="3" fontId="33" fillId="0" borderId="68" xfId="0" applyNumberFormat="1" applyFont="1" applyBorder="1" applyAlignment="1">
      <alignment vertical="center" wrapText="1"/>
    </xf>
    <xf numFmtId="3" fontId="33" fillId="0" borderId="69" xfId="0" applyNumberFormat="1" applyFont="1" applyBorder="1" applyAlignment="1">
      <alignment vertical="center"/>
    </xf>
    <xf numFmtId="3" fontId="33" fillId="0" borderId="72" xfId="0" applyNumberFormat="1" applyFont="1" applyBorder="1" applyAlignment="1">
      <alignment vertical="center"/>
    </xf>
    <xf numFmtId="3" fontId="31" fillId="0" borderId="123" xfId="0" applyNumberFormat="1" applyFont="1" applyBorder="1" applyAlignment="1">
      <alignment vertical="center"/>
    </xf>
    <xf numFmtId="3" fontId="31" fillId="0" borderId="124" xfId="0" applyNumberFormat="1" applyFont="1" applyBorder="1" applyAlignment="1">
      <alignment vertical="center"/>
    </xf>
    <xf numFmtId="3" fontId="33" fillId="0" borderId="13" xfId="0" applyNumberFormat="1" applyFont="1" applyBorder="1" applyAlignment="1">
      <alignment vertical="center"/>
    </xf>
    <xf numFmtId="3" fontId="33" fillId="0" borderId="14" xfId="0" applyNumberFormat="1" applyFont="1" applyBorder="1" applyAlignment="1">
      <alignment vertical="center"/>
    </xf>
    <xf numFmtId="3" fontId="31" fillId="0" borderId="122" xfId="0" applyNumberFormat="1" applyFont="1" applyBorder="1" applyAlignment="1">
      <alignment vertical="center" wrapText="1"/>
    </xf>
    <xf numFmtId="3" fontId="33" fillId="0" borderId="4" xfId="0" applyNumberFormat="1" applyFont="1" applyBorder="1" applyAlignment="1">
      <alignment horizontal="center" vertical="center" wrapText="1"/>
    </xf>
    <xf numFmtId="3" fontId="33" fillId="0" borderId="62" xfId="0" applyNumberFormat="1" applyFont="1" applyBorder="1" applyAlignment="1">
      <alignment vertical="center" wrapText="1"/>
    </xf>
    <xf numFmtId="3" fontId="32" fillId="0" borderId="80" xfId="0" applyNumberFormat="1" applyFont="1" applyBorder="1" applyAlignment="1">
      <alignment vertical="center" wrapText="1"/>
    </xf>
    <xf numFmtId="3" fontId="33" fillId="0" borderId="80" xfId="0" applyNumberFormat="1" applyFont="1" applyBorder="1" applyAlignment="1">
      <alignment vertical="center" wrapText="1"/>
    </xf>
    <xf numFmtId="3" fontId="31" fillId="0" borderId="80" xfId="0" applyNumberFormat="1" applyFont="1" applyBorder="1" applyAlignment="1">
      <alignment vertical="center" wrapText="1"/>
    </xf>
    <xf numFmtId="3" fontId="31" fillId="0" borderId="80" xfId="0" applyNumberFormat="1" applyFont="1" applyBorder="1" applyAlignment="1">
      <alignment vertical="center"/>
    </xf>
    <xf numFmtId="3" fontId="31" fillId="0" borderId="129" xfId="0" applyNumberFormat="1" applyFont="1" applyBorder="1" applyAlignment="1">
      <alignment vertical="center" wrapText="1"/>
    </xf>
    <xf numFmtId="3" fontId="33" fillId="0" borderId="4" xfId="0" applyNumberFormat="1" applyFont="1" applyBorder="1" applyAlignment="1">
      <alignment vertical="center" wrapText="1"/>
    </xf>
    <xf numFmtId="3" fontId="13" fillId="0" borderId="118" xfId="0" applyNumberFormat="1" applyFont="1" applyBorder="1" applyAlignment="1">
      <alignment vertical="center"/>
    </xf>
    <xf numFmtId="3" fontId="14" fillId="0" borderId="57" xfId="17" applyNumberFormat="1" applyFont="1" applyBorder="1" applyAlignment="1">
      <alignment horizontal="center" vertical="center" wrapText="1"/>
    </xf>
    <xf numFmtId="3" fontId="13" fillId="0" borderId="116" xfId="0" applyNumberFormat="1" applyFont="1" applyBorder="1" applyAlignment="1">
      <alignment vertical="center"/>
    </xf>
    <xf numFmtId="3" fontId="13" fillId="0" borderId="132" xfId="0" applyNumberFormat="1" applyFont="1" applyBorder="1" applyAlignment="1">
      <alignment vertical="center"/>
    </xf>
    <xf numFmtId="3" fontId="14" fillId="0" borderId="11" xfId="17" applyNumberFormat="1" applyFont="1" applyBorder="1" applyAlignment="1">
      <alignment horizontal="center" vertical="center" wrapText="1"/>
    </xf>
    <xf numFmtId="3" fontId="13" fillId="0" borderId="99" xfId="0" applyNumberFormat="1" applyFont="1" applyBorder="1" applyAlignment="1">
      <alignment vertical="center"/>
    </xf>
    <xf numFmtId="3" fontId="13" fillId="0" borderId="104" xfId="0" applyNumberFormat="1" applyFont="1" applyBorder="1" applyAlignment="1">
      <alignment vertical="center"/>
    </xf>
    <xf numFmtId="3" fontId="13" fillId="0" borderId="86" xfId="0" applyNumberFormat="1" applyFont="1" applyBorder="1" applyAlignment="1">
      <alignment vertical="center"/>
    </xf>
    <xf numFmtId="3" fontId="13" fillId="0" borderId="38" xfId="0" applyNumberFormat="1" applyFont="1" applyBorder="1" applyAlignment="1">
      <alignment vertical="center"/>
    </xf>
    <xf numFmtId="0" fontId="13" fillId="0" borderId="103" xfId="0" applyFont="1" applyBorder="1" applyAlignment="1">
      <alignment vertical="center" wrapText="1"/>
    </xf>
    <xf numFmtId="0" fontId="48" fillId="0" borderId="0" xfId="0" applyFont="1" applyAlignment="1">
      <alignment vertical="center" wrapText="1"/>
    </xf>
    <xf numFmtId="0" fontId="7" fillId="0" borderId="0" xfId="0" applyFont="1" applyAlignment="1">
      <alignment wrapText="1"/>
    </xf>
    <xf numFmtId="3" fontId="2" fillId="0" borderId="76" xfId="1" applyNumberFormat="1" applyFont="1" applyFill="1" applyBorder="1" applyAlignment="1">
      <alignment vertical="center"/>
    </xf>
    <xf numFmtId="3" fontId="28" fillId="0" borderId="116" xfId="0" applyNumberFormat="1" applyFont="1" applyBorder="1" applyAlignment="1">
      <alignment horizontal="right" vertical="center" wrapText="1"/>
    </xf>
    <xf numFmtId="3" fontId="28" fillId="0" borderId="117" xfId="0" applyNumberFormat="1" applyFont="1" applyBorder="1" applyAlignment="1">
      <alignment horizontal="right" vertical="center" wrapText="1"/>
    </xf>
    <xf numFmtId="3" fontId="24" fillId="0" borderId="117" xfId="0" applyNumberFormat="1" applyFont="1" applyBorder="1" applyAlignment="1">
      <alignment vertical="center"/>
    </xf>
    <xf numFmtId="3" fontId="24" fillId="0" borderId="118" xfId="0" applyNumberFormat="1" applyFont="1" applyBorder="1" applyAlignment="1">
      <alignment vertical="center"/>
    </xf>
    <xf numFmtId="3" fontId="28" fillId="0" borderId="133" xfId="0" applyNumberFormat="1" applyFont="1" applyBorder="1" applyAlignment="1">
      <alignment horizontal="right" vertical="center" wrapText="1"/>
    </xf>
    <xf numFmtId="3" fontId="28" fillId="0" borderId="89" xfId="0" applyNumberFormat="1" applyFont="1" applyBorder="1" applyAlignment="1">
      <alignment horizontal="right" vertical="center" wrapText="1"/>
    </xf>
    <xf numFmtId="3" fontId="24" fillId="0" borderId="89" xfId="0" applyNumberFormat="1" applyFont="1" applyBorder="1" applyAlignment="1">
      <alignment vertical="center"/>
    </xf>
    <xf numFmtId="3" fontId="24" fillId="0" borderId="20" xfId="0" applyNumberFormat="1" applyFont="1" applyBorder="1" applyAlignment="1">
      <alignment vertical="center"/>
    </xf>
    <xf numFmtId="3" fontId="28" fillId="0" borderId="26" xfId="0" applyNumberFormat="1" applyFont="1" applyBorder="1" applyAlignment="1">
      <alignment horizontal="right" vertical="center" wrapText="1"/>
    </xf>
    <xf numFmtId="3" fontId="28" fillId="0" borderId="57" xfId="0" applyNumberFormat="1" applyFont="1" applyBorder="1" applyAlignment="1">
      <alignment horizontal="right" vertical="center" wrapText="1"/>
    </xf>
    <xf numFmtId="3" fontId="24" fillId="0" borderId="1" xfId="0" applyNumberFormat="1" applyFont="1" applyBorder="1" applyAlignment="1">
      <alignment vertical="center"/>
    </xf>
    <xf numFmtId="3" fontId="28" fillId="0" borderId="118"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29" fillId="0" borderId="116" xfId="0" applyNumberFormat="1" applyFont="1" applyBorder="1" applyAlignment="1">
      <alignment horizontal="right" vertical="center" wrapText="1"/>
    </xf>
    <xf numFmtId="3" fontId="29" fillId="0" borderId="117" xfId="0" applyNumberFormat="1" applyFont="1" applyBorder="1" applyAlignment="1">
      <alignment horizontal="right" vertical="center" wrapText="1"/>
    </xf>
    <xf numFmtId="3" fontId="7" fillId="0" borderId="117" xfId="0" applyNumberFormat="1" applyFont="1" applyBorder="1" applyAlignment="1">
      <alignment vertical="center"/>
    </xf>
    <xf numFmtId="3" fontId="7" fillId="0" borderId="118" xfId="0" applyNumberFormat="1" applyFont="1" applyBorder="1" applyAlignment="1">
      <alignment vertical="center"/>
    </xf>
    <xf numFmtId="3" fontId="29" fillId="0" borderId="26" xfId="0" applyNumberFormat="1" applyFont="1" applyBorder="1" applyAlignment="1">
      <alignment horizontal="right" vertical="center" wrapText="1"/>
    </xf>
    <xf numFmtId="3" fontId="29" fillId="0" borderId="57" xfId="0" applyNumberFormat="1" applyFont="1" applyBorder="1" applyAlignment="1">
      <alignment horizontal="right" vertical="center" wrapText="1"/>
    </xf>
    <xf numFmtId="3" fontId="7" fillId="0" borderId="57" xfId="0" applyNumberFormat="1" applyFont="1" applyBorder="1" applyAlignment="1">
      <alignment vertical="center"/>
    </xf>
    <xf numFmtId="3" fontId="7" fillId="0" borderId="1" xfId="0" applyNumberFormat="1" applyFont="1" applyBorder="1" applyAlignment="1">
      <alignment vertical="center"/>
    </xf>
    <xf numFmtId="3" fontId="28" fillId="0" borderId="70" xfId="0" applyNumberFormat="1" applyFont="1" applyBorder="1" applyAlignment="1">
      <alignment vertical="center"/>
    </xf>
    <xf numFmtId="3" fontId="28" fillId="0" borderId="69" xfId="0" applyNumberFormat="1" applyFont="1" applyBorder="1" applyAlignment="1">
      <alignment vertical="center"/>
    </xf>
    <xf numFmtId="3" fontId="28" fillId="0" borderId="72" xfId="0" applyNumberFormat="1" applyFont="1" applyBorder="1" applyAlignment="1">
      <alignment vertical="center"/>
    </xf>
    <xf numFmtId="0" fontId="27" fillId="0" borderId="11" xfId="0" applyFont="1" applyFill="1" applyBorder="1" applyAlignment="1">
      <alignment horizontal="center" vertical="center" wrapText="1"/>
    </xf>
    <xf numFmtId="3" fontId="14" fillId="0" borderId="57" xfId="17" applyNumberFormat="1" applyFont="1" applyFill="1" applyBorder="1" applyAlignment="1">
      <alignment horizontal="center" vertical="center" wrapText="1"/>
    </xf>
    <xf numFmtId="49" fontId="0" fillId="0" borderId="0" xfId="0" applyNumberFormat="1"/>
    <xf numFmtId="49" fontId="27" fillId="0" borderId="0" xfId="0" applyNumberFormat="1" applyFont="1"/>
    <xf numFmtId="3" fontId="13" fillId="0" borderId="78" xfId="14" applyNumberFormat="1" applyFont="1" applyBorder="1" applyAlignment="1">
      <alignment horizontal="right" vertical="center"/>
    </xf>
    <xf numFmtId="3" fontId="13" fillId="0" borderId="82" xfId="14" applyNumberFormat="1" applyFont="1" applyBorder="1" applyAlignment="1">
      <alignment horizontal="right" vertical="center"/>
    </xf>
    <xf numFmtId="3" fontId="13" fillId="0" borderId="86" xfId="14" applyNumberFormat="1" applyFont="1" applyBorder="1" applyAlignment="1">
      <alignment horizontal="right" vertical="center" wrapText="1"/>
    </xf>
    <xf numFmtId="3" fontId="13" fillId="0" borderId="66" xfId="14" applyNumberFormat="1" applyFont="1" applyBorder="1" applyAlignment="1">
      <alignment horizontal="right" vertical="center" wrapText="1"/>
    </xf>
    <xf numFmtId="3" fontId="14" fillId="0" borderId="86" xfId="14" applyNumberFormat="1" applyFont="1" applyBorder="1" applyAlignment="1">
      <alignment horizontal="right" vertical="center" wrapText="1"/>
    </xf>
    <xf numFmtId="3" fontId="13" fillId="2" borderId="86" xfId="9" applyNumberFormat="1" applyFont="1" applyFill="1" applyBorder="1" applyAlignment="1">
      <alignment horizontal="right" vertical="center" wrapText="1"/>
    </xf>
    <xf numFmtId="3" fontId="20" fillId="2" borderId="86" xfId="10" applyNumberFormat="1" applyFont="1" applyFill="1" applyBorder="1" applyAlignment="1">
      <alignment horizontal="right" vertical="center" wrapText="1"/>
    </xf>
    <xf numFmtId="3" fontId="13" fillId="0" borderId="99" xfId="14" applyNumberFormat="1" applyFont="1" applyBorder="1" applyAlignment="1">
      <alignment horizontal="right" vertical="center" wrapText="1"/>
    </xf>
    <xf numFmtId="3" fontId="13" fillId="0" borderId="117" xfId="14" applyNumberFormat="1" applyFont="1" applyBorder="1" applyAlignment="1">
      <alignment horizontal="right" vertical="center" wrapText="1"/>
    </xf>
    <xf numFmtId="3" fontId="13" fillId="0" borderId="122" xfId="14" applyNumberFormat="1" applyFont="1" applyBorder="1" applyAlignment="1">
      <alignment horizontal="right" vertical="center" wrapText="1"/>
    </xf>
    <xf numFmtId="3" fontId="13" fillId="0" borderId="123" xfId="14" applyNumberFormat="1" applyFont="1" applyBorder="1" applyAlignment="1">
      <alignment horizontal="right" vertical="center" wrapText="1"/>
    </xf>
    <xf numFmtId="3" fontId="13" fillId="0" borderId="38" xfId="14" applyNumberFormat="1" applyFont="1" applyBorder="1" applyAlignment="1">
      <alignment horizontal="right" vertical="center" wrapText="1"/>
    </xf>
    <xf numFmtId="3" fontId="14" fillId="0" borderId="99" xfId="9" applyNumberFormat="1" applyFont="1" applyBorder="1" applyAlignment="1">
      <alignment horizontal="right" vertical="center"/>
    </xf>
    <xf numFmtId="3" fontId="14" fillId="0" borderId="117" xfId="9" applyNumberFormat="1" applyFont="1" applyBorder="1" applyAlignment="1">
      <alignment horizontal="right" vertical="center"/>
    </xf>
    <xf numFmtId="3" fontId="14" fillId="0" borderId="118" xfId="9" applyNumberFormat="1" applyFont="1" applyBorder="1" applyAlignment="1">
      <alignment horizontal="right" vertical="center"/>
    </xf>
    <xf numFmtId="0" fontId="17" fillId="0" borderId="79" xfId="0" applyFont="1" applyBorder="1" applyAlignment="1">
      <alignment horizontal="justify" vertical="center" wrapText="1"/>
    </xf>
    <xf numFmtId="0" fontId="14" fillId="0" borderId="124" xfId="0" applyFont="1" applyFill="1" applyBorder="1" applyAlignment="1">
      <alignment horizontal="center" vertical="center" wrapText="1"/>
    </xf>
    <xf numFmtId="3" fontId="14" fillId="0" borderId="1" xfId="17" applyNumberFormat="1" applyFont="1" applyFill="1" applyBorder="1" applyAlignment="1">
      <alignment horizontal="center" vertical="center" wrapText="1"/>
    </xf>
    <xf numFmtId="3" fontId="33" fillId="0" borderId="14" xfId="0" applyNumberFormat="1" applyFont="1" applyFill="1" applyBorder="1" applyAlignment="1">
      <alignment vertical="center"/>
    </xf>
    <xf numFmtId="49" fontId="31" fillId="0" borderId="80" xfId="0" applyNumberFormat="1" applyFont="1" applyBorder="1" applyAlignment="1">
      <alignment vertical="center" wrapText="1"/>
    </xf>
    <xf numFmtId="3" fontId="14" fillId="0" borderId="1" xfId="14" applyNumberFormat="1" applyFont="1" applyFill="1" applyBorder="1" applyAlignment="1">
      <alignment horizontal="center" vertical="center" wrapText="1"/>
    </xf>
    <xf numFmtId="3" fontId="14" fillId="0" borderId="124" xfId="14" applyNumberFormat="1" applyFont="1" applyFill="1" applyBorder="1" applyAlignment="1">
      <alignment horizontal="center" vertical="center" wrapText="1"/>
    </xf>
    <xf numFmtId="3" fontId="13" fillId="0" borderId="86" xfId="9" applyNumberFormat="1" applyFont="1" applyBorder="1" applyAlignment="1">
      <alignment horizontal="right" vertical="center"/>
    </xf>
    <xf numFmtId="3" fontId="14" fillId="0" borderId="138" xfId="9" applyNumberFormat="1" applyFont="1" applyBorder="1" applyAlignment="1">
      <alignment horizontal="right" vertical="center"/>
    </xf>
    <xf numFmtId="3" fontId="14" fillId="0" borderId="13" xfId="9" applyNumberFormat="1" applyFont="1" applyBorder="1" applyAlignment="1">
      <alignment horizontal="right" vertical="center"/>
    </xf>
    <xf numFmtId="3" fontId="14" fillId="0" borderId="139" xfId="14" applyNumberFormat="1" applyFont="1" applyBorder="1" applyAlignment="1">
      <alignment horizontal="center" vertical="center" wrapText="1"/>
    </xf>
    <xf numFmtId="3" fontId="14" fillId="0" borderId="40" xfId="0" applyNumberFormat="1" applyFont="1" applyFill="1" applyBorder="1" applyAlignment="1">
      <alignment horizontal="center" vertical="center"/>
    </xf>
    <xf numFmtId="3" fontId="13" fillId="0" borderId="82" xfId="14" applyNumberFormat="1" applyFont="1" applyFill="1" applyBorder="1" applyAlignment="1">
      <alignment horizontal="right" vertical="center"/>
    </xf>
    <xf numFmtId="3" fontId="13" fillId="0" borderId="82" xfId="9" applyNumberFormat="1" applyFont="1" applyFill="1" applyBorder="1" applyAlignment="1">
      <alignment horizontal="right" vertical="center" wrapText="1"/>
    </xf>
    <xf numFmtId="3" fontId="13" fillId="0" borderId="82" xfId="9" applyNumberFormat="1" applyFont="1" applyFill="1" applyBorder="1" applyAlignment="1">
      <alignment horizontal="right" vertical="center"/>
    </xf>
    <xf numFmtId="3" fontId="13" fillId="0" borderId="86" xfId="9" applyNumberFormat="1" applyFont="1" applyFill="1" applyBorder="1" applyAlignment="1">
      <alignment horizontal="right" vertical="center"/>
    </xf>
    <xf numFmtId="3" fontId="14" fillId="0" borderId="82" xfId="9" applyNumberFormat="1" applyFont="1" applyFill="1" applyBorder="1" applyAlignment="1">
      <alignment horizontal="right" vertical="center"/>
    </xf>
    <xf numFmtId="3" fontId="14" fillId="0" borderId="78" xfId="9" applyNumberFormat="1" applyFont="1" applyFill="1" applyBorder="1" applyAlignment="1">
      <alignment horizontal="right" vertical="center"/>
    </xf>
    <xf numFmtId="0" fontId="13" fillId="0" borderId="0" xfId="14" applyFont="1" applyFill="1"/>
    <xf numFmtId="0" fontId="20" fillId="0" borderId="0" xfId="0" applyFont="1" applyAlignment="1">
      <alignment wrapText="1"/>
    </xf>
    <xf numFmtId="0" fontId="20" fillId="0" borderId="0" xfId="0" applyFont="1"/>
    <xf numFmtId="0" fontId="14" fillId="0" borderId="14" xfId="0" applyFont="1" applyFill="1" applyBorder="1" applyAlignment="1">
      <alignment horizontal="center" vertical="center"/>
    </xf>
    <xf numFmtId="0" fontId="13" fillId="0" borderId="79" xfId="0" applyFont="1" applyFill="1" applyBorder="1" applyAlignment="1">
      <alignment vertical="center" wrapText="1"/>
    </xf>
    <xf numFmtId="3" fontId="13" fillId="0" borderId="77" xfId="0" applyNumberFormat="1" applyFont="1" applyFill="1" applyBorder="1" applyAlignment="1">
      <alignment horizontal="right" vertical="center"/>
    </xf>
    <xf numFmtId="3" fontId="13" fillId="0" borderId="82" xfId="0" applyNumberFormat="1" applyFont="1" applyFill="1" applyBorder="1" applyAlignment="1">
      <alignment horizontal="right" vertical="center"/>
    </xf>
    <xf numFmtId="3" fontId="13" fillId="0" borderId="78" xfId="0" applyNumberFormat="1" applyFont="1" applyFill="1" applyBorder="1" applyAlignment="1">
      <alignment horizontal="right" vertical="center"/>
    </xf>
    <xf numFmtId="49" fontId="7" fillId="0" borderId="0" xfId="0" applyNumberFormat="1" applyFont="1" applyFill="1" applyAlignment="1">
      <alignment vertical="center"/>
    </xf>
    <xf numFmtId="0" fontId="7" fillId="0" borderId="0" xfId="0" applyFont="1" applyFill="1" applyAlignment="1">
      <alignment vertical="center"/>
    </xf>
    <xf numFmtId="3" fontId="14" fillId="0" borderId="14" xfId="12" applyNumberFormat="1" applyFont="1" applyFill="1" applyBorder="1" applyAlignment="1">
      <alignment horizontal="center" vertical="center"/>
    </xf>
    <xf numFmtId="0" fontId="14" fillId="0" borderId="40" xfId="9" applyFont="1" applyFill="1" applyBorder="1" applyAlignment="1">
      <alignment horizontal="center" vertical="center" wrapText="1"/>
    </xf>
    <xf numFmtId="49" fontId="20" fillId="2" borderId="140" xfId="10" applyNumberFormat="1" applyFont="1" applyFill="1" applyBorder="1" applyAlignment="1">
      <alignment horizontal="left" vertical="center" wrapText="1"/>
    </xf>
    <xf numFmtId="3" fontId="20" fillId="0" borderId="84" xfId="10" applyNumberFormat="1" applyFont="1" applyBorder="1" applyAlignment="1">
      <alignment vertical="center"/>
    </xf>
    <xf numFmtId="3" fontId="20" fillId="0" borderId="138" xfId="10" applyNumberFormat="1" applyFont="1" applyBorder="1" applyAlignment="1">
      <alignment vertical="center"/>
    </xf>
    <xf numFmtId="49" fontId="20" fillId="2" borderId="140" xfId="10" applyNumberFormat="1" applyFont="1" applyFill="1" applyBorder="1" applyAlignment="1">
      <alignment vertical="center" wrapText="1"/>
    </xf>
    <xf numFmtId="3" fontId="13" fillId="0" borderId="84" xfId="9" applyNumberFormat="1" applyFont="1" applyBorder="1" applyAlignment="1">
      <alignment vertical="center" wrapText="1"/>
    </xf>
    <xf numFmtId="3" fontId="13" fillId="0" borderId="138" xfId="9" applyNumberFormat="1" applyFont="1" applyBorder="1" applyAlignment="1">
      <alignment vertical="center" wrapText="1"/>
    </xf>
    <xf numFmtId="3" fontId="13" fillId="0" borderId="77" xfId="14" applyNumberFormat="1" applyFont="1" applyBorder="1" applyAlignment="1">
      <alignment horizontal="right" vertical="center"/>
    </xf>
    <xf numFmtId="3" fontId="13" fillId="0" borderId="78" xfId="14" applyNumberFormat="1" applyFont="1" applyBorder="1" applyAlignment="1">
      <alignment horizontal="right" vertical="center"/>
    </xf>
    <xf numFmtId="3" fontId="13" fillId="0" borderId="82" xfId="14" applyNumberFormat="1" applyFont="1" applyBorder="1" applyAlignment="1">
      <alignment horizontal="right" vertical="center"/>
    </xf>
    <xf numFmtId="49" fontId="13" fillId="0" borderId="0" xfId="0" applyNumberFormat="1" applyFont="1" applyFill="1" applyAlignment="1">
      <alignment vertical="center"/>
    </xf>
    <xf numFmtId="0" fontId="14" fillId="0" borderId="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2" fillId="0" borderId="96" xfId="1" applyFont="1" applyFill="1" applyBorder="1" applyAlignment="1">
      <alignment horizontal="center" vertical="center"/>
    </xf>
    <xf numFmtId="0" fontId="2" fillId="0" borderId="1" xfId="1"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7" xfId="0" applyFont="1" applyFill="1" applyBorder="1" applyAlignment="1">
      <alignment horizontal="center" vertical="center" wrapText="1"/>
    </xf>
    <xf numFmtId="3" fontId="13" fillId="0" borderId="86" xfId="9" applyNumberFormat="1" applyFont="1" applyBorder="1" applyAlignment="1">
      <alignment horizontal="right" vertical="center" wrapText="1"/>
    </xf>
    <xf numFmtId="0" fontId="24" fillId="0" borderId="14" xfId="0" applyFont="1" applyFill="1" applyBorder="1" applyAlignment="1">
      <alignment horizontal="center"/>
    </xf>
    <xf numFmtId="0" fontId="14" fillId="0" borderId="42" xfId="0" applyFont="1" applyFill="1" applyBorder="1" applyAlignment="1">
      <alignment vertical="center" wrapText="1"/>
    </xf>
    <xf numFmtId="3" fontId="14" fillId="0" borderId="77" xfId="0" applyNumberFormat="1" applyFont="1" applyFill="1" applyBorder="1" applyAlignment="1">
      <alignment horizontal="right" vertical="center" wrapText="1"/>
    </xf>
    <xf numFmtId="3" fontId="14" fillId="0" borderId="76" xfId="0" applyNumberFormat="1" applyFont="1" applyFill="1" applyBorder="1" applyAlignment="1">
      <alignment horizontal="right" vertical="center" wrapText="1"/>
    </xf>
    <xf numFmtId="3" fontId="14" fillId="0" borderId="71" xfId="0" applyNumberFormat="1" applyFont="1" applyFill="1" applyBorder="1" applyAlignment="1">
      <alignment horizontal="right" vertical="center" wrapText="1"/>
    </xf>
    <xf numFmtId="3" fontId="14" fillId="0" borderId="67" xfId="0" applyNumberFormat="1" applyFont="1" applyFill="1" applyBorder="1" applyAlignment="1">
      <alignment horizontal="right" vertical="center" wrapText="1"/>
    </xf>
    <xf numFmtId="3" fontId="14" fillId="0" borderId="78" xfId="0" applyNumberFormat="1" applyFont="1" applyFill="1" applyBorder="1" applyAlignment="1">
      <alignment horizontal="right" vertical="center" wrapText="1"/>
    </xf>
    <xf numFmtId="0" fontId="14" fillId="0" borderId="0" xfId="0" applyFont="1" applyFill="1" applyAlignment="1">
      <alignment vertical="center"/>
    </xf>
    <xf numFmtId="0" fontId="13" fillId="0" borderId="42" xfId="0" applyFont="1" applyFill="1" applyBorder="1" applyAlignment="1">
      <alignment vertical="center"/>
    </xf>
    <xf numFmtId="3" fontId="13" fillId="0" borderId="77" xfId="0" applyNumberFormat="1" applyFont="1" applyFill="1" applyBorder="1" applyAlignment="1">
      <alignment horizontal="right" vertical="center" wrapText="1"/>
    </xf>
    <xf numFmtId="3" fontId="13" fillId="0" borderId="76" xfId="0" applyNumberFormat="1" applyFont="1" applyFill="1" applyBorder="1" applyAlignment="1">
      <alignment horizontal="right" vertical="center" wrapText="1"/>
    </xf>
    <xf numFmtId="3" fontId="13" fillId="0" borderId="78" xfId="0" applyNumberFormat="1" applyFont="1" applyFill="1" applyBorder="1" applyAlignment="1">
      <alignment horizontal="right" vertical="center" wrapText="1"/>
    </xf>
    <xf numFmtId="3" fontId="13" fillId="0" borderId="71" xfId="0" applyNumberFormat="1" applyFont="1" applyFill="1" applyBorder="1" applyAlignment="1">
      <alignment horizontal="right" vertical="center" wrapText="1"/>
    </xf>
    <xf numFmtId="3" fontId="13" fillId="0" borderId="67" xfId="0" applyNumberFormat="1" applyFont="1" applyFill="1" applyBorder="1" applyAlignment="1">
      <alignment horizontal="right" vertical="center" wrapText="1"/>
    </xf>
    <xf numFmtId="0" fontId="13" fillId="0" borderId="0" xfId="0" applyFont="1" applyFill="1" applyAlignment="1">
      <alignment vertical="center"/>
    </xf>
    <xf numFmtId="0" fontId="39" fillId="0" borderId="77" xfId="0" applyFont="1" applyFill="1" applyBorder="1"/>
    <xf numFmtId="49" fontId="39" fillId="0" borderId="82" xfId="0" applyNumberFormat="1" applyFont="1" applyFill="1" applyBorder="1"/>
    <xf numFmtId="0" fontId="38" fillId="0" borderId="82" xfId="0" applyFont="1" applyFill="1" applyBorder="1"/>
    <xf numFmtId="0" fontId="42" fillId="0" borderId="82" xfId="0" applyFont="1" applyFill="1" applyBorder="1" applyAlignment="1">
      <alignment horizontal="center"/>
    </xf>
    <xf numFmtId="3" fontId="38" fillId="0" borderId="82" xfId="0" applyNumberFormat="1" applyFont="1" applyFill="1" applyBorder="1"/>
    <xf numFmtId="3" fontId="42" fillId="0" borderId="82" xfId="0" applyNumberFormat="1" applyFont="1" applyFill="1" applyBorder="1"/>
    <xf numFmtId="3" fontId="39" fillId="0" borderId="82" xfId="0" applyNumberFormat="1" applyFont="1" applyFill="1" applyBorder="1"/>
    <xf numFmtId="3" fontId="39" fillId="0" borderId="78" xfId="0" applyNumberFormat="1" applyFont="1" applyFill="1" applyBorder="1"/>
    <xf numFmtId="0" fontId="42" fillId="0" borderId="0" xfId="0" applyFont="1" applyFill="1"/>
    <xf numFmtId="0" fontId="42" fillId="0" borderId="77" xfId="0" applyFont="1" applyFill="1" applyBorder="1"/>
    <xf numFmtId="49" fontId="42" fillId="0" borderId="82" xfId="0" applyNumberFormat="1" applyFont="1" applyFill="1" applyBorder="1"/>
    <xf numFmtId="0" fontId="42" fillId="0" borderId="82" xfId="0" applyFont="1" applyFill="1" applyBorder="1"/>
    <xf numFmtId="3" fontId="38" fillId="0" borderId="82" xfId="0" applyNumberFormat="1" applyFont="1" applyFill="1" applyBorder="1" applyAlignment="1">
      <alignment horizontal="center"/>
    </xf>
    <xf numFmtId="3" fontId="42" fillId="0" borderId="78" xfId="0" applyNumberFormat="1" applyFont="1" applyFill="1" applyBorder="1"/>
    <xf numFmtId="0" fontId="40" fillId="0" borderId="77" xfId="0" applyFont="1" applyFill="1" applyBorder="1"/>
    <xf numFmtId="49" fontId="42" fillId="0" borderId="82" xfId="0" applyNumberFormat="1" applyFont="1" applyFill="1" applyBorder="1" applyAlignment="1">
      <alignment vertical="center" wrapText="1"/>
    </xf>
    <xf numFmtId="0" fontId="44" fillId="0" borderId="82" xfId="0" applyFont="1" applyFill="1" applyBorder="1" applyAlignment="1">
      <alignment horizontal="center" vertical="center" wrapText="1"/>
    </xf>
    <xf numFmtId="3" fontId="21" fillId="2" borderId="21" xfId="5" applyNumberFormat="1" applyFont="1" applyFill="1" applyBorder="1" applyAlignment="1">
      <alignment vertical="center"/>
    </xf>
    <xf numFmtId="3" fontId="20" fillId="2" borderId="11" xfId="5" applyNumberFormat="1" applyFont="1" applyFill="1" applyBorder="1" applyAlignment="1">
      <alignment horizontal="right" vertical="center"/>
    </xf>
    <xf numFmtId="3" fontId="20" fillId="2" borderId="57" xfId="5" applyNumberFormat="1" applyFont="1" applyFill="1" applyBorder="1" applyAlignment="1">
      <alignment horizontal="right" vertical="center"/>
    </xf>
    <xf numFmtId="3" fontId="20" fillId="2" borderId="1" xfId="5" applyNumberFormat="1" applyFont="1" applyFill="1" applyBorder="1" applyAlignment="1">
      <alignment horizontal="right" vertical="center"/>
    </xf>
    <xf numFmtId="0" fontId="20" fillId="2" borderId="1" xfId="5" applyFont="1" applyFill="1" applyBorder="1" applyAlignment="1">
      <alignment vertical="center"/>
    </xf>
    <xf numFmtId="0" fontId="20" fillId="2" borderId="96" xfId="5" applyFont="1" applyFill="1" applyBorder="1" applyAlignment="1">
      <alignment vertical="center"/>
    </xf>
    <xf numFmtId="0" fontId="42" fillId="0" borderId="122" xfId="0" applyFont="1" applyFill="1" applyBorder="1"/>
    <xf numFmtId="49" fontId="42" fillId="0" borderId="123" xfId="0" applyNumberFormat="1" applyFont="1" applyFill="1" applyBorder="1"/>
    <xf numFmtId="0" fontId="42" fillId="0" borderId="123" xfId="0" applyFont="1" applyFill="1" applyBorder="1"/>
    <xf numFmtId="0" fontId="42" fillId="0" borderId="123" xfId="0" applyFont="1" applyFill="1" applyBorder="1" applyAlignment="1">
      <alignment horizontal="center"/>
    </xf>
    <xf numFmtId="3" fontId="38" fillId="0" borderId="123" xfId="0" applyNumberFormat="1" applyFont="1" applyFill="1" applyBorder="1" applyAlignment="1">
      <alignment horizontal="center"/>
    </xf>
    <xf numFmtId="3" fontId="42" fillId="0" borderId="123" xfId="0" applyNumberFormat="1" applyFont="1" applyFill="1" applyBorder="1"/>
    <xf numFmtId="3" fontId="42" fillId="0" borderId="138" xfId="0" applyNumberFormat="1" applyFont="1" applyFill="1" applyBorder="1"/>
    <xf numFmtId="0" fontId="14" fillId="0" borderId="12" xfId="14" applyFont="1" applyBorder="1" applyAlignment="1">
      <alignment horizontal="right" vertical="center"/>
    </xf>
    <xf numFmtId="3" fontId="4" fillId="2" borderId="76" xfId="1" applyNumberFormat="1" applyFont="1" applyFill="1" applyBorder="1" applyAlignment="1">
      <alignment vertical="center"/>
    </xf>
    <xf numFmtId="3" fontId="13" fillId="0" borderId="123" xfId="14" applyNumberFormat="1" applyFont="1" applyBorder="1" applyAlignment="1">
      <alignment horizontal="right" vertical="center"/>
    </xf>
    <xf numFmtId="3" fontId="14" fillId="0" borderId="118" xfId="14" applyNumberFormat="1" applyFont="1" applyBorder="1" applyAlignment="1">
      <alignment horizontal="center" vertical="center" wrapText="1"/>
    </xf>
    <xf numFmtId="3" fontId="14" fillId="0" borderId="99" xfId="14" applyNumberFormat="1" applyFont="1" applyBorder="1" applyAlignment="1">
      <alignment horizontal="center" vertical="center" wrapText="1"/>
    </xf>
    <xf numFmtId="3" fontId="14" fillId="0" borderId="117" xfId="14" applyNumberFormat="1" applyFont="1" applyBorder="1" applyAlignment="1">
      <alignment horizontal="center" vertical="center" wrapText="1"/>
    </xf>
    <xf numFmtId="0" fontId="14" fillId="0" borderId="0" xfId="14" applyFont="1" applyBorder="1" applyAlignment="1">
      <alignment horizontal="left" vertical="center"/>
    </xf>
    <xf numFmtId="3" fontId="14" fillId="0" borderId="0" xfId="14" applyNumberFormat="1" applyFont="1" applyBorder="1" applyAlignment="1">
      <alignment horizontal="right" vertical="center"/>
    </xf>
    <xf numFmtId="3" fontId="14" fillId="0" borderId="82" xfId="14" applyNumberFormat="1" applyFont="1" applyBorder="1" applyAlignment="1">
      <alignment horizontal="right" vertical="center"/>
    </xf>
    <xf numFmtId="3" fontId="14" fillId="0" borderId="69" xfId="14" applyNumberFormat="1" applyFont="1" applyBorder="1" applyAlignment="1">
      <alignment horizontal="right" vertical="center"/>
    </xf>
    <xf numFmtId="3" fontId="14" fillId="0" borderId="123" xfId="14" applyNumberFormat="1" applyFont="1" applyBorder="1" applyAlignment="1">
      <alignment horizontal="right" vertical="center"/>
    </xf>
    <xf numFmtId="0" fontId="14" fillId="0" borderId="66" xfId="14" applyFont="1" applyBorder="1" applyAlignment="1">
      <alignment horizontal="left" vertical="center"/>
    </xf>
    <xf numFmtId="0" fontId="14" fillId="0" borderId="86" xfId="14" applyFont="1" applyBorder="1" applyAlignment="1">
      <alignment horizontal="left" vertical="center"/>
    </xf>
    <xf numFmtId="0" fontId="14" fillId="0" borderId="85" xfId="14" applyFont="1" applyBorder="1" applyAlignment="1">
      <alignment horizontal="left" vertical="center"/>
    </xf>
    <xf numFmtId="3" fontId="13" fillId="0" borderId="138" xfId="14" applyNumberFormat="1" applyFont="1" applyBorder="1" applyAlignment="1">
      <alignment horizontal="right" vertical="center"/>
    </xf>
    <xf numFmtId="3" fontId="14" fillId="0" borderId="68" xfId="14" applyNumberFormat="1" applyFont="1" applyBorder="1" applyAlignment="1">
      <alignment horizontal="right" vertical="center"/>
    </xf>
    <xf numFmtId="3" fontId="14" fillId="0" borderId="72" xfId="14" applyNumberFormat="1" applyFont="1" applyBorder="1" applyAlignment="1">
      <alignment horizontal="right" vertical="center"/>
    </xf>
    <xf numFmtId="3" fontId="14" fillId="0" borderId="77" xfId="14" applyNumberFormat="1" applyFont="1" applyBorder="1" applyAlignment="1">
      <alignment horizontal="right" vertical="center"/>
    </xf>
    <xf numFmtId="3" fontId="14" fillId="0" borderId="78" xfId="14" applyNumberFormat="1" applyFont="1" applyBorder="1" applyAlignment="1">
      <alignment horizontal="right" vertical="center"/>
    </xf>
    <xf numFmtId="3" fontId="14" fillId="0" borderId="122" xfId="14" applyNumberFormat="1" applyFont="1" applyBorder="1" applyAlignment="1">
      <alignment horizontal="right" vertical="center"/>
    </xf>
    <xf numFmtId="3" fontId="14" fillId="0" borderId="138" xfId="14" applyNumberFormat="1" applyFont="1" applyBorder="1" applyAlignment="1">
      <alignment horizontal="right" vertical="center"/>
    </xf>
    <xf numFmtId="0" fontId="14" fillId="0" borderId="65" xfId="14" applyFont="1" applyBorder="1" applyAlignment="1">
      <alignment horizontal="left" vertical="center"/>
    </xf>
    <xf numFmtId="0" fontId="14" fillId="0" borderId="130" xfId="14" applyFont="1" applyBorder="1" applyAlignment="1">
      <alignment horizontal="left" vertical="center"/>
    </xf>
    <xf numFmtId="0" fontId="14" fillId="0" borderId="141" xfId="14" applyFont="1" applyBorder="1" applyAlignment="1">
      <alignment horizontal="left" vertical="center"/>
    </xf>
    <xf numFmtId="3" fontId="14" fillId="0" borderId="8" xfId="14" applyNumberFormat="1" applyFont="1" applyBorder="1" applyAlignment="1">
      <alignment horizontal="left" vertical="center"/>
    </xf>
    <xf numFmtId="3" fontId="14" fillId="0" borderId="26" xfId="14" applyNumberFormat="1" applyFont="1" applyBorder="1" applyAlignment="1">
      <alignment horizontal="center" vertical="center" wrapText="1"/>
    </xf>
    <xf numFmtId="3" fontId="13" fillId="0" borderId="132" xfId="9" applyNumberFormat="1" applyFont="1" applyBorder="1" applyAlignment="1">
      <alignment horizontal="right" vertical="center" wrapText="1"/>
    </xf>
    <xf numFmtId="3" fontId="14" fillId="0" borderId="15" xfId="14" applyNumberFormat="1" applyFont="1" applyBorder="1" applyAlignment="1">
      <alignment horizontal="right" vertical="center"/>
    </xf>
    <xf numFmtId="3" fontId="14" fillId="0" borderId="70" xfId="14" applyNumberFormat="1" applyFont="1" applyBorder="1" applyAlignment="1">
      <alignment horizontal="right" vertical="center"/>
    </xf>
    <xf numFmtId="3" fontId="14" fillId="0" borderId="71" xfId="14" applyNumberFormat="1" applyFont="1" applyBorder="1" applyAlignment="1">
      <alignment horizontal="right" vertical="center"/>
    </xf>
    <xf numFmtId="3" fontId="14" fillId="0" borderId="132" xfId="14" applyNumberFormat="1" applyFont="1" applyBorder="1" applyAlignment="1">
      <alignment horizontal="right" vertical="center"/>
    </xf>
    <xf numFmtId="3" fontId="13" fillId="0" borderId="139" xfId="9" applyNumberFormat="1" applyFont="1" applyBorder="1" applyAlignment="1">
      <alignment horizontal="right" vertical="center" wrapText="1"/>
    </xf>
    <xf numFmtId="3" fontId="14" fillId="0" borderId="137" xfId="14" applyNumberFormat="1" applyFont="1" applyFill="1" applyBorder="1" applyAlignment="1">
      <alignment horizontal="center" vertical="center" wrapText="1"/>
    </xf>
    <xf numFmtId="3" fontId="14" fillId="0" borderId="66" xfId="14" applyNumberFormat="1" applyFont="1" applyBorder="1" applyAlignment="1">
      <alignment horizontal="right" vertical="center"/>
    </xf>
    <xf numFmtId="3" fontId="14" fillId="0" borderId="86" xfId="14" applyNumberFormat="1" applyFont="1" applyBorder="1" applyAlignment="1">
      <alignment horizontal="right" vertical="center"/>
    </xf>
    <xf numFmtId="3" fontId="14" fillId="0" borderId="85" xfId="14" applyNumberFormat="1" applyFont="1" applyBorder="1" applyAlignment="1">
      <alignment horizontal="right" vertical="center"/>
    </xf>
    <xf numFmtId="3" fontId="14" fillId="0" borderId="132" xfId="14" applyNumberFormat="1" applyFont="1" applyBorder="1" applyAlignment="1">
      <alignment horizontal="center" vertical="center" wrapText="1"/>
    </xf>
    <xf numFmtId="3" fontId="14" fillId="0" borderId="116" xfId="14" applyNumberFormat="1" applyFont="1" applyBorder="1" applyAlignment="1">
      <alignment horizontal="center" vertical="center" wrapText="1"/>
    </xf>
    <xf numFmtId="3" fontId="13" fillId="0" borderId="132" xfId="9" applyNumberFormat="1" applyFont="1" applyBorder="1" applyAlignment="1">
      <alignment horizontal="right" vertical="center"/>
    </xf>
    <xf numFmtId="3" fontId="13" fillId="0" borderId="139" xfId="9" applyNumberFormat="1" applyFont="1" applyBorder="1" applyAlignment="1">
      <alignment horizontal="right" vertical="center"/>
    </xf>
    <xf numFmtId="3" fontId="13" fillId="0" borderId="1" xfId="9" applyNumberFormat="1" applyFont="1" applyBorder="1" applyAlignment="1">
      <alignment horizontal="right" vertical="center"/>
    </xf>
    <xf numFmtId="0" fontId="13" fillId="2" borderId="79" xfId="0" applyFont="1" applyFill="1" applyBorder="1" applyAlignment="1">
      <alignment vertical="center"/>
    </xf>
    <xf numFmtId="3" fontId="13" fillId="2" borderId="77" xfId="0" applyNumberFormat="1" applyFont="1" applyFill="1" applyBorder="1" applyAlignment="1">
      <alignment vertical="center"/>
    </xf>
    <xf numFmtId="3" fontId="13" fillId="2" borderId="82" xfId="0" applyNumberFormat="1" applyFont="1" applyFill="1" applyBorder="1" applyAlignment="1">
      <alignment vertical="center"/>
    </xf>
    <xf numFmtId="3" fontId="13" fillId="2" borderId="78" xfId="0" applyNumberFormat="1" applyFont="1" applyFill="1" applyBorder="1" applyAlignment="1">
      <alignment vertical="center"/>
    </xf>
    <xf numFmtId="49" fontId="14" fillId="2" borderId="0" xfId="9" applyNumberFormat="1" applyFont="1" applyFill="1" applyAlignment="1">
      <alignment vertical="center"/>
    </xf>
    <xf numFmtId="0" fontId="14" fillId="2" borderId="0" xfId="9" applyFont="1" applyFill="1" applyAlignment="1">
      <alignment vertical="center"/>
    </xf>
    <xf numFmtId="0" fontId="14" fillId="2" borderId="124" xfId="0" applyFont="1" applyFill="1" applyBorder="1" applyAlignment="1">
      <alignment horizontal="center" vertical="center" wrapText="1"/>
    </xf>
    <xf numFmtId="0" fontId="28" fillId="2" borderId="41" xfId="0" applyFont="1" applyFill="1" applyBorder="1" applyAlignment="1">
      <alignment vertical="center" wrapText="1"/>
    </xf>
    <xf numFmtId="0" fontId="29" fillId="2" borderId="41" xfId="0" applyFont="1" applyFill="1" applyBorder="1" applyAlignment="1">
      <alignment vertical="center" wrapText="1"/>
    </xf>
    <xf numFmtId="3" fontId="11" fillId="0" borderId="66" xfId="13" applyNumberFormat="1" applyFont="1" applyBorder="1" applyAlignment="1">
      <alignment horizontal="right"/>
    </xf>
    <xf numFmtId="3" fontId="13" fillId="0" borderId="86" xfId="13" applyNumberFormat="1" applyFont="1" applyBorder="1" applyAlignment="1">
      <alignment horizontal="right"/>
    </xf>
    <xf numFmtId="3" fontId="11" fillId="0" borderId="86" xfId="13" applyNumberFormat="1" applyFont="1" applyBorder="1" applyAlignment="1">
      <alignment horizontal="right"/>
    </xf>
    <xf numFmtId="3" fontId="13" fillId="0" borderId="85" xfId="13" applyNumberFormat="1" applyFont="1" applyBorder="1" applyAlignment="1">
      <alignment horizontal="right"/>
    </xf>
    <xf numFmtId="0" fontId="7" fillId="0" borderId="86" xfId="0" applyFont="1" applyBorder="1"/>
    <xf numFmtId="0" fontId="7" fillId="0" borderId="137" xfId="0" applyFont="1" applyBorder="1"/>
    <xf numFmtId="3" fontId="7" fillId="0" borderId="77" xfId="0" applyNumberFormat="1" applyFont="1" applyBorder="1"/>
    <xf numFmtId="3" fontId="7" fillId="0" borderId="78" xfId="0" applyNumberFormat="1" applyFont="1" applyBorder="1"/>
    <xf numFmtId="3" fontId="7" fillId="0" borderId="11" xfId="0" applyNumberFormat="1" applyFont="1" applyBorder="1"/>
    <xf numFmtId="3" fontId="7" fillId="0" borderId="1" xfId="0" applyNumberFormat="1" applyFont="1" applyBorder="1"/>
    <xf numFmtId="3" fontId="11" fillId="0" borderId="68" xfId="13" applyNumberFormat="1" applyFont="1" applyBorder="1" applyAlignment="1">
      <alignment horizontal="right"/>
    </xf>
    <xf numFmtId="0" fontId="14" fillId="0" borderId="11" xfId="0" applyFont="1" applyBorder="1" applyAlignment="1">
      <alignment horizontal="center" vertical="center" wrapText="1"/>
    </xf>
    <xf numFmtId="3" fontId="13" fillId="0" borderId="77" xfId="14" applyNumberFormat="1" applyFont="1" applyBorder="1" applyAlignment="1">
      <alignment horizontal="right" vertical="center"/>
    </xf>
    <xf numFmtId="3" fontId="13" fillId="0" borderId="78" xfId="14" applyNumberFormat="1" applyFont="1" applyBorder="1" applyAlignment="1">
      <alignment horizontal="right" vertical="center"/>
    </xf>
    <xf numFmtId="3" fontId="13" fillId="0" borderId="82" xfId="14" applyNumberFormat="1" applyFont="1" applyBorder="1" applyAlignment="1">
      <alignment horizontal="right" vertical="center"/>
    </xf>
    <xf numFmtId="3" fontId="13" fillId="0" borderId="123" xfId="14" applyNumberFormat="1" applyFont="1" applyBorder="1" applyAlignment="1">
      <alignment horizontal="right" vertical="center"/>
    </xf>
    <xf numFmtId="3" fontId="14" fillId="0" borderId="136" xfId="14" applyNumberFormat="1" applyFont="1" applyBorder="1" applyAlignment="1">
      <alignment horizontal="center" vertical="center" wrapText="1"/>
    </xf>
    <xf numFmtId="3" fontId="14" fillId="0" borderId="57" xfId="14" applyNumberFormat="1" applyFont="1" applyBorder="1" applyAlignment="1">
      <alignment horizontal="center" vertical="center" wrapText="1"/>
    </xf>
    <xf numFmtId="3" fontId="14" fillId="0" borderId="118" xfId="14" applyNumberFormat="1" applyFont="1" applyBorder="1" applyAlignment="1">
      <alignment horizontal="center" vertical="center" wrapText="1"/>
    </xf>
    <xf numFmtId="3" fontId="14" fillId="0" borderId="99" xfId="14" applyNumberFormat="1" applyFont="1" applyBorder="1" applyAlignment="1">
      <alignment horizontal="center" vertical="center" wrapText="1"/>
    </xf>
    <xf numFmtId="0" fontId="14" fillId="2" borderId="1" xfId="13" applyFont="1" applyFill="1" applyBorder="1" applyAlignment="1">
      <alignment horizontal="center" vertical="center" wrapText="1"/>
    </xf>
    <xf numFmtId="0" fontId="14" fillId="2" borderId="11" xfId="13" applyFont="1" applyFill="1" applyBorder="1" applyAlignment="1">
      <alignment horizontal="center" vertical="center" wrapText="1"/>
    </xf>
    <xf numFmtId="0" fontId="14" fillId="2" borderId="57" xfId="13" applyFont="1" applyFill="1" applyBorder="1" applyAlignment="1">
      <alignment horizontal="center" vertical="center" wrapText="1"/>
    </xf>
    <xf numFmtId="0" fontId="14" fillId="2" borderId="137" xfId="13" applyFont="1" applyFill="1" applyBorder="1" applyAlignment="1">
      <alignment horizontal="center" vertical="center" wrapText="1"/>
    </xf>
    <xf numFmtId="0" fontId="14" fillId="2" borderId="139" xfId="13" applyFont="1" applyFill="1" applyBorder="1" applyAlignment="1">
      <alignment horizontal="center" vertical="center" wrapText="1"/>
    </xf>
    <xf numFmtId="3" fontId="17" fillId="0" borderId="68" xfId="13" applyNumberFormat="1" applyFont="1" applyBorder="1" applyAlignment="1">
      <alignment horizontal="right"/>
    </xf>
    <xf numFmtId="3" fontId="14" fillId="0" borderId="77" xfId="13" applyNumberFormat="1" applyFont="1" applyBorder="1" applyAlignment="1">
      <alignment horizontal="right"/>
    </xf>
    <xf numFmtId="3" fontId="17" fillId="0" borderId="77" xfId="13" applyNumberFormat="1" applyFont="1" applyBorder="1" applyAlignment="1">
      <alignment horizontal="right"/>
    </xf>
    <xf numFmtId="3" fontId="14" fillId="0" borderId="122" xfId="13" applyNumberFormat="1" applyFont="1" applyBorder="1" applyAlignment="1">
      <alignment horizontal="right"/>
    </xf>
    <xf numFmtId="0" fontId="7" fillId="0" borderId="139" xfId="0" applyFont="1" applyBorder="1"/>
    <xf numFmtId="3" fontId="17" fillId="0" borderId="20" xfId="13" applyNumberFormat="1" applyFont="1" applyBorder="1" applyAlignment="1">
      <alignment horizontal="right"/>
    </xf>
    <xf numFmtId="0" fontId="29" fillId="2" borderId="0" xfId="0" applyFont="1" applyFill="1" applyAlignment="1">
      <alignment vertical="center"/>
    </xf>
    <xf numFmtId="0" fontId="28" fillId="2" borderId="128" xfId="0" applyFont="1" applyFill="1" applyBorder="1" applyAlignment="1">
      <alignment vertical="center" wrapText="1"/>
    </xf>
    <xf numFmtId="0" fontId="28" fillId="2" borderId="62" xfId="0" applyFont="1" applyFill="1" applyBorder="1" applyAlignment="1">
      <alignment vertical="center" wrapText="1"/>
    </xf>
    <xf numFmtId="0" fontId="29" fillId="2" borderId="128" xfId="0" applyFont="1" applyFill="1" applyBorder="1" applyAlignment="1">
      <alignment vertical="center" wrapText="1"/>
    </xf>
    <xf numFmtId="0" fontId="29" fillId="2" borderId="62" xfId="0" applyFont="1" applyFill="1" applyBorder="1" applyAlignment="1">
      <alignment vertical="center" wrapText="1"/>
    </xf>
    <xf numFmtId="0" fontId="28" fillId="2" borderId="21" xfId="0" applyFont="1" applyFill="1" applyBorder="1" applyAlignment="1">
      <alignment vertical="center" wrapText="1"/>
    </xf>
    <xf numFmtId="0" fontId="7" fillId="2" borderId="0" xfId="0" applyFont="1" applyFill="1" applyAlignment="1">
      <alignment vertical="center"/>
    </xf>
    <xf numFmtId="3" fontId="14" fillId="2" borderId="60" xfId="14" applyNumberFormat="1" applyFont="1" applyFill="1" applyBorder="1" applyAlignment="1">
      <alignment horizontal="center" vertical="center" wrapText="1"/>
    </xf>
    <xf numFmtId="3" fontId="14" fillId="2" borderId="12" xfId="14" applyNumberFormat="1" applyFont="1" applyFill="1" applyBorder="1" applyAlignment="1">
      <alignment horizontal="center" vertical="center" wrapText="1"/>
    </xf>
    <xf numFmtId="3" fontId="14" fillId="2" borderId="13" xfId="14" applyNumberFormat="1" applyFont="1" applyFill="1" applyBorder="1" applyAlignment="1">
      <alignment horizontal="center" vertical="center" wrapText="1"/>
    </xf>
    <xf numFmtId="3" fontId="14" fillId="2" borderId="14" xfId="14" applyNumberFormat="1" applyFont="1" applyFill="1" applyBorder="1" applyAlignment="1">
      <alignment horizontal="center" vertical="center" wrapText="1"/>
    </xf>
    <xf numFmtId="3" fontId="14" fillId="2" borderId="15" xfId="14" applyNumberFormat="1" applyFont="1" applyFill="1" applyBorder="1" applyAlignment="1">
      <alignment horizontal="center" vertical="center" wrapText="1"/>
    </xf>
    <xf numFmtId="3" fontId="14" fillId="2" borderId="134" xfId="14" applyNumberFormat="1" applyFont="1" applyFill="1" applyBorder="1" applyAlignment="1">
      <alignment horizontal="center" vertical="center" wrapText="1"/>
    </xf>
    <xf numFmtId="3" fontId="14" fillId="2" borderId="127" xfId="14" applyNumberFormat="1" applyFont="1" applyFill="1" applyBorder="1" applyAlignment="1">
      <alignment horizontal="center" vertical="center" wrapText="1"/>
    </xf>
    <xf numFmtId="3" fontId="14" fillId="2" borderId="40" xfId="14" applyNumberFormat="1" applyFont="1" applyFill="1" applyBorder="1" applyAlignment="1">
      <alignment horizontal="center" vertical="center" wrapText="1"/>
    </xf>
    <xf numFmtId="0" fontId="14" fillId="0" borderId="142" xfId="14" applyFont="1" applyBorder="1" applyAlignment="1">
      <alignment horizontal="left" vertical="center"/>
    </xf>
    <xf numFmtId="0" fontId="14" fillId="2" borderId="79" xfId="9" applyFont="1" applyFill="1" applyBorder="1" applyAlignment="1">
      <alignment vertical="center"/>
    </xf>
    <xf numFmtId="0" fontId="14" fillId="0" borderId="79" xfId="9" applyFont="1" applyFill="1" applyBorder="1" applyAlignment="1">
      <alignment vertical="center"/>
    </xf>
    <xf numFmtId="0" fontId="14" fillId="2" borderId="140" xfId="9" applyFont="1" applyFill="1" applyBorder="1" applyAlignment="1">
      <alignment vertical="center"/>
    </xf>
    <xf numFmtId="3" fontId="13" fillId="0" borderId="77" xfId="14" applyNumberFormat="1" applyFont="1" applyFill="1" applyBorder="1" applyAlignment="1">
      <alignment horizontal="right" vertical="center"/>
    </xf>
    <xf numFmtId="3" fontId="13" fillId="0" borderId="78" xfId="14" applyNumberFormat="1" applyFont="1" applyFill="1" applyBorder="1" applyAlignment="1">
      <alignment horizontal="right" vertical="center"/>
    </xf>
    <xf numFmtId="0" fontId="14" fillId="0" borderId="65" xfId="14" applyFont="1" applyBorder="1" applyAlignment="1">
      <alignment horizontal="center" vertical="center"/>
    </xf>
    <xf numFmtId="0" fontId="13" fillId="2" borderId="130" xfId="9" applyFont="1" applyFill="1" applyBorder="1" applyAlignment="1">
      <alignment vertical="center"/>
    </xf>
    <xf numFmtId="0" fontId="13" fillId="0" borderId="130" xfId="9" applyFont="1" applyFill="1" applyBorder="1" applyAlignment="1">
      <alignment vertical="center"/>
    </xf>
    <xf numFmtId="0" fontId="13" fillId="2" borderId="141" xfId="9" applyFont="1" applyFill="1" applyBorder="1" applyAlignment="1">
      <alignment vertical="center"/>
    </xf>
    <xf numFmtId="3" fontId="13" fillId="0" borderId="71" xfId="9" applyNumberFormat="1" applyFont="1" applyBorder="1" applyAlignment="1">
      <alignment horizontal="right" vertical="center" wrapText="1"/>
    </xf>
    <xf numFmtId="3" fontId="13" fillId="0" borderId="71" xfId="9" applyNumberFormat="1" applyFont="1" applyFill="1" applyBorder="1" applyAlignment="1">
      <alignment horizontal="right" vertical="center" wrapText="1"/>
    </xf>
    <xf numFmtId="3" fontId="14" fillId="0" borderId="68" xfId="14" applyNumberFormat="1" applyFont="1" applyBorder="1" applyAlignment="1">
      <alignment horizontal="center" vertical="center" wrapText="1"/>
    </xf>
    <xf numFmtId="3" fontId="13" fillId="0" borderId="78" xfId="9" applyNumberFormat="1" applyFont="1" applyBorder="1" applyAlignment="1">
      <alignment horizontal="right" vertical="center" wrapText="1"/>
    </xf>
    <xf numFmtId="3" fontId="13" fillId="0" borderId="77" xfId="9" applyNumberFormat="1" applyFont="1" applyFill="1" applyBorder="1" applyAlignment="1">
      <alignment horizontal="right" vertical="center" wrapText="1"/>
    </xf>
    <xf numFmtId="3" fontId="13" fillId="0" borderId="78" xfId="9" applyNumberFormat="1" applyFont="1" applyFill="1" applyBorder="1" applyAlignment="1">
      <alignment horizontal="right" vertical="center" wrapText="1"/>
    </xf>
    <xf numFmtId="3" fontId="13" fillId="0" borderId="122" xfId="9" applyNumberFormat="1" applyFont="1" applyBorder="1" applyAlignment="1">
      <alignment horizontal="right" vertical="center" wrapText="1"/>
    </xf>
    <xf numFmtId="3" fontId="13" fillId="0" borderId="138" xfId="9" applyNumberFormat="1" applyFont="1" applyBorder="1" applyAlignment="1">
      <alignment horizontal="right" vertical="center" wrapText="1"/>
    </xf>
    <xf numFmtId="3" fontId="13" fillId="0" borderId="86" xfId="9" applyNumberFormat="1" applyFont="1" applyFill="1" applyBorder="1" applyAlignment="1">
      <alignment horizontal="right" vertical="center" wrapText="1"/>
    </xf>
    <xf numFmtId="3" fontId="13" fillId="0" borderId="71" xfId="9" applyNumberFormat="1" applyFont="1" applyBorder="1" applyAlignment="1">
      <alignment horizontal="right" vertical="center"/>
    </xf>
    <xf numFmtId="3" fontId="13" fillId="0" borderId="71" xfId="9" applyNumberFormat="1" applyFont="1" applyFill="1" applyBorder="1" applyAlignment="1">
      <alignment horizontal="right" vertical="center"/>
    </xf>
    <xf numFmtId="3" fontId="13" fillId="0" borderId="77" xfId="9" applyNumberFormat="1" applyFont="1" applyFill="1" applyBorder="1" applyAlignment="1">
      <alignment horizontal="right" vertical="center"/>
    </xf>
    <xf numFmtId="3" fontId="13" fillId="0" borderId="78" xfId="9" applyNumberFormat="1" applyFont="1" applyFill="1" applyBorder="1" applyAlignment="1">
      <alignment horizontal="right" vertical="center"/>
    </xf>
    <xf numFmtId="3" fontId="13" fillId="0" borderId="138" xfId="9" applyNumberFormat="1" applyFont="1" applyBorder="1" applyAlignment="1">
      <alignment horizontal="right" vertical="center"/>
    </xf>
    <xf numFmtId="3" fontId="14" fillId="0" borderId="77" xfId="9" applyNumberFormat="1" applyFont="1" applyFill="1" applyBorder="1" applyAlignment="1">
      <alignment horizontal="right" vertical="center"/>
    </xf>
    <xf numFmtId="3" fontId="14" fillId="0" borderId="122" xfId="9" applyNumberFormat="1" applyFont="1" applyBorder="1" applyAlignment="1">
      <alignment horizontal="right" vertical="center"/>
    </xf>
    <xf numFmtId="3" fontId="14" fillId="0" borderId="12" xfId="9" applyNumberFormat="1" applyFont="1" applyBorder="1" applyAlignment="1">
      <alignment horizontal="right" vertical="center"/>
    </xf>
    <xf numFmtId="0" fontId="2" fillId="0" borderId="122" xfId="1" applyFont="1" applyBorder="1" applyAlignment="1">
      <alignment horizontal="center" vertical="center" wrapText="1"/>
    </xf>
    <xf numFmtId="0" fontId="2" fillId="0" borderId="123" xfId="1" applyFont="1" applyBorder="1" applyAlignment="1">
      <alignment horizontal="center" vertical="center"/>
    </xf>
    <xf numFmtId="0" fontId="2" fillId="0" borderId="132" xfId="1" applyFont="1" applyBorder="1" applyAlignment="1">
      <alignment horizontal="center" vertical="center"/>
    </xf>
    <xf numFmtId="3" fontId="2" fillId="0" borderId="82" xfId="1" applyNumberFormat="1" applyFont="1" applyBorder="1" applyAlignment="1">
      <alignment vertical="center"/>
    </xf>
    <xf numFmtId="3" fontId="4" fillId="0" borderId="82" xfId="1" applyNumberFormat="1" applyFont="1" applyBorder="1" applyAlignment="1">
      <alignment vertical="center"/>
    </xf>
    <xf numFmtId="3" fontId="5" fillId="0" borderId="82" xfId="1" applyNumberFormat="1" applyFont="1" applyBorder="1" applyAlignment="1">
      <alignment vertical="center"/>
    </xf>
    <xf numFmtId="3" fontId="10" fillId="0" borderId="82" xfId="1" applyNumberFormat="1" applyFont="1" applyBorder="1" applyAlignment="1">
      <alignment vertical="center"/>
    </xf>
    <xf numFmtId="49" fontId="2" fillId="0" borderId="99" xfId="1" applyNumberFormat="1" applyFont="1" applyBorder="1" applyAlignment="1">
      <alignment vertical="center" wrapText="1"/>
    </xf>
    <xf numFmtId="3" fontId="2" fillId="0" borderId="136" xfId="1" applyNumberFormat="1" applyFont="1" applyBorder="1" applyAlignment="1">
      <alignment vertical="center"/>
    </xf>
    <xf numFmtId="3" fontId="2" fillId="0" borderId="118" xfId="1" applyNumberFormat="1" applyFont="1" applyBorder="1" applyAlignment="1">
      <alignment vertical="center"/>
    </xf>
    <xf numFmtId="49" fontId="10" fillId="0" borderId="122" xfId="1" applyNumberFormat="1" applyFont="1" applyBorder="1" applyAlignment="1">
      <alignment vertical="center" wrapText="1"/>
    </xf>
    <xf numFmtId="3" fontId="10" fillId="0" borderId="123" xfId="1" applyNumberFormat="1" applyFont="1" applyBorder="1" applyAlignment="1">
      <alignment vertical="center"/>
    </xf>
    <xf numFmtId="3" fontId="10" fillId="0" borderId="138" xfId="1" applyNumberFormat="1" applyFont="1" applyBorder="1" applyAlignment="1">
      <alignment vertical="center"/>
    </xf>
    <xf numFmtId="3" fontId="14" fillId="0" borderId="12" xfId="0" applyNumberFormat="1" applyFont="1" applyBorder="1" applyAlignment="1">
      <alignment vertical="center" shrinkToFit="1"/>
    </xf>
    <xf numFmtId="0" fontId="2" fillId="0" borderId="141" xfId="1" applyFont="1" applyFill="1" applyBorder="1" applyAlignment="1">
      <alignment horizontal="center" vertical="center"/>
    </xf>
    <xf numFmtId="3" fontId="2" fillId="0" borderId="143" xfId="1" applyNumberFormat="1" applyFont="1" applyBorder="1" applyAlignment="1">
      <alignment vertical="center"/>
    </xf>
    <xf numFmtId="3" fontId="2" fillId="0" borderId="86" xfId="1" applyNumberFormat="1" applyFont="1" applyBorder="1" applyAlignment="1">
      <alignment vertical="center"/>
    </xf>
    <xf numFmtId="3" fontId="4" fillId="0" borderId="86" xfId="1" applyNumberFormat="1" applyFont="1" applyBorder="1" applyAlignment="1">
      <alignment vertical="center"/>
    </xf>
    <xf numFmtId="3" fontId="5" fillId="0" borderId="86" xfId="1" applyNumberFormat="1" applyFont="1" applyBorder="1" applyAlignment="1">
      <alignment vertical="center"/>
    </xf>
    <xf numFmtId="3" fontId="10" fillId="0" borderId="86" xfId="1" applyNumberFormat="1" applyFont="1" applyBorder="1" applyAlignment="1">
      <alignment vertical="center"/>
    </xf>
    <xf numFmtId="3" fontId="10" fillId="0" borderId="85" xfId="1" applyNumberFormat="1" applyFont="1" applyBorder="1" applyAlignment="1">
      <alignment vertical="center"/>
    </xf>
    <xf numFmtId="3" fontId="2" fillId="0" borderId="65" xfId="1" applyNumberFormat="1" applyFont="1" applyBorder="1" applyAlignment="1">
      <alignment vertical="center"/>
    </xf>
    <xf numFmtId="3" fontId="4" fillId="0" borderId="130" xfId="1" applyNumberFormat="1" applyFont="1" applyBorder="1" applyAlignment="1">
      <alignment vertical="center"/>
    </xf>
    <xf numFmtId="3" fontId="2" fillId="0" borderId="130" xfId="1" applyNumberFormat="1" applyFont="1" applyBorder="1" applyAlignment="1">
      <alignment vertical="center"/>
    </xf>
    <xf numFmtId="3" fontId="2" fillId="0" borderId="141" xfId="1" applyNumberFormat="1" applyFont="1" applyBorder="1" applyAlignment="1">
      <alignment vertical="center"/>
    </xf>
    <xf numFmtId="3" fontId="2" fillId="0" borderId="0" xfId="1" applyNumberFormat="1" applyFont="1" applyBorder="1" applyAlignment="1">
      <alignment vertical="center"/>
    </xf>
    <xf numFmtId="3" fontId="2" fillId="0" borderId="8" xfId="2" applyNumberFormat="1" applyFont="1" applyBorder="1" applyAlignment="1">
      <alignment vertical="center"/>
    </xf>
    <xf numFmtId="0" fontId="2" fillId="0" borderId="138" xfId="1" applyFont="1" applyFill="1" applyBorder="1" applyAlignment="1">
      <alignment horizontal="center" vertical="center"/>
    </xf>
    <xf numFmtId="3" fontId="2" fillId="2" borderId="82" xfId="1" applyNumberFormat="1" applyFont="1" applyFill="1" applyBorder="1" applyAlignment="1">
      <alignment vertical="center"/>
    </xf>
    <xf numFmtId="3" fontId="5" fillId="2" borderId="82" xfId="1" applyNumberFormat="1" applyFont="1" applyFill="1" applyBorder="1" applyAlignment="1">
      <alignment vertical="center"/>
    </xf>
    <xf numFmtId="3" fontId="4" fillId="2" borderId="82" xfId="1" applyNumberFormat="1" applyFont="1" applyFill="1" applyBorder="1" applyAlignment="1">
      <alignment vertical="center"/>
    </xf>
    <xf numFmtId="3" fontId="10" fillId="2" borderId="82" xfId="1" applyNumberFormat="1" applyFont="1" applyFill="1" applyBorder="1" applyAlignment="1">
      <alignment vertical="center"/>
    </xf>
    <xf numFmtId="3" fontId="11" fillId="0" borderId="82" xfId="3" applyNumberFormat="1" applyFont="1" applyBorder="1" applyAlignment="1">
      <alignment vertical="center"/>
    </xf>
    <xf numFmtId="3" fontId="12" fillId="0" borderId="82" xfId="1" applyNumberFormat="1" applyFont="1" applyBorder="1" applyAlignment="1">
      <alignment vertical="center"/>
    </xf>
    <xf numFmtId="3" fontId="2" fillId="0" borderId="82" xfId="1" applyNumberFormat="1" applyFont="1" applyFill="1" applyBorder="1" applyAlignment="1">
      <alignment vertical="center"/>
    </xf>
    <xf numFmtId="3" fontId="15" fillId="0" borderId="82" xfId="1" applyNumberFormat="1" applyFont="1" applyBorder="1" applyAlignment="1">
      <alignment vertical="center"/>
    </xf>
    <xf numFmtId="3" fontId="15" fillId="2" borderId="82" xfId="1" applyNumberFormat="1" applyFont="1" applyFill="1" applyBorder="1" applyAlignment="1">
      <alignment vertical="center"/>
    </xf>
    <xf numFmtId="0" fontId="2" fillId="0" borderId="99" xfId="1" applyFont="1" applyBorder="1" applyAlignment="1">
      <alignment horizontal="left" vertical="center" wrapText="1"/>
    </xf>
    <xf numFmtId="3" fontId="2" fillId="2" borderId="136" xfId="1" applyNumberFormat="1" applyFont="1" applyFill="1" applyBorder="1" applyAlignment="1">
      <alignment vertical="center"/>
    </xf>
    <xf numFmtId="0" fontId="6" fillId="0" borderId="77" xfId="0" applyFont="1" applyBorder="1" applyAlignment="1">
      <alignment horizontal="left" vertical="center"/>
    </xf>
    <xf numFmtId="3" fontId="11" fillId="0" borderId="78" xfId="3" applyNumberFormat="1" applyFont="1" applyBorder="1" applyAlignment="1">
      <alignment vertical="center"/>
    </xf>
    <xf numFmtId="0" fontId="6" fillId="0" borderId="77" xfId="0" applyFont="1" applyBorder="1" applyAlignment="1">
      <alignment vertical="center" wrapText="1"/>
    </xf>
    <xf numFmtId="0" fontId="6" fillId="0" borderId="77" xfId="0" applyFont="1" applyBorder="1" applyAlignment="1">
      <alignment vertical="center"/>
    </xf>
    <xf numFmtId="0" fontId="10" fillId="0" borderId="77" xfId="2" applyFont="1" applyBorder="1" applyAlignment="1">
      <alignment vertical="center" wrapText="1"/>
    </xf>
    <xf numFmtId="0" fontId="11" fillId="0" borderId="77" xfId="3" applyFont="1" applyBorder="1" applyAlignment="1">
      <alignment vertical="center" wrapText="1"/>
    </xf>
    <xf numFmtId="3" fontId="15" fillId="0" borderId="78" xfId="1" applyNumberFormat="1" applyFont="1" applyBorder="1" applyAlignment="1">
      <alignment vertical="center"/>
    </xf>
    <xf numFmtId="0" fontId="10" fillId="0" borderId="122" xfId="1" applyFont="1" applyBorder="1" applyAlignment="1">
      <alignment vertical="center" wrapText="1"/>
    </xf>
    <xf numFmtId="0" fontId="2" fillId="0" borderId="122" xfId="1" applyFont="1" applyBorder="1" applyAlignment="1">
      <alignment vertical="center" wrapText="1"/>
    </xf>
    <xf numFmtId="3" fontId="2" fillId="0" borderId="123" xfId="1" applyNumberFormat="1" applyFont="1" applyBorder="1" applyAlignment="1">
      <alignment vertical="center"/>
    </xf>
    <xf numFmtId="3" fontId="2" fillId="0" borderId="138" xfId="1" applyNumberFormat="1" applyFont="1" applyBorder="1" applyAlignment="1">
      <alignment vertical="center"/>
    </xf>
    <xf numFmtId="0" fontId="14" fillId="0" borderId="139" xfId="0" applyFont="1" applyBorder="1" applyAlignment="1">
      <alignment horizontal="center" vertical="center" wrapText="1"/>
    </xf>
    <xf numFmtId="3" fontId="14" fillId="0" borderId="82" xfId="0" applyNumberFormat="1" applyFont="1" applyFill="1" applyBorder="1" applyAlignment="1">
      <alignment horizontal="right" vertical="center" wrapText="1"/>
    </xf>
    <xf numFmtId="3" fontId="13" fillId="0" borderId="82" xfId="0" applyNumberFormat="1" applyFont="1" applyFill="1" applyBorder="1" applyAlignment="1">
      <alignment horizontal="right" vertical="center" wrapText="1"/>
    </xf>
    <xf numFmtId="3" fontId="14" fillId="0" borderId="82" xfId="0" applyNumberFormat="1" applyFont="1" applyBorder="1" applyAlignment="1">
      <alignment horizontal="right" vertical="center" wrapText="1"/>
    </xf>
    <xf numFmtId="3" fontId="11" fillId="0" borderId="82" xfId="0" applyNumberFormat="1" applyFont="1" applyBorder="1" applyAlignment="1">
      <alignment horizontal="right" vertical="center" wrapText="1"/>
    </xf>
    <xf numFmtId="3" fontId="11" fillId="0" borderId="82" xfId="0" applyNumberFormat="1" applyFont="1" applyBorder="1" applyAlignment="1">
      <alignment vertical="center"/>
    </xf>
    <xf numFmtId="3" fontId="13" fillId="0" borderId="138" xfId="0" applyNumberFormat="1" applyFont="1" applyBorder="1" applyAlignment="1">
      <alignment vertical="center"/>
    </xf>
    <xf numFmtId="3" fontId="14" fillId="0" borderId="122" xfId="0" applyNumberFormat="1" applyFont="1" applyBorder="1" applyAlignment="1">
      <alignment vertical="center"/>
    </xf>
    <xf numFmtId="3" fontId="14" fillId="0" borderId="123" xfId="0" applyNumberFormat="1" applyFont="1" applyBorder="1" applyAlignment="1">
      <alignment vertical="center"/>
    </xf>
    <xf numFmtId="3" fontId="14" fillId="0" borderId="138" xfId="0" applyNumberFormat="1" applyFont="1" applyBorder="1" applyAlignment="1">
      <alignment vertical="center"/>
    </xf>
    <xf numFmtId="2" fontId="13" fillId="0" borderId="99" xfId="0" applyNumberFormat="1" applyFont="1" applyBorder="1" applyAlignment="1">
      <alignment horizontal="center" vertical="center" wrapText="1"/>
    </xf>
    <xf numFmtId="2" fontId="13" fillId="0" borderId="136" xfId="0" applyNumberFormat="1" applyFont="1" applyBorder="1" applyAlignment="1">
      <alignment horizontal="center" vertical="center" wrapText="1"/>
    </xf>
    <xf numFmtId="2" fontId="13" fillId="0" borderId="118" xfId="0" applyNumberFormat="1" applyFont="1" applyBorder="1" applyAlignment="1">
      <alignment horizontal="center" vertical="center" wrapText="1"/>
    </xf>
    <xf numFmtId="2" fontId="13" fillId="0" borderId="78" xfId="0" applyNumberFormat="1" applyFont="1" applyBorder="1" applyAlignment="1">
      <alignment horizontal="center" vertical="center"/>
    </xf>
    <xf numFmtId="2" fontId="13" fillId="0" borderId="11" xfId="0" applyNumberFormat="1" applyFont="1" applyBorder="1" applyAlignment="1">
      <alignment horizontal="center" vertical="center" wrapText="1"/>
    </xf>
    <xf numFmtId="2" fontId="13" fillId="0" borderId="139"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2" borderId="7"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7" fillId="2" borderId="57" xfId="0" applyFont="1" applyFill="1" applyBorder="1"/>
    <xf numFmtId="0" fontId="7" fillId="2" borderId="83" xfId="0" applyFont="1" applyFill="1" applyBorder="1"/>
    <xf numFmtId="0" fontId="7" fillId="2" borderId="32" xfId="0" applyFont="1" applyFill="1" applyBorder="1"/>
    <xf numFmtId="0" fontId="7" fillId="2" borderId="76" xfId="0" applyFont="1" applyFill="1" applyBorder="1"/>
    <xf numFmtId="0" fontId="7" fillId="2" borderId="118" xfId="0" applyFont="1" applyFill="1" applyBorder="1"/>
    <xf numFmtId="0" fontId="7" fillId="2" borderId="78" xfId="0" applyFont="1" applyFill="1" applyBorder="1"/>
    <xf numFmtId="0" fontId="7" fillId="2" borderId="1" xfId="0" applyFont="1" applyFill="1" applyBorder="1"/>
    <xf numFmtId="0" fontId="7" fillId="2" borderId="109" xfId="0" applyFont="1" applyFill="1" applyBorder="1"/>
    <xf numFmtId="0" fontId="7" fillId="2" borderId="114" xfId="0" applyFont="1" applyFill="1" applyBorder="1"/>
    <xf numFmtId="0" fontId="24" fillId="2" borderId="72" xfId="0" applyFont="1" applyFill="1" applyBorder="1"/>
    <xf numFmtId="0" fontId="24" fillId="2" borderId="78" xfId="0" applyFont="1" applyFill="1" applyBorder="1"/>
    <xf numFmtId="0" fontId="24" fillId="2" borderId="1" xfId="0" applyFont="1" applyFill="1" applyBorder="1"/>
    <xf numFmtId="0" fontId="24" fillId="2" borderId="91" xfId="0" applyFont="1" applyFill="1" applyBorder="1"/>
    <xf numFmtId="0" fontId="24" fillId="2" borderId="118" xfId="0" applyFont="1" applyFill="1" applyBorder="1"/>
    <xf numFmtId="0" fontId="7" fillId="2" borderId="0" xfId="0" applyFont="1" applyFill="1"/>
    <xf numFmtId="49" fontId="35" fillId="4" borderId="130" xfId="0" applyNumberFormat="1" applyFont="1" applyFill="1" applyBorder="1" applyAlignment="1">
      <alignment vertical="center" wrapText="1"/>
    </xf>
    <xf numFmtId="0" fontId="10" fillId="0" borderId="0" xfId="1" applyFont="1" applyFill="1" applyAlignment="1">
      <alignment horizontal="center" vertical="center"/>
    </xf>
    <xf numFmtId="3" fontId="10" fillId="0" borderId="0" xfId="1" applyNumberFormat="1" applyFont="1" applyFill="1" applyAlignment="1">
      <alignment horizontal="right" vertical="center"/>
    </xf>
    <xf numFmtId="3" fontId="10" fillId="0" borderId="0" xfId="1" applyNumberFormat="1" applyFont="1" applyFill="1" applyAlignment="1">
      <alignment vertical="center"/>
    </xf>
    <xf numFmtId="0" fontId="13" fillId="0" borderId="140" xfId="9" applyFont="1" applyBorder="1" applyAlignment="1">
      <alignment vertical="center" wrapText="1"/>
    </xf>
    <xf numFmtId="0" fontId="20" fillId="2" borderId="78" xfId="5" applyFont="1" applyFill="1" applyBorder="1" applyAlignment="1">
      <alignment horizontal="left" vertical="center"/>
    </xf>
    <xf numFmtId="0" fontId="20" fillId="2" borderId="91" xfId="5" applyFont="1" applyFill="1" applyBorder="1" applyAlignment="1">
      <alignment horizontal="left" vertical="center"/>
    </xf>
    <xf numFmtId="0" fontId="20" fillId="2" borderId="1" xfId="5" applyFont="1" applyFill="1" applyBorder="1" applyAlignment="1">
      <alignment horizontal="left" vertical="center"/>
    </xf>
    <xf numFmtId="3" fontId="20" fillId="0" borderId="139" xfId="5" applyNumberFormat="1" applyFont="1" applyBorder="1" applyAlignment="1">
      <alignment horizontal="right" vertical="center"/>
    </xf>
    <xf numFmtId="0" fontId="21" fillId="2" borderId="1" xfId="5" applyFont="1" applyFill="1" applyBorder="1" applyAlignment="1">
      <alignment horizontal="left" vertical="center"/>
    </xf>
    <xf numFmtId="3" fontId="21" fillId="0" borderId="119" xfId="5" applyNumberFormat="1" applyFont="1" applyBorder="1" applyAlignment="1">
      <alignment vertical="center"/>
    </xf>
    <xf numFmtId="0" fontId="21" fillId="2" borderId="138" xfId="5" applyFont="1" applyFill="1" applyBorder="1" applyAlignment="1">
      <alignment horizontal="left" vertical="center"/>
    </xf>
    <xf numFmtId="0" fontId="21" fillId="0" borderId="118" xfId="5" applyFont="1" applyBorder="1" applyAlignment="1">
      <alignment horizontal="left" vertical="center"/>
    </xf>
    <xf numFmtId="3" fontId="21" fillId="0" borderId="145" xfId="5" applyNumberFormat="1" applyFont="1" applyBorder="1" applyAlignment="1">
      <alignment vertical="center"/>
    </xf>
    <xf numFmtId="0" fontId="21" fillId="2" borderId="124" xfId="5" applyFont="1" applyFill="1" applyBorder="1" applyAlignment="1">
      <alignment horizontal="left" vertical="center"/>
    </xf>
    <xf numFmtId="0" fontId="57" fillId="0" borderId="0" xfId="0" applyFont="1" applyAlignment="1">
      <alignment vertical="center"/>
    </xf>
    <xf numFmtId="0" fontId="58" fillId="2" borderId="0" xfId="6" applyFont="1" applyFill="1" applyAlignment="1">
      <alignment vertical="center"/>
    </xf>
    <xf numFmtId="0" fontId="58" fillId="0" borderId="0" xfId="6" applyFont="1" applyAlignment="1">
      <alignment horizontal="right" vertical="center"/>
    </xf>
    <xf numFmtId="0" fontId="58" fillId="0" borderId="0" xfId="6" applyFont="1" applyAlignment="1">
      <alignment horizontal="left" vertical="center" wrapText="1"/>
    </xf>
    <xf numFmtId="0" fontId="58" fillId="0" borderId="0" xfId="6" applyFont="1" applyAlignment="1">
      <alignment horizontal="center" vertical="center"/>
    </xf>
    <xf numFmtId="3" fontId="58" fillId="0" borderId="0" xfId="6" applyNumberFormat="1" applyFont="1" applyAlignment="1">
      <alignment horizontal="center" vertical="center"/>
    </xf>
    <xf numFmtId="0" fontId="58" fillId="0" borderId="0" xfId="6" applyFont="1" applyAlignment="1">
      <alignment vertical="center"/>
    </xf>
    <xf numFmtId="3" fontId="56" fillId="0" borderId="0" xfId="6" applyNumberFormat="1" applyFont="1" applyAlignment="1">
      <alignment horizontal="right" vertical="center"/>
    </xf>
    <xf numFmtId="0" fontId="59" fillId="0" borderId="122" xfId="5" applyFont="1" applyBorder="1" applyAlignment="1">
      <alignment horizontal="center" vertical="center" wrapText="1"/>
    </xf>
    <xf numFmtId="0" fontId="59" fillId="0" borderId="123" xfId="5" applyFont="1" applyBorder="1" applyAlignment="1">
      <alignment horizontal="center" vertical="center" wrapText="1"/>
    </xf>
    <xf numFmtId="0" fontId="59" fillId="0" borderId="124" xfId="5" applyFont="1" applyBorder="1" applyAlignment="1">
      <alignment horizontal="center" vertical="center" wrapText="1"/>
    </xf>
    <xf numFmtId="0" fontId="59" fillId="0" borderId="122" xfId="5" applyFont="1" applyBorder="1" applyAlignment="1">
      <alignment horizontal="center" vertical="center"/>
    </xf>
    <xf numFmtId="0" fontId="59" fillId="0" borderId="123" xfId="5" applyFont="1" applyBorder="1" applyAlignment="1">
      <alignment horizontal="center" vertical="center"/>
    </xf>
    <xf numFmtId="3" fontId="59" fillId="0" borderId="124" xfId="5" applyNumberFormat="1" applyFont="1" applyBorder="1" applyAlignment="1">
      <alignment horizontal="center" vertical="center" wrapText="1"/>
    </xf>
    <xf numFmtId="3" fontId="59" fillId="0" borderId="122" xfId="5" applyNumberFormat="1" applyFont="1" applyBorder="1" applyAlignment="1">
      <alignment horizontal="center" vertical="center" wrapText="1"/>
    </xf>
    <xf numFmtId="49" fontId="58" fillId="0" borderId="136" xfId="6" applyNumberFormat="1" applyFont="1" applyBorder="1" applyAlignment="1">
      <alignment horizontal="center" vertical="center"/>
    </xf>
    <xf numFmtId="3" fontId="56" fillId="0" borderId="128" xfId="6" applyNumberFormat="1" applyFont="1" applyBorder="1" applyAlignment="1">
      <alignment horizontal="right" vertical="center"/>
    </xf>
    <xf numFmtId="3" fontId="56" fillId="0" borderId="128" xfId="6" applyNumberFormat="1" applyFont="1" applyBorder="1" applyAlignment="1">
      <alignment vertical="center"/>
    </xf>
    <xf numFmtId="3" fontId="58" fillId="0" borderId="99" xfId="6" applyNumberFormat="1" applyFont="1" applyBorder="1" applyAlignment="1">
      <alignment horizontal="right" vertical="center"/>
    </xf>
    <xf numFmtId="3" fontId="58" fillId="0" borderId="136" xfId="6" applyNumberFormat="1" applyFont="1" applyBorder="1" applyAlignment="1">
      <alignment horizontal="right" vertical="center"/>
    </xf>
    <xf numFmtId="3" fontId="58" fillId="0" borderId="118" xfId="6" applyNumberFormat="1" applyFont="1" applyBorder="1" applyAlignment="1">
      <alignment horizontal="right" vertical="center"/>
    </xf>
    <xf numFmtId="0" fontId="58" fillId="0" borderId="118" xfId="6" applyFont="1" applyBorder="1" applyAlignment="1">
      <alignment vertical="center"/>
    </xf>
    <xf numFmtId="3" fontId="56" fillId="0" borderId="80" xfId="6" applyNumberFormat="1" applyFont="1" applyBorder="1" applyAlignment="1">
      <alignment horizontal="right" vertical="center"/>
    </xf>
    <xf numFmtId="3" fontId="56" fillId="0" borderId="80" xfId="6" applyNumberFormat="1" applyFont="1" applyBorder="1" applyAlignment="1">
      <alignment vertical="center"/>
    </xf>
    <xf numFmtId="3" fontId="58" fillId="0" borderId="77" xfId="6" applyNumberFormat="1" applyFont="1" applyBorder="1" applyAlignment="1">
      <alignment horizontal="right" vertical="center"/>
    </xf>
    <xf numFmtId="3" fontId="58" fillId="0" borderId="82" xfId="6" applyNumberFormat="1" applyFont="1" applyBorder="1" applyAlignment="1">
      <alignment horizontal="right" vertical="center"/>
    </xf>
    <xf numFmtId="3" fontId="58" fillId="0" borderId="78" xfId="6" applyNumberFormat="1" applyFont="1" applyBorder="1" applyAlignment="1">
      <alignment horizontal="right" vertical="center"/>
    </xf>
    <xf numFmtId="0" fontId="58" fillId="0" borderId="78" xfId="6" applyFont="1" applyBorder="1" applyAlignment="1">
      <alignment vertical="center"/>
    </xf>
    <xf numFmtId="3" fontId="56" fillId="0" borderId="107" xfId="6" applyNumberFormat="1" applyFont="1" applyBorder="1" applyAlignment="1">
      <alignment horizontal="right" vertical="center"/>
    </xf>
    <xf numFmtId="3" fontId="56" fillId="0" borderId="107" xfId="6" applyNumberFormat="1" applyFont="1" applyBorder="1" applyAlignment="1">
      <alignment vertical="center"/>
    </xf>
    <xf numFmtId="3" fontId="58" fillId="0" borderId="33" xfId="6" applyNumberFormat="1" applyFont="1" applyBorder="1" applyAlignment="1">
      <alignment horizontal="right" vertical="center"/>
    </xf>
    <xf numFmtId="3" fontId="58" fillId="0" borderId="32" xfId="6" applyNumberFormat="1" applyFont="1" applyBorder="1" applyAlignment="1">
      <alignment horizontal="right" vertical="center"/>
    </xf>
    <xf numFmtId="3" fontId="58" fillId="0" borderId="109" xfId="6" applyNumberFormat="1" applyFont="1" applyBorder="1" applyAlignment="1">
      <alignment horizontal="right" vertical="center"/>
    </xf>
    <xf numFmtId="0" fontId="58" fillId="0" borderId="109" xfId="6" applyFont="1" applyBorder="1" applyAlignment="1">
      <alignment vertical="center"/>
    </xf>
    <xf numFmtId="49" fontId="58" fillId="0" borderId="69" xfId="6" applyNumberFormat="1" applyFont="1" applyBorder="1" applyAlignment="1">
      <alignment horizontal="center" vertical="center"/>
    </xf>
    <xf numFmtId="3" fontId="56" fillId="0" borderId="62" xfId="6" applyNumberFormat="1" applyFont="1" applyBorder="1" applyAlignment="1">
      <alignment horizontal="right" vertical="center"/>
    </xf>
    <xf numFmtId="3" fontId="56" fillId="0" borderId="62" xfId="6" applyNumberFormat="1" applyFont="1" applyBorder="1" applyAlignment="1">
      <alignment vertical="center"/>
    </xf>
    <xf numFmtId="3" fontId="58" fillId="0" borderId="68" xfId="6" applyNumberFormat="1" applyFont="1" applyBorder="1" applyAlignment="1">
      <alignment horizontal="right" vertical="center"/>
    </xf>
    <xf numFmtId="3" fontId="58" fillId="0" borderId="69" xfId="6" applyNumberFormat="1" applyFont="1" applyBorder="1" applyAlignment="1">
      <alignment horizontal="right" vertical="center"/>
    </xf>
    <xf numFmtId="3" fontId="58" fillId="0" borderId="72" xfId="6" applyNumberFormat="1" applyFont="1" applyBorder="1" applyAlignment="1">
      <alignment horizontal="right" vertical="center"/>
    </xf>
    <xf numFmtId="0" fontId="58" fillId="0" borderId="72" xfId="6" applyFont="1" applyBorder="1" applyAlignment="1">
      <alignment vertical="center"/>
    </xf>
    <xf numFmtId="49" fontId="58" fillId="0" borderId="110" xfId="6" applyNumberFormat="1" applyFont="1" applyBorder="1" applyAlignment="1">
      <alignment horizontal="center" vertical="center"/>
    </xf>
    <xf numFmtId="3" fontId="56" fillId="0" borderId="112" xfId="6" applyNumberFormat="1" applyFont="1" applyBorder="1" applyAlignment="1">
      <alignment horizontal="right" vertical="center"/>
    </xf>
    <xf numFmtId="3" fontId="56" fillId="0" borderId="112" xfId="6" applyNumberFormat="1" applyFont="1" applyBorder="1" applyAlignment="1">
      <alignment vertical="center"/>
    </xf>
    <xf numFmtId="3" fontId="58" fillId="0" borderId="113" xfId="6" applyNumberFormat="1" applyFont="1" applyBorder="1" applyAlignment="1">
      <alignment horizontal="right" vertical="center"/>
    </xf>
    <xf numFmtId="3" fontId="58" fillId="0" borderId="110" xfId="6" applyNumberFormat="1" applyFont="1" applyBorder="1" applyAlignment="1">
      <alignment horizontal="right" vertical="center"/>
    </xf>
    <xf numFmtId="3" fontId="58" fillId="0" borderId="114" xfId="6" applyNumberFormat="1" applyFont="1" applyBorder="1" applyAlignment="1">
      <alignment horizontal="right" vertical="center"/>
    </xf>
    <xf numFmtId="0" fontId="58" fillId="0" borderId="114" xfId="6" applyFont="1" applyBorder="1" applyAlignment="1">
      <alignment vertical="center"/>
    </xf>
    <xf numFmtId="49" fontId="58" fillId="0" borderId="82" xfId="6" applyNumberFormat="1" applyFont="1" applyBorder="1" applyAlignment="1">
      <alignment horizontal="center" vertical="center"/>
    </xf>
    <xf numFmtId="49" fontId="58" fillId="0" borderId="32" xfId="6" applyNumberFormat="1" applyFont="1" applyBorder="1" applyAlignment="1">
      <alignment horizontal="center" vertical="center"/>
    </xf>
    <xf numFmtId="3" fontId="58" fillId="0" borderId="113" xfId="6" applyNumberFormat="1" applyFont="1" applyBorder="1" applyAlignment="1">
      <alignment vertical="center"/>
    </xf>
    <xf numFmtId="3" fontId="58" fillId="0" borderId="110" xfId="6" applyNumberFormat="1" applyFont="1" applyBorder="1" applyAlignment="1">
      <alignment vertical="center"/>
    </xf>
    <xf numFmtId="3" fontId="58" fillId="0" borderId="114" xfId="6" applyNumberFormat="1" applyFont="1" applyBorder="1" applyAlignment="1">
      <alignment vertical="center"/>
    </xf>
    <xf numFmtId="3" fontId="58" fillId="0" borderId="77" xfId="6" applyNumberFormat="1" applyFont="1" applyBorder="1" applyAlignment="1">
      <alignment vertical="center"/>
    </xf>
    <xf numFmtId="3" fontId="58" fillId="0" borderId="82" xfId="6" applyNumberFormat="1" applyFont="1" applyBorder="1" applyAlignment="1">
      <alignment vertical="center"/>
    </xf>
    <xf numFmtId="3" fontId="58" fillId="0" borderId="78" xfId="6" applyNumberFormat="1" applyFont="1" applyBorder="1" applyAlignment="1">
      <alignment vertical="center"/>
    </xf>
    <xf numFmtId="3" fontId="58" fillId="0" borderId="30" xfId="6" applyNumberFormat="1" applyFont="1" applyBorder="1" applyAlignment="1">
      <alignment horizontal="right" vertical="center"/>
    </xf>
    <xf numFmtId="3" fontId="58" fillId="0" borderId="108" xfId="6" applyNumberFormat="1" applyFont="1" applyBorder="1" applyAlignment="1">
      <alignment horizontal="right" vertical="center"/>
    </xf>
    <xf numFmtId="3" fontId="58" fillId="0" borderId="148" xfId="6" applyNumberFormat="1" applyFont="1" applyBorder="1" applyAlignment="1">
      <alignment horizontal="right" vertical="center"/>
    </xf>
    <xf numFmtId="0" fontId="58" fillId="0" borderId="148" xfId="6" applyFont="1" applyBorder="1" applyAlignment="1">
      <alignment vertical="center"/>
    </xf>
    <xf numFmtId="3" fontId="56" fillId="0" borderId="142" xfId="6" applyNumberFormat="1" applyFont="1" applyBorder="1" applyAlignment="1">
      <alignment vertical="center"/>
    </xf>
    <xf numFmtId="3" fontId="56" fillId="0" borderId="29" xfId="6" applyNumberFormat="1" applyFont="1" applyBorder="1" applyAlignment="1">
      <alignment vertical="center"/>
    </xf>
    <xf numFmtId="3" fontId="56" fillId="0" borderId="110" xfId="6" applyNumberFormat="1" applyFont="1" applyBorder="1" applyAlignment="1">
      <alignment vertical="center"/>
    </xf>
    <xf numFmtId="3" fontId="56" fillId="0" borderId="114" xfId="6" applyNumberFormat="1" applyFont="1" applyBorder="1" applyAlignment="1">
      <alignment vertical="center"/>
    </xf>
    <xf numFmtId="3" fontId="56" fillId="0" borderId="151" xfId="6" applyNumberFormat="1" applyFont="1" applyBorder="1" applyAlignment="1">
      <alignment vertical="center"/>
    </xf>
    <xf numFmtId="3" fontId="56" fillId="0" borderId="73" xfId="6" applyNumberFormat="1" applyFont="1" applyBorder="1" applyAlignment="1">
      <alignment vertical="center"/>
    </xf>
    <xf numFmtId="3" fontId="56" fillId="0" borderId="79" xfId="6" applyNumberFormat="1" applyFont="1" applyBorder="1" applyAlignment="1">
      <alignment vertical="center"/>
    </xf>
    <xf numFmtId="3" fontId="56" fillId="0" borderId="125" xfId="6" applyNumberFormat="1" applyFont="1" applyBorder="1" applyAlignment="1">
      <alignment vertical="center"/>
    </xf>
    <xf numFmtId="3" fontId="56" fillId="0" borderId="82" xfId="6" applyNumberFormat="1" applyFont="1" applyBorder="1" applyAlignment="1">
      <alignment vertical="center"/>
    </xf>
    <xf numFmtId="3" fontId="56" fillId="0" borderId="78" xfId="6" applyNumberFormat="1" applyFont="1" applyBorder="1" applyAlignment="1">
      <alignment vertical="center"/>
    </xf>
    <xf numFmtId="3" fontId="56" fillId="0" borderId="152" xfId="6" applyNumberFormat="1" applyFont="1" applyBorder="1" applyAlignment="1">
      <alignment vertical="center"/>
    </xf>
    <xf numFmtId="3" fontId="56" fillId="0" borderId="145" xfId="6" applyNumberFormat="1" applyFont="1" applyBorder="1" applyAlignment="1">
      <alignment vertical="center"/>
    </xf>
    <xf numFmtId="3" fontId="56" fillId="0" borderId="41" xfId="6" applyNumberFormat="1" applyFont="1" applyBorder="1" applyAlignment="1">
      <alignment vertical="center"/>
    </xf>
    <xf numFmtId="3" fontId="56" fillId="0" borderId="21" xfId="6" applyNumberFormat="1" applyFont="1" applyBorder="1" applyAlignment="1">
      <alignment vertical="center"/>
    </xf>
    <xf numFmtId="3" fontId="56" fillId="0" borderId="47" xfId="6" applyNumberFormat="1" applyFont="1" applyBorder="1" applyAlignment="1">
      <alignment vertical="center"/>
    </xf>
    <xf numFmtId="3" fontId="56" fillId="0" borderId="137" xfId="6" applyNumberFormat="1" applyFont="1" applyBorder="1" applyAlignment="1">
      <alignment vertical="center"/>
    </xf>
    <xf numFmtId="3" fontId="56" fillId="0" borderId="139" xfId="6" applyNumberFormat="1" applyFont="1" applyBorder="1" applyAlignment="1">
      <alignment vertical="center"/>
    </xf>
    <xf numFmtId="3" fontId="56" fillId="0" borderId="1" xfId="6" applyNumberFormat="1" applyFont="1" applyBorder="1" applyAlignment="1">
      <alignment vertical="center"/>
    </xf>
    <xf numFmtId="3" fontId="56" fillId="0" borderId="26" xfId="6" applyNumberFormat="1" applyFont="1" applyBorder="1" applyAlignment="1">
      <alignment vertical="center"/>
    </xf>
    <xf numFmtId="3" fontId="56" fillId="0" borderId="96" xfId="6" applyNumberFormat="1" applyFont="1" applyBorder="1" applyAlignment="1">
      <alignment vertical="center"/>
    </xf>
    <xf numFmtId="3" fontId="56" fillId="0" borderId="68" xfId="6" applyNumberFormat="1" applyFont="1" applyBorder="1" applyAlignment="1">
      <alignment horizontal="right" vertical="center"/>
    </xf>
    <xf numFmtId="3" fontId="56" fillId="0" borderId="69" xfId="6" applyNumberFormat="1" applyFont="1" applyBorder="1" applyAlignment="1">
      <alignment horizontal="right" vertical="center"/>
    </xf>
    <xf numFmtId="3" fontId="56" fillId="0" borderId="72" xfId="6" applyNumberFormat="1" applyFont="1" applyBorder="1" applyAlignment="1">
      <alignment horizontal="right" vertical="center"/>
    </xf>
    <xf numFmtId="3" fontId="56" fillId="0" borderId="77" xfId="6" applyNumberFormat="1" applyFont="1" applyBorder="1" applyAlignment="1">
      <alignment horizontal="right" vertical="center"/>
    </xf>
    <xf numFmtId="3" fontId="56" fillId="0" borderId="82" xfId="6" applyNumberFormat="1" applyFont="1" applyBorder="1" applyAlignment="1">
      <alignment horizontal="right" vertical="center"/>
    </xf>
    <xf numFmtId="3" fontId="56" fillId="0" borderId="78" xfId="6" applyNumberFormat="1" applyFont="1" applyBorder="1" applyAlignment="1">
      <alignment horizontal="right" vertical="center"/>
    </xf>
    <xf numFmtId="3" fontId="56" fillId="0" borderId="21" xfId="6" applyNumberFormat="1" applyFont="1" applyBorder="1" applyAlignment="1">
      <alignment horizontal="right" vertical="center"/>
    </xf>
    <xf numFmtId="3" fontId="56" fillId="0" borderId="11" xfId="6" applyNumberFormat="1" applyFont="1" applyBorder="1" applyAlignment="1">
      <alignment horizontal="right" vertical="center"/>
    </xf>
    <xf numFmtId="3" fontId="56" fillId="0" borderId="139" xfId="6" applyNumberFormat="1" applyFont="1" applyBorder="1" applyAlignment="1">
      <alignment horizontal="right" vertical="center"/>
    </xf>
    <xf numFmtId="3" fontId="56" fillId="0" borderId="1" xfId="6" applyNumberFormat="1" applyFont="1" applyBorder="1" applyAlignment="1">
      <alignment horizontal="right" vertical="center"/>
    </xf>
    <xf numFmtId="3" fontId="58" fillId="0" borderId="151" xfId="6" applyNumberFormat="1" applyFont="1" applyBorder="1" applyAlignment="1">
      <alignment horizontal="right" vertical="center"/>
    </xf>
    <xf numFmtId="3" fontId="58" fillId="0" borderId="29" xfId="6" applyNumberFormat="1" applyFont="1" applyBorder="1" applyAlignment="1">
      <alignment horizontal="right" vertical="center"/>
    </xf>
    <xf numFmtId="3" fontId="58" fillId="0" borderId="152" xfId="6" applyNumberFormat="1" applyFont="1" applyBorder="1" applyAlignment="1">
      <alignment horizontal="right" vertical="center"/>
    </xf>
    <xf numFmtId="3" fontId="58" fillId="0" borderId="125" xfId="6" applyNumberFormat="1" applyFont="1" applyBorder="1" applyAlignment="1">
      <alignment horizontal="right" vertical="center"/>
    </xf>
    <xf numFmtId="3" fontId="58" fillId="0" borderId="11" xfId="6" applyNumberFormat="1" applyFont="1" applyBorder="1" applyAlignment="1">
      <alignment horizontal="right" vertical="center"/>
    </xf>
    <xf numFmtId="3" fontId="58" fillId="0" borderId="139" xfId="6" applyNumberFormat="1" applyFont="1" applyBorder="1" applyAlignment="1">
      <alignment horizontal="right" vertical="center"/>
    </xf>
    <xf numFmtId="3" fontId="58" fillId="0" borderId="1" xfId="6" applyNumberFormat="1" applyFont="1" applyBorder="1" applyAlignment="1">
      <alignment horizontal="right" vertical="center"/>
    </xf>
    <xf numFmtId="3" fontId="58" fillId="0" borderId="26" xfId="6" applyNumberFormat="1" applyFont="1" applyBorder="1" applyAlignment="1">
      <alignment horizontal="right" vertical="center"/>
    </xf>
    <xf numFmtId="3" fontId="58" fillId="0" borderId="137" xfId="6" applyNumberFormat="1" applyFont="1" applyBorder="1" applyAlignment="1">
      <alignment horizontal="right" vertical="center"/>
    </xf>
    <xf numFmtId="0" fontId="58" fillId="0" borderId="1" xfId="6" applyFont="1" applyBorder="1" applyAlignment="1">
      <alignment vertical="center"/>
    </xf>
    <xf numFmtId="3" fontId="58" fillId="0" borderId="122" xfId="6" applyNumberFormat="1" applyFont="1" applyBorder="1" applyAlignment="1">
      <alignment horizontal="right" vertical="center"/>
    </xf>
    <xf numFmtId="3" fontId="58" fillId="0" borderId="123" xfId="6" applyNumberFormat="1" applyFont="1" applyBorder="1" applyAlignment="1">
      <alignment horizontal="right" vertical="center"/>
    </xf>
    <xf numFmtId="3" fontId="58" fillId="0" borderId="124" xfId="6" applyNumberFormat="1" applyFont="1" applyBorder="1" applyAlignment="1">
      <alignment horizontal="right" vertical="center"/>
    </xf>
    <xf numFmtId="3" fontId="58" fillId="0" borderId="132" xfId="6" applyNumberFormat="1" applyFont="1" applyBorder="1" applyAlignment="1">
      <alignment horizontal="right" vertical="center"/>
    </xf>
    <xf numFmtId="3" fontId="58" fillId="0" borderId="85" xfId="6" applyNumberFormat="1" applyFont="1" applyBorder="1" applyAlignment="1">
      <alignment horizontal="right" vertical="center"/>
    </xf>
    <xf numFmtId="0" fontId="58" fillId="0" borderId="124" xfId="6" applyFont="1" applyBorder="1" applyAlignment="1">
      <alignment vertical="center"/>
    </xf>
    <xf numFmtId="3" fontId="56" fillId="0" borderId="103" xfId="6" applyNumberFormat="1" applyFont="1" applyBorder="1" applyAlignment="1">
      <alignment vertical="center"/>
    </xf>
    <xf numFmtId="3" fontId="56" fillId="0" borderId="99" xfId="6" applyNumberFormat="1" applyFont="1" applyBorder="1" applyAlignment="1">
      <alignment vertical="center"/>
    </xf>
    <xf numFmtId="3" fontId="56" fillId="0" borderId="136" xfId="6" applyNumberFormat="1" applyFont="1" applyBorder="1" applyAlignment="1">
      <alignment vertical="center"/>
    </xf>
    <xf numFmtId="3" fontId="56" fillId="0" borderId="143" xfId="6" applyNumberFormat="1" applyFont="1" applyBorder="1" applyAlignment="1">
      <alignment vertical="center"/>
    </xf>
    <xf numFmtId="3" fontId="56" fillId="0" borderId="118" xfId="6" applyNumberFormat="1" applyFont="1" applyBorder="1" applyAlignment="1">
      <alignment vertical="center"/>
    </xf>
    <xf numFmtId="0" fontId="61" fillId="0" borderId="0" xfId="0" applyFont="1" applyAlignment="1">
      <alignment vertical="center"/>
    </xf>
    <xf numFmtId="3" fontId="56" fillId="0" borderId="77" xfId="6" applyNumberFormat="1" applyFont="1" applyBorder="1" applyAlignment="1">
      <alignment vertical="center"/>
    </xf>
    <xf numFmtId="3" fontId="56" fillId="0" borderId="147" xfId="6" applyNumberFormat="1" applyFont="1" applyBorder="1" applyAlignment="1">
      <alignment vertical="center"/>
    </xf>
    <xf numFmtId="3" fontId="56" fillId="0" borderId="120" xfId="6" applyNumberFormat="1" applyFont="1" applyBorder="1" applyAlignment="1">
      <alignment vertical="center"/>
    </xf>
    <xf numFmtId="3" fontId="56" fillId="0" borderId="11" xfId="6" applyNumberFormat="1" applyFont="1" applyBorder="1" applyAlignment="1">
      <alignment vertical="center"/>
    </xf>
    <xf numFmtId="3" fontId="56" fillId="0" borderId="119" xfId="6" applyNumberFormat="1" applyFont="1" applyBorder="1" applyAlignment="1">
      <alignment vertical="center"/>
    </xf>
    <xf numFmtId="3" fontId="56" fillId="0" borderId="68" xfId="6" applyNumberFormat="1" applyFont="1" applyBorder="1" applyAlignment="1">
      <alignment vertical="center"/>
    </xf>
    <xf numFmtId="3" fontId="56" fillId="0" borderId="69" xfId="6" applyNumberFormat="1" applyFont="1" applyBorder="1" applyAlignment="1">
      <alignment vertical="center"/>
    </xf>
    <xf numFmtId="3" fontId="56" fillId="0" borderId="72" xfId="6" applyNumberFormat="1" applyFont="1" applyBorder="1" applyAlignment="1">
      <alignment vertical="center"/>
    </xf>
    <xf numFmtId="3" fontId="56" fillId="0" borderId="122" xfId="6" applyNumberFormat="1" applyFont="1" applyBorder="1" applyAlignment="1">
      <alignment vertical="center"/>
    </xf>
    <xf numFmtId="3" fontId="56" fillId="0" borderId="123" xfId="6" applyNumberFormat="1" applyFont="1" applyBorder="1" applyAlignment="1">
      <alignment vertical="center"/>
    </xf>
    <xf numFmtId="3" fontId="56" fillId="0" borderId="124" xfId="6" applyNumberFormat="1" applyFont="1" applyBorder="1" applyAlignment="1">
      <alignment vertical="center"/>
    </xf>
    <xf numFmtId="3" fontId="56" fillId="0" borderId="116" xfId="6" applyNumberFormat="1" applyFont="1" applyBorder="1" applyAlignment="1">
      <alignment vertical="center"/>
    </xf>
    <xf numFmtId="0" fontId="56" fillId="2" borderId="0" xfId="6" applyFont="1" applyFill="1" applyBorder="1" applyAlignment="1">
      <alignment vertical="center"/>
    </xf>
    <xf numFmtId="0" fontId="56" fillId="0" borderId="0" xfId="6" applyFont="1" applyBorder="1" applyAlignment="1">
      <alignment vertical="center"/>
    </xf>
    <xf numFmtId="0" fontId="57" fillId="0" borderId="0" xfId="0" applyFont="1" applyAlignment="1">
      <alignment horizontal="left" vertical="center" wrapText="1"/>
    </xf>
    <xf numFmtId="0" fontId="62" fillId="2" borderId="0" xfId="0" applyFont="1" applyFill="1" applyAlignment="1">
      <alignment vertical="center"/>
    </xf>
    <xf numFmtId="0" fontId="57" fillId="2" borderId="0" xfId="0" applyFont="1" applyFill="1" applyAlignment="1">
      <alignment vertical="center"/>
    </xf>
    <xf numFmtId="0" fontId="58" fillId="2" borderId="0" xfId="6" applyFont="1" applyFill="1" applyAlignment="1">
      <alignment horizontal="center" vertical="center"/>
    </xf>
    <xf numFmtId="0" fontId="60" fillId="2" borderId="143" xfId="5" applyFont="1" applyFill="1" applyBorder="1" applyAlignment="1">
      <alignment horizontal="left" vertical="center"/>
    </xf>
    <xf numFmtId="0" fontId="60" fillId="2" borderId="125" xfId="5" applyFont="1" applyFill="1" applyBorder="1" applyAlignment="1">
      <alignment horizontal="left" vertical="center"/>
    </xf>
    <xf numFmtId="0" fontId="60" fillId="2" borderId="31" xfId="5" applyFont="1" applyFill="1" applyBorder="1" applyAlignment="1">
      <alignment horizontal="left" vertical="center"/>
    </xf>
    <xf numFmtId="0" fontId="60" fillId="2" borderId="66" xfId="5" applyFont="1" applyFill="1" applyBorder="1" applyAlignment="1">
      <alignment horizontal="left" vertical="center"/>
    </xf>
    <xf numFmtId="0" fontId="60" fillId="2" borderId="29" xfId="5" applyFont="1" applyFill="1" applyBorder="1" applyAlignment="1">
      <alignment horizontal="left" vertical="center"/>
    </xf>
    <xf numFmtId="0" fontId="58" fillId="2" borderId="66" xfId="6" applyFont="1" applyFill="1" applyBorder="1" applyAlignment="1">
      <alignment horizontal="left" vertical="center"/>
    </xf>
    <xf numFmtId="0" fontId="60" fillId="2" borderId="137" xfId="5" applyFont="1" applyFill="1" applyBorder="1" applyAlignment="1">
      <alignment horizontal="left" vertical="center"/>
    </xf>
    <xf numFmtId="0" fontId="58" fillId="2" borderId="29" xfId="6" applyFont="1" applyFill="1" applyBorder="1" applyAlignment="1">
      <alignment horizontal="left" vertical="center"/>
    </xf>
    <xf numFmtId="0" fontId="60" fillId="2" borderId="85" xfId="5" applyFont="1" applyFill="1" applyBorder="1" applyAlignment="1">
      <alignment horizontal="left" vertical="center"/>
    </xf>
    <xf numFmtId="0" fontId="58" fillId="2" borderId="143" xfId="6" applyFont="1" applyFill="1" applyBorder="1" applyAlignment="1">
      <alignment horizontal="left" vertical="center"/>
    </xf>
    <xf numFmtId="3" fontId="13" fillId="0" borderId="68" xfId="4" applyNumberFormat="1" applyFont="1" applyBorder="1" applyAlignment="1">
      <alignment vertical="center"/>
    </xf>
    <xf numFmtId="3" fontId="13" fillId="0" borderId="69" xfId="4" applyNumberFormat="1" applyFont="1" applyBorder="1" applyAlignment="1">
      <alignment vertical="center"/>
    </xf>
    <xf numFmtId="3" fontId="13" fillId="0" borderId="72" xfId="4" applyNumberFormat="1" applyFont="1" applyBorder="1" applyAlignment="1">
      <alignment vertical="center"/>
    </xf>
    <xf numFmtId="0" fontId="24" fillId="0" borderId="12" xfId="0" applyFont="1" applyBorder="1" applyAlignment="1">
      <alignment horizontal="center"/>
    </xf>
    <xf numFmtId="0" fontId="24" fillId="0" borderId="13" xfId="0" applyFont="1" applyBorder="1" applyAlignment="1">
      <alignment horizontal="center"/>
    </xf>
    <xf numFmtId="0" fontId="27" fillId="0" borderId="0" xfId="0" applyFont="1"/>
    <xf numFmtId="49" fontId="14" fillId="0" borderId="23" xfId="4" applyNumberFormat="1" applyFont="1" applyBorder="1" applyAlignment="1">
      <alignment horizontal="left" vertical="center" wrapText="1"/>
    </xf>
    <xf numFmtId="49" fontId="14" fillId="0" borderId="79" xfId="4" applyNumberFormat="1" applyFont="1" applyBorder="1" applyAlignment="1">
      <alignment horizontal="left" vertical="center" wrapText="1"/>
    </xf>
    <xf numFmtId="49" fontId="14" fillId="0" borderId="120" xfId="4" applyNumberFormat="1" applyFont="1" applyBorder="1" applyAlignment="1">
      <alignment horizontal="left" vertical="center" wrapText="1"/>
    </xf>
    <xf numFmtId="0" fontId="63" fillId="0" borderId="0" xfId="0" applyFont="1" applyAlignment="1">
      <alignment vertical="center"/>
    </xf>
    <xf numFmtId="3" fontId="13" fillId="0" borderId="0" xfId="0" applyNumberFormat="1" applyFont="1" applyFill="1" applyAlignment="1">
      <alignment vertical="center"/>
    </xf>
    <xf numFmtId="49" fontId="17" fillId="0" borderId="0" xfId="0" applyNumberFormat="1" applyFont="1" applyFill="1" applyAlignment="1">
      <alignment vertical="center"/>
    </xf>
    <xf numFmtId="0" fontId="13" fillId="2" borderId="99" xfId="0" applyFont="1" applyFill="1" applyBorder="1" applyAlignment="1">
      <alignment vertical="center"/>
    </xf>
    <xf numFmtId="14" fontId="13" fillId="2" borderId="117" xfId="0" applyNumberFormat="1" applyFont="1" applyFill="1" applyBorder="1" applyAlignment="1">
      <alignment horizontal="center" vertical="center" wrapText="1"/>
    </xf>
    <xf numFmtId="14" fontId="13" fillId="2" borderId="117" xfId="0" applyNumberFormat="1" applyFont="1" applyFill="1" applyBorder="1" applyAlignment="1">
      <alignment horizontal="center" vertical="center"/>
    </xf>
    <xf numFmtId="3" fontId="13" fillId="2" borderId="118" xfId="0" applyNumberFormat="1" applyFont="1" applyFill="1" applyBorder="1" applyAlignment="1">
      <alignment vertical="center"/>
    </xf>
    <xf numFmtId="3" fontId="13" fillId="2" borderId="99" xfId="0" applyNumberFormat="1" applyFont="1" applyFill="1" applyBorder="1" applyAlignment="1">
      <alignment vertical="center"/>
    </xf>
    <xf numFmtId="0" fontId="13" fillId="2" borderId="77" xfId="0" applyFont="1" applyFill="1" applyBorder="1" applyAlignment="1">
      <alignment vertical="center"/>
    </xf>
    <xf numFmtId="14" fontId="13" fillId="2" borderId="82" xfId="0" applyNumberFormat="1" applyFont="1" applyFill="1" applyBorder="1" applyAlignment="1">
      <alignment horizontal="center" vertical="center" wrapText="1"/>
    </xf>
    <xf numFmtId="14" fontId="13" fillId="2" borderId="82" xfId="0" applyNumberFormat="1" applyFont="1" applyFill="1" applyBorder="1" applyAlignment="1">
      <alignment horizontal="center" vertical="center"/>
    </xf>
    <xf numFmtId="0" fontId="13" fillId="2" borderId="84" xfId="0" applyFont="1" applyFill="1" applyBorder="1" applyAlignment="1">
      <alignment vertical="center"/>
    </xf>
    <xf numFmtId="14" fontId="13" fillId="2" borderId="123" xfId="0" applyNumberFormat="1" applyFont="1" applyFill="1" applyBorder="1" applyAlignment="1">
      <alignment horizontal="center" vertical="center" wrapText="1"/>
    </xf>
    <xf numFmtId="14" fontId="13" fillId="2" borderId="123" xfId="0" applyNumberFormat="1" applyFont="1" applyFill="1" applyBorder="1" applyAlignment="1">
      <alignment horizontal="center" vertical="center"/>
    </xf>
    <xf numFmtId="3" fontId="13" fillId="2" borderId="124" xfId="0" applyNumberFormat="1" applyFont="1" applyFill="1" applyBorder="1" applyAlignment="1">
      <alignment vertical="center"/>
    </xf>
    <xf numFmtId="3" fontId="13" fillId="2" borderId="84" xfId="0" applyNumberFormat="1" applyFont="1" applyFill="1" applyBorder="1" applyAlignment="1">
      <alignment vertical="center"/>
    </xf>
    <xf numFmtId="3" fontId="13" fillId="2" borderId="123" xfId="0" applyNumberFormat="1" applyFont="1" applyFill="1" applyBorder="1" applyAlignment="1">
      <alignment vertical="center"/>
    </xf>
    <xf numFmtId="0" fontId="14" fillId="2" borderId="12" xfId="0" applyFont="1" applyFill="1" applyBorder="1" applyAlignment="1">
      <alignment vertical="center"/>
    </xf>
    <xf numFmtId="0" fontId="14" fillId="2" borderId="13" xfId="0" applyFont="1" applyFill="1" applyBorder="1" applyAlignment="1">
      <alignment horizontal="center" vertical="center" wrapText="1"/>
    </xf>
    <xf numFmtId="0" fontId="14" fillId="2" borderId="13" xfId="0" applyFont="1" applyFill="1" applyBorder="1" applyAlignment="1">
      <alignment horizontal="center" vertical="center"/>
    </xf>
    <xf numFmtId="3" fontId="14" fillId="2" borderId="14" xfId="0" applyNumberFormat="1" applyFont="1" applyFill="1" applyBorder="1" applyAlignment="1">
      <alignment vertical="center"/>
    </xf>
    <xf numFmtId="3" fontId="14" fillId="2" borderId="12" xfId="0" applyNumberFormat="1" applyFont="1" applyFill="1" applyBorder="1" applyAlignment="1">
      <alignment vertical="center"/>
    </xf>
    <xf numFmtId="3" fontId="14" fillId="2" borderId="13" xfId="0" applyNumberFormat="1" applyFont="1" applyFill="1" applyBorder="1" applyAlignment="1">
      <alignment vertical="center"/>
    </xf>
    <xf numFmtId="0" fontId="4" fillId="0" borderId="0" xfId="0" applyFont="1" applyAlignment="1">
      <alignment horizontal="center" vertical="center"/>
    </xf>
    <xf numFmtId="0" fontId="2" fillId="0" borderId="98" xfId="1" applyFont="1" applyBorder="1" applyAlignment="1">
      <alignment horizontal="center" vertical="center"/>
    </xf>
    <xf numFmtId="0" fontId="2" fillId="0" borderId="74" xfId="1" applyFont="1" applyBorder="1" applyAlignment="1">
      <alignment horizontal="center" vertical="center"/>
    </xf>
    <xf numFmtId="0" fontId="0" fillId="0" borderId="95" xfId="0" applyBorder="1" applyAlignment="1">
      <alignment vertical="center"/>
    </xf>
    <xf numFmtId="0" fontId="2" fillId="0" borderId="92" xfId="1" applyFont="1" applyBorder="1" applyAlignment="1">
      <alignment horizontal="center" vertical="center"/>
    </xf>
    <xf numFmtId="0" fontId="2" fillId="0" borderId="87" xfId="1" applyFont="1" applyBorder="1" applyAlignment="1">
      <alignment horizontal="center" vertical="center"/>
    </xf>
    <xf numFmtId="0" fontId="0" fillId="0" borderId="93" xfId="0" applyBorder="1" applyAlignment="1">
      <alignment vertical="center"/>
    </xf>
    <xf numFmtId="0" fontId="2" fillId="0" borderId="0" xfId="1" applyFont="1" applyAlignment="1">
      <alignment horizontal="center" vertical="center"/>
    </xf>
    <xf numFmtId="0" fontId="2" fillId="0" borderId="103" xfId="1" applyFont="1" applyBorder="1" applyAlignment="1">
      <alignment horizontal="center" vertical="center"/>
    </xf>
    <xf numFmtId="0" fontId="2" fillId="0" borderId="115" xfId="1" applyFont="1" applyBorder="1" applyAlignment="1">
      <alignment horizontal="center" vertical="center"/>
    </xf>
    <xf numFmtId="0" fontId="2" fillId="0" borderId="99" xfId="1" applyFont="1" applyBorder="1" applyAlignment="1">
      <alignment horizontal="center" vertical="center"/>
    </xf>
    <xf numFmtId="0" fontId="2" fillId="0" borderId="136" xfId="1" applyFont="1" applyBorder="1" applyAlignment="1">
      <alignment horizontal="center" vertical="center"/>
    </xf>
    <xf numFmtId="0" fontId="2" fillId="0" borderId="118" xfId="1" applyFont="1" applyBorder="1" applyAlignment="1">
      <alignment horizontal="center" vertical="center"/>
    </xf>
    <xf numFmtId="0" fontId="14" fillId="0" borderId="0" xfId="0" applyFont="1" applyAlignment="1">
      <alignment horizontal="center" vertical="center" shrinkToFit="1"/>
    </xf>
    <xf numFmtId="0" fontId="14" fillId="0" borderId="52" xfId="0" applyFont="1" applyBorder="1" applyAlignment="1">
      <alignment horizontal="center" vertical="center"/>
    </xf>
    <xf numFmtId="0" fontId="14" fillId="0" borderId="17" xfId="0" applyFont="1" applyBorder="1" applyAlignment="1">
      <alignment horizontal="center" vertical="center"/>
    </xf>
    <xf numFmtId="0" fontId="14" fillId="0" borderId="98"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19"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88"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1" xfId="0" applyFont="1" applyBorder="1" applyAlignment="1">
      <alignment horizontal="center" vertical="center" wrapText="1"/>
    </xf>
    <xf numFmtId="0" fontId="20" fillId="0" borderId="99" xfId="5" applyFont="1" applyFill="1" applyBorder="1" applyAlignment="1">
      <alignment horizontal="center" vertical="center"/>
    </xf>
    <xf numFmtId="0" fontId="20" fillId="0" borderId="77" xfId="5" applyFont="1" applyFill="1" applyBorder="1" applyAlignment="1">
      <alignment horizontal="center" vertical="center"/>
    </xf>
    <xf numFmtId="0" fontId="20" fillId="0" borderId="84" xfId="5" applyFont="1" applyFill="1" applyBorder="1" applyAlignment="1">
      <alignment horizontal="center" vertical="center"/>
    </xf>
    <xf numFmtId="49" fontId="7" fillId="0" borderId="100" xfId="0" applyNumberFormat="1" applyFont="1" applyFill="1" applyBorder="1" applyAlignment="1">
      <alignment horizontal="center" vertical="center"/>
    </xf>
    <xf numFmtId="49" fontId="7" fillId="0" borderId="76" xfId="0" applyNumberFormat="1" applyFont="1" applyFill="1" applyBorder="1" applyAlignment="1">
      <alignment horizontal="center" vertical="center"/>
    </xf>
    <xf numFmtId="49" fontId="7" fillId="0" borderId="83" xfId="0" applyNumberFormat="1" applyFont="1" applyFill="1" applyBorder="1" applyAlignment="1">
      <alignment horizontal="center" vertical="center"/>
    </xf>
    <xf numFmtId="0" fontId="7" fillId="0" borderId="100" xfId="0" applyFont="1" applyFill="1" applyBorder="1" applyAlignment="1">
      <alignment vertical="center" wrapText="1"/>
    </xf>
    <xf numFmtId="0" fontId="7" fillId="0" borderId="76" xfId="0" applyFont="1" applyFill="1" applyBorder="1" applyAlignment="1">
      <alignment vertical="center" wrapText="1"/>
    </xf>
    <xf numFmtId="0" fontId="7" fillId="0" borderId="83" xfId="0" applyFont="1" applyFill="1" applyBorder="1" applyAlignment="1">
      <alignment vertical="center" wrapText="1"/>
    </xf>
    <xf numFmtId="0" fontId="20" fillId="0" borderId="99" xfId="5" applyFont="1" applyBorder="1" applyAlignment="1">
      <alignment horizontal="center" vertical="center"/>
    </xf>
    <xf numFmtId="0" fontId="20" fillId="0" borderId="77" xfId="5" applyFont="1" applyBorder="1" applyAlignment="1">
      <alignment horizontal="center" vertical="center"/>
    </xf>
    <xf numFmtId="0" fontId="20" fillId="0" borderId="11" xfId="5" applyFont="1" applyBorder="1" applyAlignment="1">
      <alignment horizontal="center" vertical="center"/>
    </xf>
    <xf numFmtId="49" fontId="7" fillId="0" borderId="100" xfId="0" applyNumberFormat="1" applyFont="1" applyBorder="1" applyAlignment="1">
      <alignment horizontal="center" vertical="center"/>
    </xf>
    <xf numFmtId="49" fontId="7" fillId="0" borderId="76" xfId="0" applyNumberFormat="1" applyFont="1" applyBorder="1" applyAlignment="1">
      <alignment horizontal="center" vertical="center"/>
    </xf>
    <xf numFmtId="49" fontId="7" fillId="0" borderId="57" xfId="0" applyNumberFormat="1" applyFont="1" applyBorder="1" applyAlignment="1">
      <alignment horizontal="center" vertical="center"/>
    </xf>
    <xf numFmtId="0" fontId="7" fillId="0" borderId="100" xfId="0" applyFont="1" applyBorder="1" applyAlignment="1">
      <alignment vertical="center" wrapText="1"/>
    </xf>
    <xf numFmtId="0" fontId="7" fillId="0" borderId="76" xfId="0" applyFont="1" applyBorder="1" applyAlignment="1">
      <alignment vertical="center" wrapText="1"/>
    </xf>
    <xf numFmtId="0" fontId="7" fillId="0" borderId="57" xfId="0" applyFont="1" applyBorder="1" applyAlignment="1">
      <alignment vertical="center" wrapText="1"/>
    </xf>
    <xf numFmtId="0" fontId="20" fillId="0" borderId="69" xfId="5" applyFont="1" applyBorder="1" applyAlignment="1">
      <alignment horizontal="center" vertical="center"/>
    </xf>
    <xf numFmtId="0" fontId="20" fillId="0" borderId="76" xfId="5" applyFont="1" applyBorder="1" applyAlignment="1">
      <alignment horizontal="center" vertical="center"/>
    </xf>
    <xf numFmtId="0" fontId="20" fillId="0" borderId="123" xfId="5" applyFont="1" applyBorder="1" applyAlignment="1">
      <alignment horizontal="center" vertical="center"/>
    </xf>
    <xf numFmtId="0" fontId="21" fillId="0" borderId="69" xfId="5" applyFont="1" applyBorder="1" applyAlignment="1">
      <alignment horizontal="center" vertical="center"/>
    </xf>
    <xf numFmtId="0" fontId="21" fillId="0" borderId="76" xfId="5" applyFont="1" applyBorder="1" applyAlignment="1">
      <alignment horizontal="center" vertical="center"/>
    </xf>
    <xf numFmtId="0" fontId="21" fillId="0" borderId="123" xfId="5" applyFont="1" applyBorder="1" applyAlignment="1">
      <alignment horizontal="center" vertical="center"/>
    </xf>
    <xf numFmtId="0" fontId="21" fillId="0" borderId="94" xfId="5" applyFont="1" applyBorder="1" applyAlignment="1">
      <alignment horizontal="left" vertical="center" wrapText="1"/>
    </xf>
    <xf numFmtId="0" fontId="21" fillId="0" borderId="136" xfId="5" applyFont="1" applyBorder="1" applyAlignment="1">
      <alignment horizontal="center" vertical="center"/>
    </xf>
    <xf numFmtId="0" fontId="21" fillId="0" borderId="82" xfId="5" applyFont="1" applyBorder="1" applyAlignment="1">
      <alignment horizontal="center" vertical="center"/>
    </xf>
    <xf numFmtId="0" fontId="21" fillId="0" borderId="139" xfId="5" applyFont="1" applyBorder="1" applyAlignment="1">
      <alignment horizontal="center" vertical="center"/>
    </xf>
    <xf numFmtId="0" fontId="21" fillId="0" borderId="136" xfId="5" applyFont="1" applyBorder="1" applyAlignment="1">
      <alignment horizontal="left" vertical="center" wrapText="1"/>
    </xf>
    <xf numFmtId="0" fontId="21" fillId="0" borderId="82" xfId="5" applyFont="1" applyBorder="1" applyAlignment="1">
      <alignment horizontal="left" vertical="center" wrapText="1"/>
    </xf>
    <xf numFmtId="0" fontId="21" fillId="0" borderId="139" xfId="5" applyFont="1" applyBorder="1" applyAlignment="1">
      <alignment horizontal="left" vertical="center" wrapText="1"/>
    </xf>
    <xf numFmtId="0" fontId="21" fillId="0" borderId="144" xfId="5" applyFont="1" applyBorder="1" applyAlignment="1">
      <alignment horizontal="center" vertical="center"/>
    </xf>
    <xf numFmtId="0" fontId="20" fillId="0" borderId="144" xfId="5" applyFont="1" applyBorder="1" applyAlignment="1">
      <alignment horizontal="center" vertical="center"/>
    </xf>
    <xf numFmtId="0" fontId="20" fillId="0" borderId="68" xfId="5" applyFont="1" applyBorder="1" applyAlignment="1">
      <alignment horizontal="center" vertical="center"/>
    </xf>
    <xf numFmtId="0" fontId="20" fillId="0" borderId="84" xfId="5" applyFont="1" applyBorder="1" applyAlignment="1">
      <alignment horizontal="center" vertical="center"/>
    </xf>
    <xf numFmtId="49" fontId="7" fillId="0" borderId="69" xfId="0" applyNumberFormat="1" applyFont="1" applyBorder="1" applyAlignment="1">
      <alignment horizontal="center" vertical="center"/>
    </xf>
    <xf numFmtId="49" fontId="7" fillId="0" borderId="83" xfId="0" applyNumberFormat="1" applyFont="1" applyBorder="1" applyAlignment="1">
      <alignment horizontal="center" vertical="center"/>
    </xf>
    <xf numFmtId="0" fontId="7" fillId="0" borderId="69" xfId="0" applyFont="1" applyBorder="1" applyAlignment="1">
      <alignment vertical="center" wrapText="1"/>
    </xf>
    <xf numFmtId="0" fontId="7" fillId="0" borderId="83" xfId="0" applyFont="1" applyBorder="1" applyAlignment="1">
      <alignment vertical="center" wrapText="1"/>
    </xf>
    <xf numFmtId="0" fontId="20" fillId="0" borderId="69" xfId="5" applyFont="1" applyBorder="1" applyAlignment="1">
      <alignment vertical="center" wrapText="1"/>
    </xf>
    <xf numFmtId="0" fontId="20" fillId="0" borderId="76" xfId="5" applyFont="1" applyBorder="1" applyAlignment="1">
      <alignment vertical="center" wrapText="1"/>
    </xf>
    <xf numFmtId="0" fontId="20" fillId="0" borderId="83" xfId="5" applyFont="1" applyBorder="1" applyAlignment="1">
      <alignment vertical="center" wrapText="1"/>
    </xf>
    <xf numFmtId="49" fontId="20" fillId="0" borderId="69" xfId="5" applyNumberFormat="1" applyFont="1" applyBorder="1" applyAlignment="1">
      <alignment horizontal="center" vertical="center"/>
    </xf>
    <xf numFmtId="49" fontId="20" fillId="0" borderId="76" xfId="5" applyNumberFormat="1" applyFont="1" applyBorder="1" applyAlignment="1">
      <alignment horizontal="center" vertical="center"/>
    </xf>
    <xf numFmtId="49" fontId="20" fillId="0" borderId="83" xfId="5" applyNumberFormat="1" applyFont="1" applyBorder="1" applyAlignment="1">
      <alignment horizontal="center" vertical="center"/>
    </xf>
    <xf numFmtId="0" fontId="20" fillId="0" borderId="100" xfId="5" applyFont="1" applyBorder="1" applyAlignment="1">
      <alignment vertical="center" wrapText="1"/>
    </xf>
    <xf numFmtId="0" fontId="20" fillId="0" borderId="57" xfId="5" applyFont="1" applyBorder="1" applyAlignment="1">
      <alignment vertical="center" wrapText="1"/>
    </xf>
    <xf numFmtId="49" fontId="20" fillId="0" borderId="100" xfId="5" applyNumberFormat="1" applyFont="1" applyBorder="1" applyAlignment="1">
      <alignment horizontal="center" vertical="center"/>
    </xf>
    <xf numFmtId="49" fontId="20" fillId="0" borderId="57" xfId="5" applyNumberFormat="1" applyFont="1" applyBorder="1" applyAlignment="1">
      <alignment horizontal="center" vertical="center"/>
    </xf>
    <xf numFmtId="0" fontId="20" fillId="0" borderId="103" xfId="5" applyFont="1" applyBorder="1" applyAlignment="1">
      <alignment horizontal="center" vertical="center"/>
    </xf>
    <xf numFmtId="0" fontId="20" fillId="0" borderId="79" xfId="5" applyFont="1" applyBorder="1" applyAlignment="1">
      <alignment horizontal="center" vertical="center"/>
    </xf>
    <xf numFmtId="0" fontId="20" fillId="0" borderId="47" xfId="5" applyFont="1" applyBorder="1" applyAlignment="1">
      <alignment horizontal="center" vertical="center"/>
    </xf>
    <xf numFmtId="49" fontId="20" fillId="0" borderId="99" xfId="5" applyNumberFormat="1" applyFont="1" applyBorder="1" applyAlignment="1">
      <alignment horizontal="center" vertical="center"/>
    </xf>
    <xf numFmtId="49" fontId="20" fillId="0" borderId="77" xfId="5" applyNumberFormat="1" applyFont="1" applyBorder="1" applyAlignment="1">
      <alignment horizontal="center" vertical="center"/>
    </xf>
    <xf numFmtId="49" fontId="20" fillId="0" borderId="11" xfId="5" applyNumberFormat="1" applyFont="1" applyBorder="1" applyAlignment="1">
      <alignment horizontal="center" vertical="center"/>
    </xf>
    <xf numFmtId="0" fontId="20" fillId="0" borderId="51" xfId="5" applyFont="1" applyBorder="1" applyAlignment="1">
      <alignment horizontal="center" vertical="center"/>
    </xf>
    <xf numFmtId="49" fontId="20" fillId="0" borderId="94" xfId="5" applyNumberFormat="1" applyFont="1" applyBorder="1" applyAlignment="1">
      <alignment horizontal="center" vertical="center"/>
    </xf>
    <xf numFmtId="0" fontId="20" fillId="0" borderId="94" xfId="5" applyFont="1" applyBorder="1" applyAlignment="1">
      <alignment vertical="center" wrapText="1"/>
    </xf>
    <xf numFmtId="0" fontId="20" fillId="0" borderId="39" xfId="5" applyFont="1" applyBorder="1" applyAlignment="1">
      <alignment horizontal="center" vertical="center"/>
    </xf>
    <xf numFmtId="49" fontId="20" fillId="0" borderId="34" xfId="5" applyNumberFormat="1" applyFont="1" applyBorder="1" applyAlignment="1">
      <alignment horizontal="center" vertical="center"/>
    </xf>
    <xf numFmtId="0" fontId="20" fillId="0" borderId="34" xfId="5" applyFont="1" applyBorder="1" applyAlignment="1">
      <alignment vertical="center" wrapText="1"/>
    </xf>
    <xf numFmtId="0" fontId="20" fillId="0" borderId="19" xfId="5" applyFont="1" applyBorder="1" applyAlignment="1">
      <alignment horizontal="center" vertical="center"/>
    </xf>
    <xf numFmtId="49" fontId="20" fillId="0" borderId="89" xfId="5" applyNumberFormat="1" applyFont="1" applyBorder="1" applyAlignment="1">
      <alignment horizontal="center" vertical="center"/>
    </xf>
    <xf numFmtId="0" fontId="20" fillId="0" borderId="89" xfId="5" applyFont="1" applyBorder="1" applyAlignment="1">
      <alignment vertical="center" wrapText="1"/>
    </xf>
    <xf numFmtId="0" fontId="21" fillId="0" borderId="0" xfId="5" applyFont="1" applyAlignment="1">
      <alignment horizontal="center" vertical="center" wrapText="1"/>
    </xf>
    <xf numFmtId="0" fontId="14" fillId="0" borderId="0" xfId="4" applyFont="1" applyAlignment="1">
      <alignment horizontal="center" vertical="center"/>
    </xf>
    <xf numFmtId="0" fontId="21" fillId="0" borderId="99" xfId="5" applyFont="1" applyBorder="1" applyAlignment="1">
      <alignment horizontal="center" vertical="center"/>
    </xf>
    <xf numFmtId="0" fontId="21" fillId="0" borderId="100" xfId="5" applyFont="1" applyBorder="1" applyAlignment="1">
      <alignment horizontal="center" vertical="center"/>
    </xf>
    <xf numFmtId="0" fontId="21" fillId="0" borderId="101" xfId="5" applyFont="1" applyBorder="1" applyAlignment="1">
      <alignment horizontal="center" vertical="center"/>
    </xf>
    <xf numFmtId="0" fontId="21" fillId="0" borderId="11" xfId="5" applyFont="1" applyBorder="1" applyAlignment="1">
      <alignment horizontal="center" vertical="center"/>
    </xf>
    <xf numFmtId="0" fontId="21" fillId="0" borderId="57" xfId="5" applyFont="1" applyBorder="1" applyAlignment="1">
      <alignment horizontal="center" vertical="center"/>
    </xf>
    <xf numFmtId="0" fontId="21" fillId="0" borderId="1" xfId="5" applyFont="1" applyBorder="1" applyAlignment="1">
      <alignment horizontal="center" vertical="center"/>
    </xf>
    <xf numFmtId="0" fontId="21" fillId="0" borderId="102" xfId="5" applyFont="1" applyBorder="1" applyAlignment="1">
      <alignment horizontal="center" vertical="center"/>
    </xf>
    <xf numFmtId="0" fontId="21" fillId="0" borderId="21" xfId="5" applyFont="1" applyBorder="1" applyAlignment="1">
      <alignment horizontal="center" vertical="center"/>
    </xf>
    <xf numFmtId="0" fontId="21" fillId="0" borderId="105" xfId="5" applyFont="1" applyBorder="1" applyAlignment="1">
      <alignment horizontal="center" vertical="center" wrapText="1"/>
    </xf>
    <xf numFmtId="0" fontId="21" fillId="0" borderId="96" xfId="5" applyFont="1" applyBorder="1" applyAlignment="1">
      <alignment horizontal="center" vertical="center" wrapText="1"/>
    </xf>
    <xf numFmtId="0" fontId="56" fillId="0" borderId="64" xfId="6" applyFont="1" applyBorder="1" applyAlignment="1">
      <alignment horizontal="left" vertical="center"/>
    </xf>
    <xf numFmtId="0" fontId="56" fillId="0" borderId="27" xfId="6" applyFont="1" applyBorder="1" applyAlignment="1">
      <alignment horizontal="left" vertical="center"/>
    </xf>
    <xf numFmtId="0" fontId="56" fillId="0" borderId="134" xfId="6" applyFont="1" applyBorder="1" applyAlignment="1">
      <alignment horizontal="left" vertical="center"/>
    </xf>
    <xf numFmtId="0" fontId="56" fillId="0" borderId="48" xfId="6" applyFont="1" applyBorder="1" applyAlignment="1">
      <alignment horizontal="left" vertical="center"/>
    </xf>
    <xf numFmtId="0" fontId="56" fillId="0" borderId="0" xfId="6" applyFont="1" applyBorder="1" applyAlignment="1">
      <alignment horizontal="left" vertical="center"/>
    </xf>
    <xf numFmtId="0" fontId="56" fillId="0" borderId="16" xfId="6" applyFont="1" applyBorder="1" applyAlignment="1">
      <alignment horizontal="left" vertical="center"/>
    </xf>
    <xf numFmtId="0" fontId="56" fillId="0" borderId="18" xfId="6" applyFont="1" applyBorder="1" applyAlignment="1">
      <alignment horizontal="left" vertical="center"/>
    </xf>
    <xf numFmtId="0" fontId="56" fillId="0" borderId="3" xfId="6" applyFont="1" applyBorder="1" applyAlignment="1">
      <alignment horizontal="left" vertical="center"/>
    </xf>
    <xf numFmtId="0" fontId="56" fillId="0" borderId="133" xfId="6" applyFont="1" applyBorder="1" applyAlignment="1">
      <alignment horizontal="left" vertical="center"/>
    </xf>
    <xf numFmtId="0" fontId="58" fillId="2" borderId="28" xfId="6" applyFont="1" applyFill="1" applyBorder="1" applyAlignment="1">
      <alignment horizontal="center" vertical="center"/>
    </xf>
    <xf numFmtId="0" fontId="58" fillId="2" borderId="51" xfId="6" applyFont="1" applyFill="1" applyBorder="1" applyAlignment="1">
      <alignment horizontal="center" vertical="center"/>
    </xf>
    <xf numFmtId="0" fontId="58" fillId="2" borderId="30" xfId="6" applyFont="1" applyFill="1" applyBorder="1" applyAlignment="1">
      <alignment horizontal="center" vertical="center"/>
    </xf>
    <xf numFmtId="0" fontId="58" fillId="0" borderId="111" xfId="6" applyFont="1" applyBorder="1" applyAlignment="1">
      <alignment horizontal="left" vertical="center" wrapText="1"/>
    </xf>
    <xf numFmtId="0" fontId="58" fillId="0" borderId="94" xfId="6" applyFont="1" applyBorder="1" applyAlignment="1">
      <alignment horizontal="left" vertical="center" wrapText="1"/>
    </xf>
    <xf numFmtId="0" fontId="58" fillId="0" borderId="108" xfId="6" applyFont="1" applyBorder="1" applyAlignment="1">
      <alignment horizontal="left" vertical="center" wrapText="1"/>
    </xf>
    <xf numFmtId="0" fontId="58" fillId="2" borderId="113" xfId="6" applyFont="1" applyFill="1" applyBorder="1" applyAlignment="1">
      <alignment horizontal="center" vertical="center"/>
    </xf>
    <xf numFmtId="0" fontId="58" fillId="2" borderId="77" xfId="6" applyFont="1" applyFill="1" applyBorder="1" applyAlignment="1">
      <alignment horizontal="center" vertical="center"/>
    </xf>
    <xf numFmtId="0" fontId="58" fillId="2" borderId="11" xfId="6" applyFont="1" applyFill="1" applyBorder="1" applyAlignment="1">
      <alignment horizontal="center" vertical="center"/>
    </xf>
    <xf numFmtId="0" fontId="56" fillId="0" borderId="59" xfId="6" applyFont="1" applyBorder="1" applyAlignment="1">
      <alignment horizontal="left" vertical="center" wrapText="1"/>
    </xf>
    <xf numFmtId="0" fontId="56" fillId="0" borderId="150" xfId="6" applyFont="1" applyBorder="1" applyAlignment="1">
      <alignment horizontal="left" vertical="center" wrapText="1"/>
    </xf>
    <xf numFmtId="0" fontId="56" fillId="0" borderId="16" xfId="6" applyFont="1" applyBorder="1" applyAlignment="1">
      <alignment horizontal="left" vertical="center" wrapText="1"/>
    </xf>
    <xf numFmtId="0" fontId="56" fillId="0" borderId="153" xfId="6" applyFont="1" applyBorder="1" applyAlignment="1">
      <alignment horizontal="left" vertical="center" wrapText="1"/>
    </xf>
    <xf numFmtId="0" fontId="56" fillId="0" borderId="133" xfId="6" applyFont="1" applyBorder="1" applyAlignment="1">
      <alignment horizontal="left" vertical="center" wrapText="1"/>
    </xf>
    <xf numFmtId="0" fontId="56" fillId="0" borderId="106" xfId="6" applyFont="1" applyBorder="1" applyAlignment="1">
      <alignment horizontal="left" vertical="center"/>
    </xf>
    <xf numFmtId="0" fontId="56" fillId="2" borderId="51" xfId="6" applyFont="1" applyFill="1" applyBorder="1" applyAlignment="1">
      <alignment horizontal="center" vertical="center"/>
    </xf>
    <xf numFmtId="0" fontId="56" fillId="2" borderId="19" xfId="6" applyFont="1" applyFill="1" applyBorder="1" applyAlignment="1">
      <alignment horizontal="center" vertical="center"/>
    </xf>
    <xf numFmtId="0" fontId="56" fillId="0" borderId="149" xfId="6" applyFont="1" applyBorder="1" applyAlignment="1">
      <alignment horizontal="left" vertical="center"/>
    </xf>
    <xf numFmtId="0" fontId="56" fillId="0" borderId="150" xfId="6" applyFont="1" applyBorder="1" applyAlignment="1">
      <alignment horizontal="left" vertical="center"/>
    </xf>
    <xf numFmtId="0" fontId="56" fillId="0" borderId="59" xfId="6" applyFont="1" applyBorder="1" applyAlignment="1">
      <alignment horizontal="left" vertical="center"/>
    </xf>
    <xf numFmtId="0" fontId="56" fillId="0" borderId="153" xfId="6" applyFont="1" applyBorder="1" applyAlignment="1">
      <alignment horizontal="left" vertical="center"/>
    </xf>
    <xf numFmtId="0" fontId="56" fillId="0" borderId="103" xfId="6" applyFont="1" applyBorder="1" applyAlignment="1">
      <alignment horizontal="left" vertical="center"/>
    </xf>
    <xf numFmtId="0" fontId="56" fillId="0" borderId="115" xfId="6" applyFont="1" applyBorder="1" applyAlignment="1">
      <alignment horizontal="left" vertical="center"/>
    </xf>
    <xf numFmtId="0" fontId="56" fillId="0" borderId="119" xfId="6" applyFont="1" applyBorder="1" applyAlignment="1">
      <alignment horizontal="left" vertical="center"/>
    </xf>
    <xf numFmtId="0" fontId="58" fillId="2" borderId="19" xfId="6" applyFont="1" applyFill="1" applyBorder="1" applyAlignment="1">
      <alignment horizontal="center" vertical="center"/>
    </xf>
    <xf numFmtId="0" fontId="58" fillId="0" borderId="89" xfId="6" applyFont="1" applyBorder="1" applyAlignment="1">
      <alignment horizontal="left" vertical="center" wrapText="1"/>
    </xf>
    <xf numFmtId="49" fontId="58" fillId="0" borderId="123" xfId="6" applyNumberFormat="1" applyFont="1" applyBorder="1" applyAlignment="1">
      <alignment horizontal="center" vertical="center"/>
    </xf>
    <xf numFmtId="49" fontId="58" fillId="0" borderId="108" xfId="6" applyNumberFormat="1" applyFont="1" applyBorder="1" applyAlignment="1">
      <alignment horizontal="center" vertical="center"/>
    </xf>
    <xf numFmtId="0" fontId="58" fillId="0" borderId="123" xfId="6" applyFont="1" applyBorder="1" applyAlignment="1">
      <alignment horizontal="left" vertical="center" wrapText="1"/>
    </xf>
    <xf numFmtId="0" fontId="56" fillId="0" borderId="149" xfId="6" applyFont="1" applyBorder="1" applyAlignment="1">
      <alignment horizontal="left" vertical="center" wrapText="1"/>
    </xf>
    <xf numFmtId="0" fontId="56" fillId="0" borderId="65" xfId="6" applyFont="1" applyBorder="1" applyAlignment="1">
      <alignment horizontal="left" vertical="center"/>
    </xf>
    <xf numFmtId="0" fontId="56" fillId="0" borderId="73" xfId="6" applyFont="1" applyBorder="1" applyAlignment="1">
      <alignment horizontal="left" vertical="center"/>
    </xf>
    <xf numFmtId="0" fontId="58" fillId="2" borderId="122" xfId="6" applyFont="1" applyFill="1" applyBorder="1" applyAlignment="1">
      <alignment horizontal="center" vertical="center"/>
    </xf>
    <xf numFmtId="0" fontId="56" fillId="0" borderId="0" xfId="6" applyFont="1" applyAlignment="1">
      <alignment horizontal="center" vertical="center" wrapText="1"/>
    </xf>
    <xf numFmtId="0" fontId="56" fillId="0" borderId="35" xfId="6" applyFont="1" applyBorder="1" applyAlignment="1">
      <alignment horizontal="center" vertical="center"/>
    </xf>
    <xf numFmtId="0" fontId="56" fillId="0" borderId="36" xfId="6" applyFont="1" applyBorder="1" applyAlignment="1">
      <alignment horizontal="center" vertical="center"/>
    </xf>
    <xf numFmtId="0" fontId="56" fillId="0" borderId="37" xfId="6" applyFont="1" applyBorder="1" applyAlignment="1">
      <alignment horizontal="center" vertical="center"/>
    </xf>
    <xf numFmtId="0" fontId="56" fillId="0" borderId="146" xfId="6" applyFont="1" applyBorder="1" applyAlignment="1">
      <alignment horizontal="center" vertical="center"/>
    </xf>
    <xf numFmtId="0" fontId="56" fillId="0" borderId="123" xfId="6" applyFont="1" applyBorder="1" applyAlignment="1">
      <alignment horizontal="center" vertical="center"/>
    </xf>
    <xf numFmtId="0" fontId="56" fillId="0" borderId="85" xfId="6" applyFont="1" applyBorder="1" applyAlignment="1">
      <alignment horizontal="center" vertical="center"/>
    </xf>
    <xf numFmtId="3" fontId="56" fillId="0" borderId="128" xfId="6" applyNumberFormat="1" applyFont="1" applyBorder="1" applyAlignment="1">
      <alignment horizontal="center" vertical="center"/>
    </xf>
    <xf numFmtId="3" fontId="56" fillId="0" borderId="147" xfId="6" applyNumberFormat="1" applyFont="1" applyBorder="1" applyAlignment="1">
      <alignment horizontal="center" vertical="center"/>
    </xf>
    <xf numFmtId="0" fontId="56" fillId="0" borderId="128" xfId="6" applyFont="1" applyBorder="1" applyAlignment="1">
      <alignment horizontal="center" vertical="center"/>
    </xf>
    <xf numFmtId="0" fontId="56" fillId="0" borderId="147" xfId="6" applyFont="1" applyBorder="1" applyAlignment="1">
      <alignment horizontal="center" vertical="center"/>
    </xf>
    <xf numFmtId="0" fontId="56" fillId="0" borderId="99" xfId="6" applyFont="1" applyBorder="1" applyAlignment="1">
      <alignment horizontal="center" vertical="center"/>
    </xf>
    <xf numFmtId="0" fontId="56" fillId="0" borderId="136" xfId="6" applyFont="1" applyBorder="1" applyAlignment="1">
      <alignment horizontal="center" vertical="center"/>
    </xf>
    <xf numFmtId="0" fontId="56" fillId="0" borderId="118" xfId="6" applyFont="1" applyBorder="1" applyAlignment="1">
      <alignment horizontal="center" vertical="center"/>
    </xf>
    <xf numFmtId="0" fontId="58" fillId="2" borderId="39" xfId="6" applyFont="1" applyFill="1" applyBorder="1" applyAlignment="1">
      <alignment horizontal="center" vertical="center"/>
    </xf>
    <xf numFmtId="0" fontId="58" fillId="0" borderId="127" xfId="6" applyFont="1" applyBorder="1" applyAlignment="1">
      <alignment horizontal="left" vertical="center" wrapText="1"/>
    </xf>
    <xf numFmtId="0" fontId="21" fillId="0" borderId="0" xfId="6" applyFont="1" applyAlignment="1">
      <alignment horizontal="center" vertical="center" wrapText="1"/>
    </xf>
    <xf numFmtId="0" fontId="14" fillId="0" borderId="9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57"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57"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1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89" xfId="0" applyFont="1" applyBorder="1" applyAlignment="1">
      <alignment horizontal="center" vertical="center" wrapText="1"/>
    </xf>
    <xf numFmtId="164" fontId="21" fillId="5" borderId="99" xfId="19" applyFont="1" applyFill="1" applyBorder="1" applyAlignment="1">
      <alignment horizontal="center" vertical="center" wrapText="1"/>
    </xf>
    <xf numFmtId="164" fontId="21" fillId="5" borderId="77" xfId="19" applyFont="1" applyFill="1" applyBorder="1" applyAlignment="1">
      <alignment horizontal="center" vertical="center" wrapText="1"/>
    </xf>
    <xf numFmtId="164" fontId="21" fillId="5" borderId="11" xfId="19" applyFont="1" applyFill="1" applyBorder="1" applyAlignment="1">
      <alignment horizontal="center" vertical="center" wrapText="1"/>
    </xf>
    <xf numFmtId="0" fontId="13" fillId="0" borderId="76" xfId="0" applyFont="1" applyBorder="1" applyAlignment="1">
      <alignment horizontal="center" vertical="center" wrapText="1"/>
    </xf>
    <xf numFmtId="164" fontId="21" fillId="5" borderId="68" xfId="19" applyFont="1" applyFill="1" applyBorder="1" applyAlignment="1">
      <alignment horizontal="center" vertical="center" wrapText="1"/>
    </xf>
    <xf numFmtId="164" fontId="21" fillId="5" borderId="84" xfId="19" applyFont="1" applyFill="1" applyBorder="1" applyAlignment="1">
      <alignment horizontal="center" vertical="center" wrapText="1"/>
    </xf>
    <xf numFmtId="0" fontId="13" fillId="0" borderId="69" xfId="0" applyFont="1" applyBorder="1" applyAlignment="1">
      <alignment horizontal="center" vertical="center" wrapText="1"/>
    </xf>
    <xf numFmtId="0" fontId="13" fillId="0" borderId="83" xfId="0" applyFont="1" applyBorder="1" applyAlignment="1">
      <alignment horizontal="center" vertical="center" wrapText="1"/>
    </xf>
    <xf numFmtId="0" fontId="14" fillId="0" borderId="101" xfId="0" applyFont="1" applyBorder="1" applyAlignment="1">
      <alignment horizontal="center" vertical="center" wrapText="1"/>
    </xf>
    <xf numFmtId="0" fontId="14" fillId="0" borderId="1" xfId="0" applyFont="1" applyBorder="1" applyAlignment="1">
      <alignment horizontal="center" vertical="center" wrapText="1"/>
    </xf>
    <xf numFmtId="164" fontId="54" fillId="5" borderId="99" xfId="19" applyFont="1" applyFill="1" applyBorder="1" applyAlignment="1">
      <alignment horizontal="center" vertical="center" wrapText="1"/>
    </xf>
    <xf numFmtId="164" fontId="54" fillId="5" borderId="77" xfId="19" applyFont="1" applyFill="1" applyBorder="1" applyAlignment="1">
      <alignment horizontal="center" vertical="center" wrapText="1"/>
    </xf>
    <xf numFmtId="164" fontId="54" fillId="5" borderId="33" xfId="19" applyFont="1" applyFill="1" applyBorder="1" applyAlignment="1">
      <alignment horizontal="center" vertical="center" wrapText="1"/>
    </xf>
    <xf numFmtId="0" fontId="13" fillId="0" borderId="117" xfId="0" applyFont="1" applyBorder="1" applyAlignment="1">
      <alignment horizontal="center" vertical="center" wrapText="1"/>
    </xf>
    <xf numFmtId="0" fontId="13" fillId="0" borderId="32" xfId="0" applyFont="1" applyBorder="1" applyAlignment="1">
      <alignment horizontal="center" vertical="center" wrapText="1"/>
    </xf>
    <xf numFmtId="164" fontId="54" fillId="5" borderId="113" xfId="19" applyFont="1" applyFill="1" applyBorder="1" applyAlignment="1">
      <alignment horizontal="center" vertical="center" wrapText="1"/>
    </xf>
    <xf numFmtId="0" fontId="13" fillId="0" borderId="110" xfId="0" applyFont="1" applyBorder="1" applyAlignment="1">
      <alignment horizontal="center" vertical="center" wrapText="1"/>
    </xf>
    <xf numFmtId="164" fontId="52" fillId="5" borderId="99" xfId="19" applyFont="1" applyFill="1" applyBorder="1" applyAlignment="1">
      <alignment horizontal="center" vertical="center" wrapText="1"/>
    </xf>
    <xf numFmtId="164" fontId="52" fillId="5" borderId="77" xfId="19" applyFont="1" applyFill="1" applyBorder="1" applyAlignment="1">
      <alignment horizontal="center" vertical="center" wrapText="1"/>
    </xf>
    <xf numFmtId="164" fontId="52" fillId="5" borderId="11" xfId="19" applyFont="1" applyFill="1" applyBorder="1" applyAlignment="1">
      <alignment horizontal="center" vertical="center" wrapText="1"/>
    </xf>
    <xf numFmtId="164" fontId="53" fillId="5" borderId="113" xfId="19" applyFont="1" applyFill="1" applyBorder="1" applyAlignment="1">
      <alignment horizontal="center" vertical="center" wrapText="1"/>
    </xf>
    <xf numFmtId="164" fontId="53" fillId="5" borderId="77" xfId="19" applyFont="1" applyFill="1" applyBorder="1" applyAlignment="1">
      <alignment horizontal="center" vertical="center" wrapText="1"/>
    </xf>
    <xf numFmtId="164" fontId="53" fillId="5" borderId="33" xfId="19" applyFont="1" applyFill="1" applyBorder="1" applyAlignment="1">
      <alignment horizontal="center" vertical="center" wrapText="1"/>
    </xf>
    <xf numFmtId="0" fontId="14" fillId="0" borderId="69" xfId="0" applyFont="1" applyBorder="1" applyAlignment="1">
      <alignment horizontal="center" vertical="center" wrapText="1"/>
    </xf>
    <xf numFmtId="0" fontId="14" fillId="0" borderId="76" xfId="0" applyFont="1" applyBorder="1" applyAlignment="1">
      <alignment horizontal="center" vertical="center" wrapText="1"/>
    </xf>
    <xf numFmtId="164" fontId="53" fillId="5" borderId="68" xfId="19" applyFont="1" applyFill="1" applyBorder="1" applyAlignment="1">
      <alignment horizontal="center" vertical="center" wrapText="1"/>
    </xf>
    <xf numFmtId="0" fontId="14" fillId="0" borderId="77" xfId="0" applyFont="1" applyBorder="1" applyAlignment="1">
      <alignment horizontal="center" vertical="center" wrapText="1"/>
    </xf>
    <xf numFmtId="0" fontId="13" fillId="2" borderId="117"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57" xfId="0" applyFont="1" applyFill="1" applyBorder="1" applyAlignment="1">
      <alignment horizontal="center" vertical="center" wrapText="1"/>
    </xf>
    <xf numFmtId="164" fontId="55" fillId="5" borderId="99" xfId="19" applyFont="1" applyFill="1" applyBorder="1" applyAlignment="1">
      <alignment horizontal="center" vertical="center" wrapText="1"/>
    </xf>
    <xf numFmtId="164" fontId="55" fillId="5" borderId="77" xfId="19" applyFont="1" applyFill="1" applyBorder="1" applyAlignment="1">
      <alignment horizontal="center" vertical="center" wrapText="1"/>
    </xf>
    <xf numFmtId="164" fontId="55" fillId="5" borderId="11" xfId="19" applyFont="1" applyFill="1" applyBorder="1" applyAlignment="1">
      <alignment horizontal="center" vertical="center" wrapText="1"/>
    </xf>
    <xf numFmtId="164" fontId="52" fillId="5" borderId="68" xfId="19" applyFont="1" applyFill="1" applyBorder="1" applyAlignment="1">
      <alignment horizontal="center" vertical="center" wrapText="1"/>
    </xf>
    <xf numFmtId="164" fontId="52" fillId="5" borderId="84" xfId="19" applyFont="1" applyFill="1" applyBorder="1" applyAlignment="1">
      <alignment horizontal="center" vertical="center" wrapText="1"/>
    </xf>
    <xf numFmtId="0" fontId="14" fillId="0" borderId="83" xfId="0" applyFont="1" applyBorder="1" applyAlignment="1">
      <alignment horizontal="center" vertical="center" wrapText="1"/>
    </xf>
    <xf numFmtId="0" fontId="14" fillId="0" borderId="117" xfId="0" applyFont="1" applyBorder="1" applyAlignment="1">
      <alignment horizontal="center" vertical="center" wrapText="1"/>
    </xf>
    <xf numFmtId="0" fontId="24" fillId="0" borderId="117"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0" xfId="0" applyFont="1" applyAlignment="1">
      <alignment horizontal="center"/>
    </xf>
    <xf numFmtId="0" fontId="24" fillId="0" borderId="39" xfId="0" applyFont="1" applyBorder="1" applyAlignment="1">
      <alignment horizontal="center" vertical="center" wrapText="1"/>
    </xf>
    <xf numFmtId="0" fontId="0" fillId="0" borderId="51" xfId="0" applyBorder="1" applyAlignment="1">
      <alignment wrapText="1"/>
    </xf>
    <xf numFmtId="0" fontId="24" fillId="0" borderId="75" xfId="0" applyFont="1" applyBorder="1" applyAlignment="1">
      <alignment horizontal="center" vertical="center" wrapText="1"/>
    </xf>
    <xf numFmtId="0" fontId="0" fillId="0" borderId="59" xfId="0" applyBorder="1" applyAlignment="1">
      <alignment wrapText="1"/>
    </xf>
    <xf numFmtId="0" fontId="7" fillId="2" borderId="40" xfId="0" applyFont="1" applyFill="1" applyBorder="1" applyAlignment="1">
      <alignment horizontal="center" vertical="center"/>
    </xf>
    <xf numFmtId="0" fontId="0" fillId="2" borderId="44" xfId="0" applyFill="1" applyBorder="1"/>
    <xf numFmtId="0" fontId="24" fillId="0" borderId="0" xfId="0" applyFont="1" applyBorder="1" applyAlignment="1">
      <alignment horizontal="center"/>
    </xf>
    <xf numFmtId="0" fontId="24" fillId="0" borderId="103" xfId="0" applyFont="1" applyBorder="1" applyAlignment="1">
      <alignment horizontal="center" vertical="center"/>
    </xf>
    <xf numFmtId="0" fontId="7" fillId="0" borderId="115" xfId="0" applyFont="1" applyBorder="1" applyAlignment="1">
      <alignment horizontal="center" vertical="center"/>
    </xf>
    <xf numFmtId="0" fontId="7" fillId="0" borderId="119" xfId="0" applyFont="1" applyBorder="1" applyAlignment="1">
      <alignment horizontal="center" vertical="center"/>
    </xf>
    <xf numFmtId="0" fontId="24" fillId="0" borderId="51" xfId="0" applyFont="1" applyBorder="1" applyAlignment="1">
      <alignment horizontal="center" vertical="center" wrapText="1"/>
    </xf>
    <xf numFmtId="0" fontId="24" fillId="0" borderId="19" xfId="0" applyFont="1" applyBorder="1" applyAlignment="1">
      <alignment horizontal="center" vertical="center"/>
    </xf>
    <xf numFmtId="0" fontId="7" fillId="0" borderId="34" xfId="0" applyFont="1" applyBorder="1" applyAlignment="1">
      <alignment horizontal="center" vertical="center"/>
    </xf>
    <xf numFmtId="0" fontId="7" fillId="0" borderId="94" xfId="0" applyFont="1" applyBorder="1" applyAlignment="1">
      <alignment horizontal="center" vertical="center"/>
    </xf>
    <xf numFmtId="0" fontId="7" fillId="0" borderId="89" xfId="0" applyFont="1" applyBorder="1" applyAlignment="1">
      <alignment horizontal="center" vertical="center"/>
    </xf>
    <xf numFmtId="0" fontId="34" fillId="0" borderId="39"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30" xfId="0" applyFont="1" applyBorder="1" applyAlignment="1">
      <alignment horizontal="center" vertical="center"/>
    </xf>
    <xf numFmtId="0" fontId="7" fillId="0" borderId="108" xfId="0" applyFont="1" applyBorder="1" applyAlignment="1">
      <alignment horizontal="center" vertical="center"/>
    </xf>
    <xf numFmtId="0" fontId="34" fillId="0" borderId="28" xfId="0" applyFont="1" applyBorder="1" applyAlignment="1">
      <alignment horizontal="center" vertical="center" wrapText="1"/>
    </xf>
    <xf numFmtId="0" fontId="7" fillId="0" borderId="111" xfId="0" applyFont="1" applyBorder="1" applyAlignment="1">
      <alignment horizontal="center" vertical="center"/>
    </xf>
    <xf numFmtId="0" fontId="24" fillId="0" borderId="94" xfId="0" applyFont="1" applyBorder="1" applyAlignment="1">
      <alignment horizontal="center" vertical="center"/>
    </xf>
    <xf numFmtId="0" fontId="24" fillId="0" borderId="89" xfId="0" applyFont="1" applyBorder="1" applyAlignment="1">
      <alignment horizontal="center" vertical="center"/>
    </xf>
    <xf numFmtId="0" fontId="7" fillId="0" borderId="111"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08"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8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9" xfId="0" applyFont="1" applyBorder="1" applyAlignment="1">
      <alignment horizontal="center" vertical="center"/>
    </xf>
    <xf numFmtId="0" fontId="7" fillId="0" borderId="34" xfId="0" applyFont="1" applyBorder="1" applyAlignment="1">
      <alignment horizontal="center" vertical="center" wrapText="1"/>
    </xf>
    <xf numFmtId="0" fontId="7" fillId="0" borderId="89" xfId="0" applyFont="1" applyBorder="1" applyAlignment="1">
      <alignment horizontal="center" vertical="center" wrapText="1"/>
    </xf>
    <xf numFmtId="0" fontId="24" fillId="0" borderId="51" xfId="0" applyFont="1" applyBorder="1" applyAlignment="1">
      <alignment horizontal="center" vertical="center"/>
    </xf>
    <xf numFmtId="0" fontId="24" fillId="0" borderId="34" xfId="0" applyFont="1" applyBorder="1" applyAlignment="1">
      <alignment horizontal="center" vertical="center" wrapText="1"/>
    </xf>
    <xf numFmtId="0" fontId="14" fillId="0" borderId="0" xfId="9" applyFont="1" applyAlignment="1">
      <alignment horizontal="center" vertical="center" wrapText="1"/>
    </xf>
    <xf numFmtId="0" fontId="14" fillId="0" borderId="0" xfId="9" applyFont="1" applyAlignment="1">
      <alignment horizontal="center" vertical="center"/>
    </xf>
    <xf numFmtId="0" fontId="14" fillId="0" borderId="0" xfId="0" applyFont="1" applyAlignment="1">
      <alignment horizontal="center" vertical="center" wrapText="1"/>
    </xf>
    <xf numFmtId="0" fontId="14" fillId="0" borderId="0" xfId="12" applyFont="1" applyAlignment="1">
      <alignment horizontal="center" vertical="center" wrapText="1"/>
    </xf>
    <xf numFmtId="0" fontId="14" fillId="0" borderId="22"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22" xfId="0" applyFont="1" applyBorder="1" applyAlignment="1">
      <alignment horizontal="center" vertical="center"/>
    </xf>
    <xf numFmtId="0" fontId="14" fillId="0" borderId="47" xfId="0" applyFont="1" applyBorder="1" applyAlignment="1">
      <alignment horizontal="center" vertical="center"/>
    </xf>
    <xf numFmtId="0" fontId="14" fillId="0" borderId="10"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0" xfId="13" applyFont="1" applyAlignment="1">
      <alignment horizontal="center" vertical="center"/>
    </xf>
    <xf numFmtId="0" fontId="14" fillId="0" borderId="10" xfId="13" applyFont="1" applyBorder="1" applyAlignment="1">
      <alignment horizontal="center" vertical="center" wrapText="1"/>
    </xf>
    <xf numFmtId="0" fontId="14" fillId="0" borderId="50" xfId="13" applyFont="1" applyBorder="1" applyAlignment="1">
      <alignment horizontal="center" vertical="center" wrapText="1"/>
    </xf>
    <xf numFmtId="0" fontId="14" fillId="0" borderId="11" xfId="13" applyFont="1" applyBorder="1" applyAlignment="1">
      <alignment horizontal="center" vertical="center" wrapText="1"/>
    </xf>
    <xf numFmtId="0" fontId="14" fillId="0" borderId="1" xfId="13" applyFont="1" applyBorder="1" applyAlignment="1">
      <alignment horizontal="center" vertical="center" wrapText="1"/>
    </xf>
    <xf numFmtId="0" fontId="11" fillId="0" borderId="25" xfId="13" applyFont="1" applyBorder="1" applyAlignment="1">
      <alignment horizontal="left"/>
    </xf>
    <xf numFmtId="0" fontId="11" fillId="0" borderId="72" xfId="13" applyFont="1" applyBorder="1" applyAlignment="1">
      <alignment horizontal="left"/>
    </xf>
    <xf numFmtId="0" fontId="14" fillId="0" borderId="49" xfId="13" applyFont="1" applyBorder="1" applyAlignment="1">
      <alignment horizontal="center" vertical="center" wrapText="1"/>
    </xf>
    <xf numFmtId="0" fontId="14" fillId="0" borderId="135" xfId="13" applyFont="1" applyBorder="1" applyAlignment="1">
      <alignment horizontal="center" vertical="center" wrapText="1"/>
    </xf>
    <xf numFmtId="0" fontId="14" fillId="0" borderId="99" xfId="13" applyFont="1" applyBorder="1" applyAlignment="1">
      <alignment horizontal="center" vertical="center" wrapText="1"/>
    </xf>
    <xf numFmtId="0" fontId="14" fillId="0" borderId="117" xfId="13" applyFont="1" applyBorder="1" applyAlignment="1">
      <alignment horizontal="center" vertical="center" wrapText="1"/>
    </xf>
    <xf numFmtId="0" fontId="14" fillId="0" borderId="118" xfId="13" applyFont="1" applyBorder="1" applyAlignment="1">
      <alignment horizontal="center" vertical="center" wrapText="1"/>
    </xf>
    <xf numFmtId="0" fontId="11" fillId="0" borderId="77" xfId="13" applyFont="1" applyBorder="1" applyAlignment="1">
      <alignment horizontal="left"/>
    </xf>
    <xf numFmtId="0" fontId="11" fillId="0" borderId="78" xfId="13" applyFont="1" applyBorder="1" applyAlignment="1">
      <alignment horizontal="left"/>
    </xf>
    <xf numFmtId="0" fontId="28" fillId="0" borderId="0" xfId="0" applyFont="1" applyAlignment="1">
      <alignment horizontal="center" vertical="center" wrapText="1"/>
    </xf>
    <xf numFmtId="0" fontId="28" fillId="0" borderId="0" xfId="0" applyFont="1" applyAlignment="1">
      <alignment horizontal="center" vertical="center"/>
    </xf>
    <xf numFmtId="0" fontId="0" fillId="0" borderId="0" xfId="0" applyAlignment="1">
      <alignment vertical="center"/>
    </xf>
    <xf numFmtId="0" fontId="24" fillId="0" borderId="0" xfId="0" applyFont="1" applyAlignment="1">
      <alignment horizontal="center" wrapText="1"/>
    </xf>
    <xf numFmtId="0" fontId="14" fillId="0" borderId="0" xfId="14" applyFont="1" applyAlignment="1">
      <alignment horizontal="center"/>
    </xf>
    <xf numFmtId="3" fontId="14" fillId="0" borderId="64" xfId="14" applyNumberFormat="1" applyFont="1" applyBorder="1" applyAlignment="1">
      <alignment horizontal="center" vertical="center" wrapText="1"/>
    </xf>
    <xf numFmtId="3" fontId="14" fillId="0" borderId="27" xfId="14" applyNumberFormat="1" applyFont="1" applyBorder="1" applyAlignment="1">
      <alignment horizontal="center" vertical="center" wrapText="1"/>
    </xf>
    <xf numFmtId="3" fontId="14" fillId="0" borderId="106" xfId="14" applyNumberFormat="1" applyFont="1" applyBorder="1" applyAlignment="1">
      <alignment horizontal="center" vertical="center" wrapText="1"/>
    </xf>
    <xf numFmtId="0" fontId="14" fillId="0" borderId="7" xfId="14" applyFont="1" applyBorder="1" applyAlignment="1">
      <alignment horizontal="center" vertical="center"/>
    </xf>
    <xf numFmtId="0" fontId="14" fillId="0" borderId="8" xfId="14" applyFont="1" applyBorder="1" applyAlignment="1">
      <alignment horizontal="center" vertical="center"/>
    </xf>
    <xf numFmtId="0" fontId="14" fillId="0" borderId="43" xfId="14" applyFont="1" applyBorder="1" applyAlignment="1">
      <alignment horizontal="center" vertical="center"/>
    </xf>
    <xf numFmtId="0" fontId="13" fillId="2" borderId="120" xfId="9" applyFont="1" applyFill="1" applyBorder="1" applyAlignment="1">
      <alignment horizontal="left" vertical="center" wrapText="1"/>
    </xf>
    <xf numFmtId="0" fontId="13" fillId="2" borderId="48" xfId="9" applyFont="1" applyFill="1" applyBorder="1" applyAlignment="1">
      <alignment horizontal="left" vertical="center" wrapText="1"/>
    </xf>
    <xf numFmtId="0" fontId="13" fillId="2" borderId="23" xfId="9" applyFont="1" applyFill="1" applyBorder="1" applyAlignment="1">
      <alignment horizontal="left" vertical="center" wrapText="1"/>
    </xf>
    <xf numFmtId="3" fontId="13" fillId="0" borderId="77" xfId="14" applyNumberFormat="1" applyFont="1" applyBorder="1" applyAlignment="1">
      <alignment horizontal="right" vertical="center"/>
    </xf>
    <xf numFmtId="0" fontId="14" fillId="0" borderId="22" xfId="14" applyFont="1" applyBorder="1" applyAlignment="1">
      <alignment horizontal="center" vertical="center"/>
    </xf>
    <xf numFmtId="0" fontId="14" fillId="0" borderId="47" xfId="14" applyFont="1" applyBorder="1" applyAlignment="1">
      <alignment horizontal="center" vertical="center"/>
    </xf>
    <xf numFmtId="3" fontId="14" fillId="0" borderId="10" xfId="14" applyNumberFormat="1" applyFont="1" applyBorder="1" applyAlignment="1">
      <alignment horizontal="center" vertical="center" wrapText="1"/>
    </xf>
    <xf numFmtId="3" fontId="14" fillId="0" borderId="122" xfId="14" applyNumberFormat="1" applyFont="1" applyBorder="1" applyAlignment="1">
      <alignment horizontal="center" vertical="center" wrapText="1"/>
    </xf>
    <xf numFmtId="0" fontId="14" fillId="0" borderId="115" xfId="14" applyFont="1" applyBorder="1" applyAlignment="1">
      <alignment horizontal="center" vertical="center"/>
    </xf>
    <xf numFmtId="0" fontId="14" fillId="0" borderId="46" xfId="14" applyFont="1" applyBorder="1" applyAlignment="1">
      <alignment horizontal="center" vertical="center"/>
    </xf>
    <xf numFmtId="3" fontId="13" fillId="0" borderId="78" xfId="14" applyNumberFormat="1" applyFont="1" applyBorder="1" applyAlignment="1">
      <alignment horizontal="right" vertical="center"/>
    </xf>
    <xf numFmtId="0" fontId="0" fillId="0" borderId="78" xfId="0" applyBorder="1" applyAlignment="1">
      <alignment horizontal="right" vertical="center"/>
    </xf>
    <xf numFmtId="3" fontId="14" fillId="2" borderId="50" xfId="14" applyNumberFormat="1" applyFont="1" applyFill="1" applyBorder="1" applyAlignment="1">
      <alignment horizontal="center" vertical="center" wrapText="1"/>
    </xf>
    <xf numFmtId="0" fontId="0" fillId="2" borderId="124" xfId="0" applyFill="1" applyBorder="1" applyAlignment="1">
      <alignment horizontal="center" vertical="center" wrapText="1"/>
    </xf>
    <xf numFmtId="3" fontId="14" fillId="0" borderId="49" xfId="14" applyNumberFormat="1" applyFont="1" applyBorder="1" applyAlignment="1">
      <alignment horizontal="center" vertical="center" wrapText="1"/>
    </xf>
    <xf numFmtId="0" fontId="0" fillId="0" borderId="123" xfId="0" applyBorder="1" applyAlignment="1">
      <alignment horizontal="center" vertical="center" wrapText="1"/>
    </xf>
    <xf numFmtId="3" fontId="13" fillId="0" borderId="82" xfId="14" applyNumberFormat="1" applyFont="1" applyBorder="1" applyAlignment="1">
      <alignment horizontal="right" vertical="center"/>
    </xf>
    <xf numFmtId="0" fontId="0" fillId="0" borderId="82" xfId="0" applyBorder="1" applyAlignment="1">
      <alignment horizontal="right" vertical="center"/>
    </xf>
    <xf numFmtId="0" fontId="14" fillId="0" borderId="27" xfId="14" applyFont="1" applyBorder="1" applyAlignment="1">
      <alignment horizontal="center" vertical="center"/>
    </xf>
    <xf numFmtId="0" fontId="14" fillId="0" borderId="106" xfId="14" applyFont="1" applyBorder="1" applyAlignment="1">
      <alignment horizontal="center" vertical="center"/>
    </xf>
    <xf numFmtId="3" fontId="14" fillId="0" borderId="64" xfId="14" applyNumberFormat="1" applyFont="1" applyBorder="1" applyAlignment="1">
      <alignment horizontal="center" vertical="center"/>
    </xf>
    <xf numFmtId="3" fontId="14" fillId="0" borderId="27" xfId="14" applyNumberFormat="1" applyFont="1" applyBorder="1" applyAlignment="1">
      <alignment horizontal="center" vertical="center"/>
    </xf>
    <xf numFmtId="3" fontId="14" fillId="0" borderId="106" xfId="14" applyNumberFormat="1" applyFont="1" applyBorder="1" applyAlignment="1">
      <alignment horizontal="center" vertical="center"/>
    </xf>
    <xf numFmtId="0" fontId="14" fillId="0" borderId="131" xfId="14" applyFont="1" applyBorder="1" applyAlignment="1">
      <alignment horizontal="center" vertical="center"/>
    </xf>
    <xf numFmtId="0" fontId="14" fillId="0" borderId="64" xfId="14" applyFont="1" applyBorder="1" applyAlignment="1">
      <alignment horizontal="center" vertical="center"/>
    </xf>
    <xf numFmtId="3" fontId="14" fillId="2" borderId="124" xfId="14" applyNumberFormat="1" applyFont="1" applyFill="1" applyBorder="1" applyAlignment="1">
      <alignment horizontal="center" vertical="center" wrapText="1"/>
    </xf>
    <xf numFmtId="0" fontId="14" fillId="2" borderId="115" xfId="14" applyFont="1" applyFill="1" applyBorder="1" applyAlignment="1">
      <alignment horizontal="center" vertical="center"/>
    </xf>
    <xf numFmtId="0" fontId="14" fillId="2" borderId="46" xfId="14" applyFont="1" applyFill="1" applyBorder="1" applyAlignment="1">
      <alignment horizontal="center" vertical="center"/>
    </xf>
    <xf numFmtId="0" fontId="14" fillId="0" borderId="10" xfId="14" applyFont="1" applyBorder="1" applyAlignment="1">
      <alignment horizontal="center" vertical="center"/>
    </xf>
    <xf numFmtId="0" fontId="0" fillId="0" borderId="122" xfId="0" applyBorder="1" applyAlignment="1">
      <alignment horizontal="center" vertical="center"/>
    </xf>
    <xf numFmtId="3" fontId="14" fillId="0" borderId="123" xfId="14" applyNumberFormat="1" applyFont="1" applyBorder="1" applyAlignment="1">
      <alignment horizontal="center" vertical="center" wrapText="1"/>
    </xf>
    <xf numFmtId="3" fontId="14" fillId="2" borderId="64" xfId="14" applyNumberFormat="1" applyFont="1" applyFill="1" applyBorder="1" applyAlignment="1">
      <alignment horizontal="center" vertical="center" wrapText="1"/>
    </xf>
    <xf numFmtId="3" fontId="14" fillId="2" borderId="131" xfId="14" applyNumberFormat="1" applyFont="1" applyFill="1" applyBorder="1" applyAlignment="1">
      <alignment horizontal="center" vertical="center" wrapText="1"/>
    </xf>
    <xf numFmtId="3" fontId="14" fillId="2" borderId="106" xfId="14" applyNumberFormat="1" applyFont="1" applyFill="1" applyBorder="1" applyAlignment="1">
      <alignment horizontal="center" vertical="center" wrapText="1"/>
    </xf>
    <xf numFmtId="3" fontId="14" fillId="2" borderId="39" xfId="14" applyNumberFormat="1" applyFont="1" applyFill="1" applyBorder="1" applyAlignment="1">
      <alignment horizontal="center" vertical="center"/>
    </xf>
    <xf numFmtId="3" fontId="14" fillId="2" borderId="127" xfId="14" applyNumberFormat="1" applyFont="1" applyFill="1" applyBorder="1" applyAlignment="1">
      <alignment horizontal="center" vertical="center"/>
    </xf>
    <xf numFmtId="3" fontId="14" fillId="2" borderId="75" xfId="14" applyNumberFormat="1" applyFont="1" applyFill="1" applyBorder="1" applyAlignment="1">
      <alignment horizontal="center" vertical="center"/>
    </xf>
    <xf numFmtId="3" fontId="14" fillId="2" borderId="39" xfId="14" applyNumberFormat="1" applyFont="1" applyFill="1" applyBorder="1" applyAlignment="1">
      <alignment horizontal="center" vertical="center" wrapText="1"/>
    </xf>
    <xf numFmtId="3" fontId="14" fillId="2" borderId="127" xfId="14" applyNumberFormat="1" applyFont="1" applyFill="1" applyBorder="1" applyAlignment="1">
      <alignment horizontal="center" vertical="center" wrapText="1"/>
    </xf>
    <xf numFmtId="3" fontId="14" fillId="2" borderId="75" xfId="14" applyNumberFormat="1" applyFont="1" applyFill="1" applyBorder="1" applyAlignment="1">
      <alignment horizontal="center" vertical="center" wrapText="1"/>
    </xf>
    <xf numFmtId="3" fontId="14" fillId="2" borderId="40" xfId="14" applyNumberFormat="1" applyFont="1" applyFill="1" applyBorder="1" applyAlignment="1">
      <alignment horizontal="center" vertical="center" wrapText="1"/>
    </xf>
    <xf numFmtId="0" fontId="13" fillId="0" borderId="129" xfId="14" applyFont="1" applyBorder="1" applyAlignment="1">
      <alignment vertical="center" wrapText="1"/>
    </xf>
    <xf numFmtId="0" fontId="0" fillId="0" borderId="62" xfId="0" applyBorder="1" applyAlignment="1">
      <alignment vertical="center" wrapText="1"/>
    </xf>
    <xf numFmtId="0" fontId="13" fillId="0" borderId="122" xfId="14" applyFont="1" applyBorder="1" applyAlignment="1">
      <alignment vertical="center" wrapText="1"/>
    </xf>
    <xf numFmtId="0" fontId="0" fillId="0" borderId="68" xfId="0" applyBorder="1" applyAlignment="1">
      <alignment vertical="center"/>
    </xf>
    <xf numFmtId="3" fontId="13" fillId="0" borderId="123" xfId="14" applyNumberFormat="1" applyFont="1" applyBorder="1" applyAlignment="1">
      <alignment horizontal="right" vertical="center"/>
    </xf>
    <xf numFmtId="0" fontId="0" fillId="0" borderId="69" xfId="0" applyBorder="1" applyAlignment="1">
      <alignment vertical="center"/>
    </xf>
    <xf numFmtId="3" fontId="13" fillId="0" borderId="124" xfId="14" applyNumberFormat="1" applyFont="1" applyBorder="1" applyAlignment="1">
      <alignment horizontal="right" vertical="center"/>
    </xf>
    <xf numFmtId="0" fontId="0" fillId="0" borderId="72" xfId="0" applyBorder="1" applyAlignment="1">
      <alignment vertical="center"/>
    </xf>
    <xf numFmtId="0" fontId="0" fillId="2" borderId="27" xfId="0" applyFill="1" applyBorder="1" applyAlignment="1">
      <alignment horizontal="center" vertical="center" wrapText="1"/>
    </xf>
    <xf numFmtId="0" fontId="0" fillId="2" borderId="106" xfId="0" applyFill="1" applyBorder="1" applyAlignment="1">
      <alignment horizontal="center" vertical="center" wrapText="1"/>
    </xf>
    <xf numFmtId="3" fontId="14" fillId="0" borderId="99" xfId="14" applyNumberFormat="1" applyFont="1" applyBorder="1" applyAlignment="1">
      <alignment horizontal="center" vertical="center" wrapText="1"/>
    </xf>
    <xf numFmtId="3" fontId="14" fillId="0" borderId="136" xfId="14" applyNumberFormat="1" applyFont="1" applyBorder="1" applyAlignment="1">
      <alignment horizontal="center" vertical="center" wrapText="1"/>
    </xf>
    <xf numFmtId="3" fontId="14" fillId="0" borderId="118" xfId="14" applyNumberFormat="1" applyFont="1" applyBorder="1" applyAlignment="1">
      <alignment horizontal="center" vertical="center" wrapText="1"/>
    </xf>
    <xf numFmtId="3" fontId="14" fillId="0" borderId="116" xfId="14" applyNumberFormat="1" applyFont="1" applyBorder="1" applyAlignment="1">
      <alignment horizontal="center" vertical="center"/>
    </xf>
    <xf numFmtId="3" fontId="14" fillId="0" borderId="117" xfId="14" applyNumberFormat="1" applyFont="1" applyBorder="1" applyAlignment="1">
      <alignment horizontal="center" vertical="center"/>
    </xf>
    <xf numFmtId="3" fontId="14" fillId="0" borderId="143" xfId="14" applyNumberFormat="1" applyFont="1" applyBorder="1" applyAlignment="1">
      <alignment horizontal="center" vertical="center"/>
    </xf>
    <xf numFmtId="3" fontId="14" fillId="0" borderId="116" xfId="14" applyNumberFormat="1" applyFont="1" applyBorder="1" applyAlignment="1">
      <alignment horizontal="center" vertical="center" wrapText="1"/>
    </xf>
    <xf numFmtId="3" fontId="14" fillId="0" borderId="143" xfId="14" applyNumberFormat="1" applyFont="1" applyBorder="1" applyAlignment="1">
      <alignment horizontal="center" vertical="center" wrapText="1"/>
    </xf>
    <xf numFmtId="0" fontId="14" fillId="2" borderId="103" xfId="14" applyFont="1" applyFill="1" applyBorder="1" applyAlignment="1">
      <alignment horizontal="center" vertical="center"/>
    </xf>
    <xf numFmtId="0" fontId="14" fillId="2" borderId="47" xfId="14" applyFont="1" applyFill="1" applyBorder="1" applyAlignment="1">
      <alignment horizontal="center" vertical="center"/>
    </xf>
    <xf numFmtId="3" fontId="14" fillId="0" borderId="11" xfId="14" applyNumberFormat="1" applyFont="1" applyBorder="1" applyAlignment="1">
      <alignment horizontal="center" vertical="center" wrapText="1"/>
    </xf>
    <xf numFmtId="0" fontId="14" fillId="2" borderId="115" xfId="14" applyFont="1" applyFill="1" applyBorder="1" applyAlignment="1">
      <alignment horizontal="center" vertical="center" wrapText="1"/>
    </xf>
    <xf numFmtId="0" fontId="14" fillId="2" borderId="46" xfId="14" applyFont="1" applyFill="1" applyBorder="1" applyAlignment="1">
      <alignment horizontal="center" vertical="center" wrapText="1"/>
    </xf>
    <xf numFmtId="3" fontId="14" fillId="0" borderId="118" xfId="14" applyNumberFormat="1" applyFont="1" applyFill="1" applyBorder="1" applyAlignment="1">
      <alignment horizontal="center" vertical="center" wrapText="1"/>
    </xf>
    <xf numFmtId="3" fontId="14" fillId="0" borderId="1" xfId="14" applyNumberFormat="1" applyFont="1" applyFill="1" applyBorder="1" applyAlignment="1">
      <alignment horizontal="center" vertical="center" wrapText="1"/>
    </xf>
    <xf numFmtId="3" fontId="14" fillId="0" borderId="139" xfId="14" applyNumberFormat="1" applyFont="1" applyBorder="1" applyAlignment="1">
      <alignment horizontal="center" vertical="center" wrapText="1"/>
    </xf>
    <xf numFmtId="3" fontId="14" fillId="0" borderId="138" xfId="14" applyNumberFormat="1" applyFont="1" applyFill="1" applyBorder="1" applyAlignment="1">
      <alignment horizontal="center" vertical="center" wrapText="1"/>
    </xf>
    <xf numFmtId="3" fontId="14" fillId="0" borderId="117" xfId="14" applyNumberFormat="1" applyFont="1" applyBorder="1" applyAlignment="1">
      <alignment horizontal="center" vertical="center" wrapText="1"/>
    </xf>
    <xf numFmtId="3" fontId="14" fillId="0" borderId="135" xfId="14" applyNumberFormat="1" applyFont="1" applyBorder="1" applyAlignment="1">
      <alignment horizontal="center" vertical="center"/>
    </xf>
    <xf numFmtId="3" fontId="42" fillId="0" borderId="82" xfId="0" applyNumberFormat="1" applyFont="1" applyBorder="1" applyAlignment="1">
      <alignment horizontal="center"/>
    </xf>
    <xf numFmtId="3" fontId="38" fillId="0" borderId="82" xfId="0" applyNumberFormat="1" applyFont="1" applyFill="1" applyBorder="1" applyAlignment="1">
      <alignment horizontal="center"/>
    </xf>
    <xf numFmtId="3" fontId="38" fillId="0" borderId="0" xfId="0" applyNumberFormat="1" applyFont="1" applyAlignment="1">
      <alignment horizontal="center"/>
    </xf>
    <xf numFmtId="0" fontId="44" fillId="0" borderId="82" xfId="0" applyFont="1" applyBorder="1" applyAlignment="1">
      <alignment horizontal="center" vertical="center" wrapText="1"/>
    </xf>
    <xf numFmtId="0" fontId="38" fillId="0" borderId="82" xfId="0" applyFont="1" applyBorder="1" applyAlignment="1">
      <alignment horizontal="center" vertical="center" wrapText="1"/>
    </xf>
    <xf numFmtId="0" fontId="42" fillId="0" borderId="82" xfId="0" applyFont="1" applyBorder="1" applyAlignment="1">
      <alignment horizontal="center"/>
    </xf>
    <xf numFmtId="49" fontId="38" fillId="0" borderId="82" xfId="0" applyNumberFormat="1" applyFont="1" applyBorder="1" applyAlignment="1">
      <alignment horizontal="left" vertical="center" wrapText="1"/>
    </xf>
    <xf numFmtId="0" fontId="39" fillId="0" borderId="0" xfId="0" applyFont="1" applyAlignment="1">
      <alignment horizontal="center"/>
    </xf>
    <xf numFmtId="0" fontId="42" fillId="0" borderId="99" xfId="0" applyFont="1" applyBorder="1" applyAlignment="1">
      <alignment horizontal="center" vertical="center" wrapText="1"/>
    </xf>
    <xf numFmtId="0" fontId="42" fillId="0" borderId="84" xfId="0" applyFont="1" applyBorder="1" applyAlignment="1">
      <alignment horizontal="center" vertical="center" wrapText="1"/>
    </xf>
    <xf numFmtId="49" fontId="39" fillId="0" borderId="117" xfId="0" applyNumberFormat="1" applyFont="1" applyBorder="1" applyAlignment="1">
      <alignment horizontal="center" vertical="center"/>
    </xf>
    <xf numFmtId="49" fontId="39" fillId="0" borderId="123" xfId="0" applyNumberFormat="1" applyFont="1" applyBorder="1" applyAlignment="1">
      <alignment horizontal="center" vertical="center"/>
    </xf>
    <xf numFmtId="0" fontId="39" fillId="0" borderId="117" xfId="0" applyFont="1" applyBorder="1" applyAlignment="1">
      <alignment horizontal="center" vertical="center"/>
    </xf>
    <xf numFmtId="3" fontId="37" fillId="0" borderId="118" xfId="0" applyNumberFormat="1" applyFont="1" applyFill="1" applyBorder="1" applyAlignment="1">
      <alignment horizontal="center" vertical="center" wrapText="1"/>
    </xf>
    <xf numFmtId="3" fontId="38" fillId="0" borderId="124" xfId="0" applyNumberFormat="1" applyFont="1" applyFill="1" applyBorder="1" applyAlignment="1">
      <alignment horizontal="center" vertical="center" wrapText="1"/>
    </xf>
    <xf numFmtId="0" fontId="38" fillId="0" borderId="123" xfId="0" applyFont="1" applyBorder="1" applyAlignment="1">
      <alignment horizontal="center" vertical="center" wrapText="1"/>
    </xf>
    <xf numFmtId="0" fontId="39" fillId="0" borderId="117" xfId="0" applyFont="1" applyBorder="1" applyAlignment="1">
      <alignment horizontal="center" vertical="center" wrapText="1"/>
    </xf>
    <xf numFmtId="3" fontId="37" fillId="0" borderId="117" xfId="0" applyNumberFormat="1" applyFont="1" applyBorder="1" applyAlignment="1">
      <alignment horizontal="center" vertical="center" wrapText="1"/>
    </xf>
    <xf numFmtId="3" fontId="38" fillId="0" borderId="123" xfId="0" applyNumberFormat="1" applyFont="1" applyBorder="1" applyAlignment="1">
      <alignment horizontal="center" vertical="center" wrapText="1"/>
    </xf>
    <xf numFmtId="3" fontId="33" fillId="0" borderId="0" xfId="0" applyNumberFormat="1" applyFont="1" applyAlignment="1">
      <alignment horizontal="center" vertical="center"/>
    </xf>
    <xf numFmtId="3" fontId="14" fillId="0" borderId="103" xfId="17" applyNumberFormat="1" applyFont="1" applyFill="1" applyBorder="1" applyAlignment="1">
      <alignment horizontal="center" vertical="center" wrapText="1"/>
    </xf>
    <xf numFmtId="3" fontId="14" fillId="0" borderId="115" xfId="17" applyNumberFormat="1" applyFont="1" applyFill="1" applyBorder="1" applyAlignment="1">
      <alignment horizontal="center" vertical="center" wrapText="1"/>
    </xf>
    <xf numFmtId="3" fontId="14" fillId="0" borderId="119" xfId="17" applyNumberFormat="1" applyFont="1" applyFill="1" applyBorder="1" applyAlignment="1">
      <alignment horizontal="center" vertical="center" wrapText="1"/>
    </xf>
    <xf numFmtId="0" fontId="13" fillId="0" borderId="0" xfId="0" applyFont="1" applyAlignment="1">
      <alignment horizontal="left" vertical="center" wrapText="1"/>
    </xf>
    <xf numFmtId="0" fontId="14" fillId="0" borderId="0" xfId="17" applyFont="1" applyAlignment="1">
      <alignment horizontal="center" vertical="center" wrapText="1"/>
    </xf>
    <xf numFmtId="3" fontId="14" fillId="0" borderId="118" xfId="17" applyNumberFormat="1" applyFont="1" applyBorder="1" applyAlignment="1">
      <alignment horizontal="center" vertical="center" wrapText="1"/>
    </xf>
    <xf numFmtId="3" fontId="14" fillId="0" borderId="1" xfId="17" applyNumberFormat="1" applyFont="1" applyBorder="1" applyAlignment="1">
      <alignment horizontal="center" vertical="center" wrapText="1"/>
    </xf>
    <xf numFmtId="0" fontId="14" fillId="0" borderId="103" xfId="17" applyFont="1" applyBorder="1" applyAlignment="1">
      <alignment horizontal="center" vertical="center" wrapText="1"/>
    </xf>
    <xf numFmtId="0" fontId="14" fillId="0" borderId="47" xfId="17" applyFont="1" applyBorder="1" applyAlignment="1">
      <alignment horizontal="center" vertical="center" wrapText="1"/>
    </xf>
    <xf numFmtId="0" fontId="14" fillId="0" borderId="99" xfId="17" applyFont="1" applyBorder="1" applyAlignment="1">
      <alignment horizontal="center" vertical="center"/>
    </xf>
    <xf numFmtId="0" fontId="14" fillId="0" borderId="11" xfId="17" applyFont="1" applyBorder="1" applyAlignment="1">
      <alignment horizontal="center" vertical="center"/>
    </xf>
    <xf numFmtId="0" fontId="14" fillId="0" borderId="117" xfId="17" applyFont="1" applyBorder="1" applyAlignment="1">
      <alignment horizontal="center" vertical="center" wrapText="1"/>
    </xf>
    <xf numFmtId="0" fontId="14" fillId="0" borderId="57" xfId="17" applyFont="1" applyBorder="1" applyAlignment="1">
      <alignment horizontal="center" vertical="center" wrapText="1"/>
    </xf>
    <xf numFmtId="3" fontId="14" fillId="0" borderId="99" xfId="17" applyNumberFormat="1" applyFont="1" applyBorder="1" applyAlignment="1">
      <alignment horizontal="center" vertical="center" wrapText="1"/>
    </xf>
    <xf numFmtId="3" fontId="14" fillId="0" borderId="117" xfId="17" applyNumberFormat="1" applyFont="1" applyBorder="1" applyAlignment="1">
      <alignment horizontal="center" vertical="center" wrapText="1"/>
    </xf>
  </cellXfs>
  <cellStyles count="20">
    <cellStyle name="Excel Built-in Explanatory Text" xfId="18"/>
    <cellStyle name="Excel Built-in Normal" xfId="8"/>
    <cellStyle name="Excel Built-in Normal 2" xfId="19"/>
    <cellStyle name="Ezres 2" xfId="11"/>
    <cellStyle name="Magyarázó szöveg" xfId="12" builtinId="53"/>
    <cellStyle name="Magyarázó szöveg 2" xfId="13"/>
    <cellStyle name="Magyarázó szöveg 3" xfId="7"/>
    <cellStyle name="Magyarázó szöveg 4" xfId="5"/>
    <cellStyle name="Normál" xfId="0" builtinId="0"/>
    <cellStyle name="Normál 2" xfId="10"/>
    <cellStyle name="Normál 2 2" xfId="6"/>
    <cellStyle name="Normál 3" xfId="4"/>
    <cellStyle name="Normál 8" xfId="15"/>
    <cellStyle name="Normál_Beruh.felú-átadott-átvett" xfId="9"/>
    <cellStyle name="Normál_Brigitől kisebbségek_Munkafüzet1" xfId="14"/>
    <cellStyle name="Normál_EU-s_pályázatok 20150115" xfId="17"/>
    <cellStyle name="Normál_KTGVET98" xfId="1"/>
    <cellStyle name="Normál_Munkafüzet1" xfId="3"/>
    <cellStyle name="Normál_Munkafüzet3" xfId="16"/>
    <cellStyle name="Normál_Táblá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view="pageLayout" zoomScale="60" zoomScaleNormal="100" zoomScalePageLayoutView="60" workbookViewId="0">
      <selection activeCell="A4" sqref="A4"/>
    </sheetView>
  </sheetViews>
  <sheetFormatPr defaultRowHeight="15"/>
  <cols>
    <col min="1" max="1" width="68.42578125" style="1" bestFit="1" customWidth="1"/>
    <col min="2" max="4" width="16.140625" style="1" customWidth="1"/>
    <col min="5" max="5" width="59.7109375" style="1" bestFit="1" customWidth="1"/>
    <col min="6" max="8" width="16.140625" style="1" customWidth="1"/>
    <col min="9" max="16384" width="9.140625" style="1"/>
  </cols>
  <sheetData>
    <row r="1" spans="1:8">
      <c r="A1" s="1703" t="s">
        <v>433</v>
      </c>
      <c r="B1" s="1703"/>
      <c r="C1" s="1703"/>
      <c r="D1" s="1703"/>
      <c r="E1" s="1703"/>
      <c r="F1" s="1703"/>
      <c r="G1" s="1703"/>
      <c r="H1" s="1703"/>
    </row>
    <row r="2" spans="1:8" ht="15.75" thickBot="1">
      <c r="A2" s="2"/>
      <c r="B2" s="3"/>
      <c r="C2" s="3"/>
      <c r="D2" s="3"/>
      <c r="E2" s="3"/>
      <c r="F2" s="3"/>
      <c r="G2" s="3"/>
      <c r="H2" s="3"/>
    </row>
    <row r="3" spans="1:8">
      <c r="A3" s="280" t="s">
        <v>0</v>
      </c>
      <c r="B3" s="281"/>
      <c r="C3" s="281"/>
      <c r="D3" s="338"/>
      <c r="E3" s="323" t="s">
        <v>1</v>
      </c>
      <c r="F3" s="282"/>
      <c r="G3" s="283"/>
      <c r="H3" s="284"/>
    </row>
    <row r="4" spans="1:8" ht="29.25" thickBot="1">
      <c r="A4" s="285" t="s">
        <v>2</v>
      </c>
      <c r="B4" s="286" t="s">
        <v>3</v>
      </c>
      <c r="C4" s="286" t="s">
        <v>948</v>
      </c>
      <c r="D4" s="1258" t="s">
        <v>1019</v>
      </c>
      <c r="E4" s="324" t="s">
        <v>2</v>
      </c>
      <c r="F4" s="286" t="s">
        <v>4</v>
      </c>
      <c r="G4" s="286" t="s">
        <v>949</v>
      </c>
      <c r="H4" s="1258" t="s">
        <v>1020</v>
      </c>
    </row>
    <row r="5" spans="1:8">
      <c r="A5" s="302" t="s">
        <v>5</v>
      </c>
      <c r="B5" s="279">
        <f>'3. melléklet'!K5</f>
        <v>1175495</v>
      </c>
      <c r="C5" s="279">
        <f>'3. melléklet'!L5</f>
        <v>1496712</v>
      </c>
      <c r="D5" s="303">
        <f>'3. melléklet'!M5</f>
        <v>1619816</v>
      </c>
      <c r="E5" s="325" t="s">
        <v>6</v>
      </c>
      <c r="F5" s="279">
        <f>'4. melléklet'!M6</f>
        <v>1733873</v>
      </c>
      <c r="G5" s="279">
        <f>'4. melléklet'!N6</f>
        <v>1768287</v>
      </c>
      <c r="H5" s="303">
        <f>'4. melléklet'!O6</f>
        <v>1786579</v>
      </c>
    </row>
    <row r="6" spans="1:8">
      <c r="A6" s="304"/>
      <c r="B6" s="276"/>
      <c r="C6" s="276"/>
      <c r="D6" s="305"/>
      <c r="E6" s="326"/>
      <c r="F6" s="276"/>
      <c r="G6" s="276"/>
      <c r="H6" s="305"/>
    </row>
    <row r="7" spans="1:8">
      <c r="A7" s="306" t="s">
        <v>7</v>
      </c>
      <c r="B7" s="276">
        <f>SUM(B8:B9)</f>
        <v>282917</v>
      </c>
      <c r="C7" s="276">
        <f>SUM(C8:C9)</f>
        <v>272922</v>
      </c>
      <c r="D7" s="305">
        <f>SUM(D8:D9)</f>
        <v>308910</v>
      </c>
      <c r="E7" s="327" t="s">
        <v>9</v>
      </c>
      <c r="F7" s="276">
        <f>'4. melléklet'!M7</f>
        <v>344421</v>
      </c>
      <c r="G7" s="276">
        <f>'4. melléklet'!N7</f>
        <v>350811</v>
      </c>
      <c r="H7" s="305">
        <f>'4. melléklet'!O7</f>
        <v>356851</v>
      </c>
    </row>
    <row r="8" spans="1:8">
      <c r="A8" s="307" t="s">
        <v>410</v>
      </c>
      <c r="B8" s="277">
        <f>'3. melléklet'!K9</f>
        <v>0</v>
      </c>
      <c r="C8" s="277">
        <f>'3. melléklet'!L9</f>
        <v>0</v>
      </c>
      <c r="D8" s="308">
        <f>'3. melléklet'!M9</f>
        <v>3072</v>
      </c>
      <c r="E8" s="328"/>
      <c r="F8" s="277"/>
      <c r="G8" s="277"/>
      <c r="H8" s="308"/>
    </row>
    <row r="9" spans="1:8">
      <c r="A9" s="309" t="s">
        <v>8</v>
      </c>
      <c r="B9" s="277">
        <f>'3. melléklet'!K10</f>
        <v>282917</v>
      </c>
      <c r="C9" s="277">
        <f>'3. melléklet'!L10</f>
        <v>272922</v>
      </c>
      <c r="D9" s="308">
        <f>'3. melléklet'!M10</f>
        <v>305838</v>
      </c>
      <c r="E9" s="327" t="s">
        <v>12</v>
      </c>
      <c r="F9" s="276">
        <f>'4. melléklet'!M8</f>
        <v>2325695</v>
      </c>
      <c r="G9" s="276">
        <f>'4. melléklet'!N8</f>
        <v>2498654</v>
      </c>
      <c r="H9" s="305">
        <f>'4. melléklet'!O8</f>
        <v>2581884</v>
      </c>
    </row>
    <row r="10" spans="1:8">
      <c r="A10" s="309"/>
      <c r="B10" s="277"/>
      <c r="C10" s="277"/>
      <c r="D10" s="308"/>
      <c r="E10" s="327"/>
      <c r="F10" s="276"/>
      <c r="G10" s="276"/>
      <c r="H10" s="305"/>
    </row>
    <row r="11" spans="1:8">
      <c r="A11" s="310" t="s">
        <v>10</v>
      </c>
      <c r="B11" s="276">
        <f>B12</f>
        <v>657635</v>
      </c>
      <c r="C11" s="276">
        <f>C12</f>
        <v>657635</v>
      </c>
      <c r="D11" s="305">
        <f>D12</f>
        <v>526663</v>
      </c>
      <c r="E11" s="327" t="s">
        <v>14</v>
      </c>
      <c r="F11" s="276">
        <f>'4. melléklet'!M9</f>
        <v>64850</v>
      </c>
      <c r="G11" s="276">
        <f>'4. melléklet'!N9</f>
        <v>64550</v>
      </c>
      <c r="H11" s="305">
        <f>'4. melléklet'!O9</f>
        <v>65113</v>
      </c>
    </row>
    <row r="12" spans="1:8">
      <c r="A12" s="309" t="s">
        <v>8</v>
      </c>
      <c r="B12" s="277">
        <f>'3. melléklet'!K12</f>
        <v>657635</v>
      </c>
      <c r="C12" s="277">
        <f>'3. melléklet'!L12</f>
        <v>657635</v>
      </c>
      <c r="D12" s="308">
        <f>'3. melléklet'!M12</f>
        <v>526663</v>
      </c>
      <c r="E12" s="327"/>
      <c r="F12" s="276"/>
      <c r="G12" s="276"/>
      <c r="H12" s="305"/>
    </row>
    <row r="13" spans="1:8">
      <c r="A13" s="310"/>
      <c r="B13" s="277"/>
      <c r="C13" s="277"/>
      <c r="D13" s="308"/>
      <c r="E13" s="327" t="s">
        <v>16</v>
      </c>
      <c r="F13" s="276">
        <f>SUM(F14:F18)</f>
        <v>1299261</v>
      </c>
      <c r="G13" s="276">
        <f>SUM(G14:G18)</f>
        <v>1403434</v>
      </c>
      <c r="H13" s="305">
        <f>SUM(H14:H18)</f>
        <v>1479283</v>
      </c>
    </row>
    <row r="14" spans="1:8">
      <c r="A14" s="304" t="s">
        <v>11</v>
      </c>
      <c r="B14" s="276">
        <f>SUM(B15:B19)</f>
        <v>2310000</v>
      </c>
      <c r="C14" s="276">
        <f>SUM(C15:C19)</f>
        <v>2350370</v>
      </c>
      <c r="D14" s="305">
        <f>SUM(D15:D19)</f>
        <v>2350370</v>
      </c>
      <c r="E14" s="328" t="s">
        <v>17</v>
      </c>
      <c r="F14" s="277">
        <f>'4. melléklet'!M11</f>
        <v>0</v>
      </c>
      <c r="G14" s="277">
        <f>'4. melléklet'!N11</f>
        <v>0</v>
      </c>
      <c r="H14" s="308">
        <f>'4. melléklet'!O11</f>
        <v>0</v>
      </c>
    </row>
    <row r="15" spans="1:8">
      <c r="A15" s="309" t="s">
        <v>13</v>
      </c>
      <c r="B15" s="277">
        <f>'3. melléklet'!K14</f>
        <v>520000</v>
      </c>
      <c r="C15" s="277">
        <f>'3. melléklet'!L14</f>
        <v>520000</v>
      </c>
      <c r="D15" s="308">
        <f>'3. melléklet'!M14</f>
        <v>520000</v>
      </c>
      <c r="E15" s="328" t="s">
        <v>18</v>
      </c>
      <c r="F15" s="277">
        <f>'4. melléklet'!M12</f>
        <v>18000</v>
      </c>
      <c r="G15" s="277">
        <f>'4. melléklet'!N12</f>
        <v>18000</v>
      </c>
      <c r="H15" s="308">
        <f>'4. melléklet'!O12</f>
        <v>18000</v>
      </c>
    </row>
    <row r="16" spans="1:8">
      <c r="A16" s="309" t="s">
        <v>79</v>
      </c>
      <c r="B16" s="277">
        <f>'3. melléklet'!K17</f>
        <v>1780000</v>
      </c>
      <c r="C16" s="277">
        <f>'3. melléklet'!L17</f>
        <v>1820370</v>
      </c>
      <c r="D16" s="308">
        <f>'3. melléklet'!M17</f>
        <v>1820370</v>
      </c>
      <c r="E16" s="328" t="s">
        <v>19</v>
      </c>
      <c r="F16" s="277">
        <f>'4. melléklet'!M13</f>
        <v>40000</v>
      </c>
      <c r="G16" s="277">
        <f>'4. melléklet'!N13</f>
        <v>40000</v>
      </c>
      <c r="H16" s="308">
        <f>'4. melléklet'!O13</f>
        <v>40000</v>
      </c>
    </row>
    <row r="17" spans="1:8">
      <c r="A17" s="307" t="s">
        <v>15</v>
      </c>
      <c r="B17" s="277">
        <f>'3. melléklet'!K21</f>
        <v>4000</v>
      </c>
      <c r="C17" s="277">
        <f>'3. melléklet'!L21</f>
        <v>4000</v>
      </c>
      <c r="D17" s="308">
        <f>'3. melléklet'!M21</f>
        <v>4000</v>
      </c>
      <c r="E17" s="328" t="s">
        <v>21</v>
      </c>
      <c r="F17" s="277">
        <f>'4. melléklet'!M14</f>
        <v>1067261</v>
      </c>
      <c r="G17" s="277">
        <f>'4. melléklet'!N14</f>
        <v>1157099</v>
      </c>
      <c r="H17" s="308">
        <f>'4. melléklet'!O14</f>
        <v>1226437</v>
      </c>
    </row>
    <row r="18" spans="1:8">
      <c r="A18" s="307" t="s">
        <v>411</v>
      </c>
      <c r="B18" s="277">
        <f>'3. melléklet'!K22</f>
        <v>4000</v>
      </c>
      <c r="C18" s="277">
        <f>'3. melléklet'!L22</f>
        <v>4000</v>
      </c>
      <c r="D18" s="308">
        <f>'3. melléklet'!M22</f>
        <v>4000</v>
      </c>
      <c r="E18" s="328" t="s">
        <v>23</v>
      </c>
      <c r="F18" s="277">
        <f>SUM(F19:F21)</f>
        <v>174000</v>
      </c>
      <c r="G18" s="277">
        <f>SUM(G19:G21)</f>
        <v>188335</v>
      </c>
      <c r="H18" s="308">
        <f>SUM(H19:H21)</f>
        <v>194846</v>
      </c>
    </row>
    <row r="19" spans="1:8">
      <c r="A19" s="307" t="s">
        <v>88</v>
      </c>
      <c r="B19" s="277">
        <f>'3. melléklet'!K23</f>
        <v>2000</v>
      </c>
      <c r="C19" s="277">
        <f>'3. melléklet'!L23</f>
        <v>2000</v>
      </c>
      <c r="D19" s="308">
        <f>'3. melléklet'!M23</f>
        <v>2000</v>
      </c>
      <c r="E19" s="329" t="s">
        <v>25</v>
      </c>
      <c r="F19" s="278">
        <f>'4. melléklet'!M16</f>
        <v>15000</v>
      </c>
      <c r="G19" s="278">
        <f>'4. melléklet'!N16</f>
        <v>10713</v>
      </c>
      <c r="H19" s="311">
        <f>'4. melléklet'!O16</f>
        <v>14998</v>
      </c>
    </row>
    <row r="20" spans="1:8">
      <c r="A20" s="304"/>
      <c r="B20" s="276"/>
      <c r="C20" s="276"/>
      <c r="D20" s="305"/>
      <c r="E20" s="330" t="s">
        <v>27</v>
      </c>
      <c r="F20" s="278">
        <f>'4. melléklet'!M17</f>
        <v>150000</v>
      </c>
      <c r="G20" s="278">
        <f>'4. melléklet'!N17</f>
        <v>150518</v>
      </c>
      <c r="H20" s="311">
        <f>'4. melléklet'!O17</f>
        <v>152744</v>
      </c>
    </row>
    <row r="21" spans="1:8" ht="15" customHeight="1">
      <c r="A21" s="304" t="s">
        <v>20</v>
      </c>
      <c r="B21" s="276">
        <f>SUM(B22:B29)</f>
        <v>2182736</v>
      </c>
      <c r="C21" s="276">
        <f>SUM(C22:C29)</f>
        <v>2468480</v>
      </c>
      <c r="D21" s="305">
        <f>SUM(D22:D29)</f>
        <v>2589094</v>
      </c>
      <c r="E21" s="329" t="s">
        <v>29</v>
      </c>
      <c r="F21" s="278">
        <f>'4. melléklet'!M18</f>
        <v>9000</v>
      </c>
      <c r="G21" s="278">
        <f>'4. melléklet'!N18</f>
        <v>27104</v>
      </c>
      <c r="H21" s="311">
        <f>'4. melléklet'!O18</f>
        <v>27104</v>
      </c>
    </row>
    <row r="22" spans="1:8" ht="30">
      <c r="A22" s="312" t="s">
        <v>22</v>
      </c>
      <c r="B22" s="277">
        <f>'3. melléklet'!K25</f>
        <v>1466514</v>
      </c>
      <c r="C22" s="277">
        <f>'3. melléklet'!L25</f>
        <v>1491509</v>
      </c>
      <c r="D22" s="308">
        <f>'3. melléklet'!M25</f>
        <v>1493509</v>
      </c>
      <c r="E22" s="326"/>
      <c r="F22" s="277"/>
      <c r="G22" s="277"/>
      <c r="H22" s="308"/>
    </row>
    <row r="23" spans="1:8">
      <c r="A23" s="309" t="s">
        <v>24</v>
      </c>
      <c r="B23" s="277">
        <f>'3. melléklet'!K26</f>
        <v>67501</v>
      </c>
      <c r="C23" s="277">
        <f>'3. melléklet'!L26</f>
        <v>267501</v>
      </c>
      <c r="D23" s="308">
        <f>'3. melléklet'!M26</f>
        <v>358720</v>
      </c>
      <c r="E23" s="327" t="s">
        <v>32</v>
      </c>
      <c r="F23" s="276">
        <f>'4. melléklet'!M19</f>
        <v>3279389</v>
      </c>
      <c r="G23" s="276">
        <f>'4. melléklet'!N19</f>
        <v>3614948</v>
      </c>
      <c r="H23" s="305">
        <f>'4. melléklet'!O19</f>
        <v>3508234</v>
      </c>
    </row>
    <row r="24" spans="1:8">
      <c r="A24" s="309" t="s">
        <v>26</v>
      </c>
      <c r="B24" s="277">
        <f>'3. melléklet'!K27</f>
        <v>29092</v>
      </c>
      <c r="C24" s="277">
        <f>'3. melléklet'!L27</f>
        <v>29092</v>
      </c>
      <c r="D24" s="308">
        <f>'3. melléklet'!M27</f>
        <v>29092</v>
      </c>
      <c r="E24" s="327"/>
      <c r="F24" s="277"/>
      <c r="G24" s="277"/>
      <c r="H24" s="308"/>
    </row>
    <row r="25" spans="1:8">
      <c r="A25" s="309" t="s">
        <v>28</v>
      </c>
      <c r="B25" s="277">
        <f>'3. melléklet'!K28</f>
        <v>81780</v>
      </c>
      <c r="C25" s="277">
        <f>'3. melléklet'!L28</f>
        <v>81780</v>
      </c>
      <c r="D25" s="308">
        <f>'3. melléklet'!M28</f>
        <v>81780</v>
      </c>
      <c r="E25" s="327" t="s">
        <v>34</v>
      </c>
      <c r="F25" s="276">
        <f>'4. melléklet'!M20</f>
        <v>667063</v>
      </c>
      <c r="G25" s="276">
        <f>'4. melléklet'!N20</f>
        <v>723218</v>
      </c>
      <c r="H25" s="305">
        <f>'4. melléklet'!O20</f>
        <v>715302</v>
      </c>
    </row>
    <row r="26" spans="1:8">
      <c r="A26" s="309" t="s">
        <v>30</v>
      </c>
      <c r="B26" s="277">
        <f>'3. melléklet'!K29</f>
        <v>114014</v>
      </c>
      <c r="C26" s="277">
        <f>'3. melléklet'!L29</f>
        <v>114014</v>
      </c>
      <c r="D26" s="308">
        <f>'3. melléklet'!M29</f>
        <v>117014</v>
      </c>
      <c r="E26" s="327"/>
      <c r="F26" s="276"/>
      <c r="G26" s="276"/>
      <c r="H26" s="305"/>
    </row>
    <row r="27" spans="1:8">
      <c r="A27" s="309" t="s">
        <v>31</v>
      </c>
      <c r="B27" s="277">
        <f>'3. melléklet'!K30</f>
        <v>423835</v>
      </c>
      <c r="C27" s="277">
        <f>'3. melléklet'!L30</f>
        <v>484584</v>
      </c>
      <c r="D27" s="308">
        <f>'3. melléklet'!M30</f>
        <v>508979</v>
      </c>
      <c r="E27" s="327" t="s">
        <v>37</v>
      </c>
      <c r="F27" s="276">
        <f>SUM(F28:F30)</f>
        <v>66500</v>
      </c>
      <c r="G27" s="276">
        <f>SUM(G28:G30)</f>
        <v>66500</v>
      </c>
      <c r="H27" s="305">
        <f>SUM(H28:H30)</f>
        <v>18442</v>
      </c>
    </row>
    <row r="28" spans="1:8">
      <c r="A28" s="313" t="s">
        <v>412</v>
      </c>
      <c r="B28" s="277">
        <f>'3. melléklet'!K31</f>
        <v>0</v>
      </c>
      <c r="C28" s="277">
        <f>'3. melléklet'!L31</f>
        <v>0</v>
      </c>
      <c r="D28" s="308">
        <f>'3. melléklet'!M31</f>
        <v>0</v>
      </c>
      <c r="E28" s="328" t="s">
        <v>19</v>
      </c>
      <c r="F28" s="277">
        <f>'4. melléklet'!M22</f>
        <v>1200</v>
      </c>
      <c r="G28" s="277">
        <f>'4. melléklet'!N22</f>
        <v>1200</v>
      </c>
      <c r="H28" s="308">
        <f>'4. melléklet'!O22</f>
        <v>1200</v>
      </c>
    </row>
    <row r="29" spans="1:8">
      <c r="A29" s="313" t="s">
        <v>33</v>
      </c>
      <c r="B29" s="277">
        <f>'3. melléklet'!K32</f>
        <v>0</v>
      </c>
      <c r="C29" s="277">
        <f>'3. melléklet'!L32</f>
        <v>0</v>
      </c>
      <c r="D29" s="308">
        <f>'3. melléklet'!M32</f>
        <v>0</v>
      </c>
      <c r="E29" s="328" t="s">
        <v>39</v>
      </c>
      <c r="F29" s="277">
        <f>'4. melléklet'!M23</f>
        <v>5300</v>
      </c>
      <c r="G29" s="277">
        <f>'4. melléklet'!N23</f>
        <v>5300</v>
      </c>
      <c r="H29" s="308">
        <f>'4. melléklet'!O23</f>
        <v>7242</v>
      </c>
    </row>
    <row r="30" spans="1:8">
      <c r="A30" s="313"/>
      <c r="B30" s="277"/>
      <c r="C30" s="277"/>
      <c r="D30" s="308"/>
      <c r="E30" s="328" t="s">
        <v>40</v>
      </c>
      <c r="F30" s="277">
        <f>SUM(F31:F32)</f>
        <v>60000</v>
      </c>
      <c r="G30" s="277">
        <f>SUM(G31:G32)</f>
        <v>60000</v>
      </c>
      <c r="H30" s="308">
        <f>SUM(H31:H32)</f>
        <v>10000</v>
      </c>
    </row>
    <row r="31" spans="1:8">
      <c r="A31" s="304" t="s">
        <v>35</v>
      </c>
      <c r="B31" s="276">
        <f>SUM(B32:B33)</f>
        <v>3200</v>
      </c>
      <c r="C31" s="276">
        <f>SUM(C32:C33)</f>
        <v>3200</v>
      </c>
      <c r="D31" s="305">
        <f>SUM(D32:D33)</f>
        <v>3279</v>
      </c>
      <c r="E31" s="329" t="s">
        <v>42</v>
      </c>
      <c r="F31" s="278">
        <f>'4. melléklet'!M25</f>
        <v>50000</v>
      </c>
      <c r="G31" s="278">
        <f>'4. melléklet'!N25</f>
        <v>50000</v>
      </c>
      <c r="H31" s="311">
        <f>'4. melléklet'!O25</f>
        <v>0</v>
      </c>
    </row>
    <row r="32" spans="1:8">
      <c r="A32" s="309" t="s">
        <v>36</v>
      </c>
      <c r="B32" s="277">
        <f>'3. melléklet'!K34</f>
        <v>1000</v>
      </c>
      <c r="C32" s="277">
        <f>'3. melléklet'!L34</f>
        <v>1000</v>
      </c>
      <c r="D32" s="308">
        <f>'3. melléklet'!M34</f>
        <v>1000</v>
      </c>
      <c r="E32" s="329" t="s">
        <v>854</v>
      </c>
      <c r="F32" s="278">
        <f>'4. melléklet'!M26</f>
        <v>10000</v>
      </c>
      <c r="G32" s="278">
        <f>'4. melléklet'!N26</f>
        <v>10000</v>
      </c>
      <c r="H32" s="311">
        <f>'4. melléklet'!O26</f>
        <v>10000</v>
      </c>
    </row>
    <row r="33" spans="1:8">
      <c r="A33" s="309" t="s">
        <v>413</v>
      </c>
      <c r="B33" s="277">
        <f>'3. melléklet'!K35</f>
        <v>2200</v>
      </c>
      <c r="C33" s="277">
        <f>'3. melléklet'!L35</f>
        <v>2200</v>
      </c>
      <c r="D33" s="308">
        <f>'3. melléklet'!M35</f>
        <v>2279</v>
      </c>
      <c r="E33" s="329"/>
      <c r="F33" s="277"/>
      <c r="G33" s="277"/>
      <c r="H33" s="308"/>
    </row>
    <row r="34" spans="1:8">
      <c r="A34" s="309"/>
      <c r="B34" s="277"/>
      <c r="C34" s="277"/>
      <c r="D34" s="308"/>
      <c r="E34" s="329"/>
      <c r="F34" s="277"/>
      <c r="G34" s="277"/>
      <c r="H34" s="308"/>
    </row>
    <row r="35" spans="1:8">
      <c r="A35" s="304" t="s">
        <v>38</v>
      </c>
      <c r="B35" s="276">
        <f>SUM(B36:B37)</f>
        <v>65367</v>
      </c>
      <c r="C35" s="276">
        <f>SUM(C36:C37)</f>
        <v>74367</v>
      </c>
      <c r="D35" s="305">
        <f>SUM(D36:D37)</f>
        <v>67960</v>
      </c>
      <c r="E35" s="329"/>
      <c r="F35" s="277"/>
      <c r="G35" s="277"/>
      <c r="H35" s="308"/>
    </row>
    <row r="36" spans="1:8">
      <c r="A36" s="309" t="s">
        <v>19</v>
      </c>
      <c r="B36" s="277">
        <f>'3. melléklet'!K37</f>
        <v>55000</v>
      </c>
      <c r="C36" s="277">
        <f>'3. melléklet'!L37</f>
        <v>55000</v>
      </c>
      <c r="D36" s="308">
        <f>'3. melléklet'!M37</f>
        <v>55000</v>
      </c>
      <c r="E36" s="329"/>
      <c r="F36" s="277"/>
      <c r="G36" s="277"/>
      <c r="H36" s="308"/>
    </row>
    <row r="37" spans="1:8">
      <c r="A37" s="309" t="s">
        <v>41</v>
      </c>
      <c r="B37" s="277">
        <f>'3. melléklet'!K38</f>
        <v>10367</v>
      </c>
      <c r="C37" s="277">
        <f>'3. melléklet'!L38</f>
        <v>19367</v>
      </c>
      <c r="D37" s="308">
        <f>'3. melléklet'!M38</f>
        <v>12960</v>
      </c>
      <c r="E37" s="329"/>
      <c r="F37" s="277"/>
      <c r="G37" s="277"/>
      <c r="H37" s="308"/>
    </row>
    <row r="38" spans="1:8">
      <c r="A38" s="304"/>
      <c r="B38" s="277"/>
      <c r="C38" s="277"/>
      <c r="D38" s="308"/>
      <c r="E38" s="329"/>
      <c r="F38" s="277"/>
      <c r="G38" s="277"/>
      <c r="H38" s="308"/>
    </row>
    <row r="39" spans="1:8">
      <c r="A39" s="306" t="s">
        <v>43</v>
      </c>
      <c r="B39" s="276">
        <f>SUM(B40:B41)</f>
        <v>253627</v>
      </c>
      <c r="C39" s="276">
        <f>SUM(C40:C41)</f>
        <v>256627</v>
      </c>
      <c r="D39" s="305">
        <f>SUM(D40:D41)</f>
        <v>163271</v>
      </c>
      <c r="E39" s="329"/>
      <c r="F39" s="277"/>
      <c r="G39" s="277"/>
      <c r="H39" s="308"/>
    </row>
    <row r="40" spans="1:8">
      <c r="A40" s="309" t="s">
        <v>19</v>
      </c>
      <c r="B40" s="277">
        <f>'3. melléklet'!K40</f>
        <v>596</v>
      </c>
      <c r="C40" s="277">
        <f>'3. melléklet'!L40</f>
        <v>596</v>
      </c>
      <c r="D40" s="308">
        <f>'3. melléklet'!M40</f>
        <v>596</v>
      </c>
      <c r="E40" s="329"/>
      <c r="F40" s="278"/>
      <c r="G40" s="278"/>
      <c r="H40" s="311"/>
    </row>
    <row r="41" spans="1:8">
      <c r="A41" s="309" t="s">
        <v>41</v>
      </c>
      <c r="B41" s="277">
        <f>'3. melléklet'!K41</f>
        <v>253031</v>
      </c>
      <c r="C41" s="277">
        <f>'3. melléklet'!L41</f>
        <v>256031</v>
      </c>
      <c r="D41" s="308">
        <f>'3. melléklet'!M41</f>
        <v>162675</v>
      </c>
      <c r="E41" s="329"/>
      <c r="F41" s="276"/>
      <c r="G41" s="276"/>
      <c r="H41" s="305"/>
    </row>
    <row r="42" spans="1:8" ht="15.75" thickBot="1">
      <c r="A42" s="314"/>
      <c r="B42" s="287"/>
      <c r="C42" s="287"/>
      <c r="D42" s="339"/>
      <c r="E42" s="331"/>
      <c r="F42" s="288"/>
      <c r="G42" s="288"/>
      <c r="H42" s="315"/>
    </row>
    <row r="43" spans="1:8" ht="15.75" thickBot="1">
      <c r="A43" s="290" t="s">
        <v>52</v>
      </c>
      <c r="B43" s="291">
        <f>B5+B6+B7+B11+B14+B21+B31+B35+B39</f>
        <v>6930977</v>
      </c>
      <c r="C43" s="291">
        <f>C5+C6+C7+C11+C14+C21+C31+C35+C39</f>
        <v>7580313</v>
      </c>
      <c r="D43" s="292">
        <f>D5+D6+D7+D11+D14+D21+D31+D35+D39</f>
        <v>7629363</v>
      </c>
      <c r="E43" s="332" t="s">
        <v>53</v>
      </c>
      <c r="F43" s="291">
        <f>F5+F7+F9+F11+F13+F23+F25+F27</f>
        <v>9781052</v>
      </c>
      <c r="G43" s="291">
        <f>G5+G7+G9+G11+G13+G23+G25+G27</f>
        <v>10490402</v>
      </c>
      <c r="H43" s="292">
        <f>H5+H7+H9+H11+H13+H23+H25+H27</f>
        <v>10511688</v>
      </c>
    </row>
    <row r="44" spans="1:8">
      <c r="A44" s="316"/>
      <c r="B44" s="289"/>
      <c r="C44" s="289"/>
      <c r="D44" s="340"/>
      <c r="E44" s="325"/>
      <c r="F44" s="279"/>
      <c r="G44" s="279"/>
      <c r="H44" s="303"/>
    </row>
    <row r="45" spans="1:8">
      <c r="A45" s="306" t="s">
        <v>864</v>
      </c>
      <c r="B45" s="276">
        <f>B43-F43</f>
        <v>-2850075</v>
      </c>
      <c r="C45" s="276">
        <f>C43-G43</f>
        <v>-2910089</v>
      </c>
      <c r="D45" s="305">
        <f>D43-H43</f>
        <v>-2882325</v>
      </c>
      <c r="E45" s="327"/>
      <c r="F45" s="276"/>
      <c r="G45" s="276"/>
      <c r="H45" s="305"/>
    </row>
    <row r="46" spans="1:8">
      <c r="A46" s="306"/>
      <c r="B46" s="276"/>
      <c r="C46" s="276"/>
      <c r="D46" s="305"/>
      <c r="E46" s="327"/>
      <c r="F46" s="276"/>
      <c r="G46" s="276"/>
      <c r="H46" s="305"/>
    </row>
    <row r="47" spans="1:8">
      <c r="A47" s="306" t="s">
        <v>855</v>
      </c>
      <c r="B47" s="276">
        <f>'3. melléklet'!K43</f>
        <v>543251</v>
      </c>
      <c r="C47" s="276">
        <f>'3. melléklet'!L43</f>
        <v>543251</v>
      </c>
      <c r="D47" s="305">
        <f>'3. melléklet'!M43</f>
        <v>543251</v>
      </c>
      <c r="E47" s="327" t="s">
        <v>44</v>
      </c>
      <c r="F47" s="276">
        <f>'4. melléklet'!M28</f>
        <v>151066</v>
      </c>
      <c r="G47" s="276">
        <f>'4. melléklet'!N28</f>
        <v>151066</v>
      </c>
      <c r="H47" s="305">
        <f>'4. melléklet'!O28</f>
        <v>151066</v>
      </c>
    </row>
    <row r="48" spans="1:8">
      <c r="A48" s="304" t="s">
        <v>89</v>
      </c>
      <c r="B48" s="276">
        <f>'3. melléklet'!K44</f>
        <v>1000000</v>
      </c>
      <c r="C48" s="276">
        <f>'3. melléklet'!L44</f>
        <v>1000000</v>
      </c>
      <c r="D48" s="305">
        <f>'3. melléklet'!M44</f>
        <v>1000000</v>
      </c>
      <c r="E48" s="327" t="s">
        <v>90</v>
      </c>
      <c r="F48" s="276">
        <f>'4. melléklet'!M29</f>
        <v>1000000</v>
      </c>
      <c r="G48" s="276">
        <f>'4. melléklet'!N29</f>
        <v>1000000</v>
      </c>
      <c r="H48" s="305">
        <f>'4. melléklet'!O29</f>
        <v>1000000</v>
      </c>
    </row>
    <row r="49" spans="1:8">
      <c r="A49" s="304" t="s">
        <v>86</v>
      </c>
      <c r="B49" s="276">
        <f>'3. melléklet'!K45</f>
        <v>40000</v>
      </c>
      <c r="C49" s="276">
        <f>'3. melléklet'!L45</f>
        <v>44000</v>
      </c>
      <c r="D49" s="305">
        <f>'3. melléklet'!M45</f>
        <v>49200</v>
      </c>
      <c r="E49" s="327" t="s">
        <v>99</v>
      </c>
      <c r="F49" s="276">
        <f>'4. melléklet'!M30</f>
        <v>40000</v>
      </c>
      <c r="G49" s="276">
        <f>'4. melléklet'!N30</f>
        <v>44000</v>
      </c>
      <c r="H49" s="305">
        <f>'4. melléklet'!O30</f>
        <v>49200</v>
      </c>
    </row>
    <row r="50" spans="1:8" ht="15" customHeight="1">
      <c r="A50" s="304" t="s">
        <v>409</v>
      </c>
      <c r="B50" s="276">
        <f>'3. melléklet'!K46</f>
        <v>2457890</v>
      </c>
      <c r="C50" s="276">
        <f>'3. melléklet'!L46</f>
        <v>2517904</v>
      </c>
      <c r="D50" s="305">
        <f>'3. melléklet'!M46</f>
        <v>2490140</v>
      </c>
      <c r="E50" s="327"/>
      <c r="F50" s="276"/>
      <c r="G50" s="276"/>
      <c r="H50" s="305"/>
    </row>
    <row r="51" spans="1:8">
      <c r="A51" s="317" t="s">
        <v>47</v>
      </c>
      <c r="B51" s="276">
        <f>'3. melléklet'!K47</f>
        <v>2314537</v>
      </c>
      <c r="C51" s="276">
        <f>'3. melléklet'!L47</f>
        <v>2276091</v>
      </c>
      <c r="D51" s="305">
        <f>'3. melléklet'!M47</f>
        <v>2287467</v>
      </c>
      <c r="E51" s="327" t="s">
        <v>48</v>
      </c>
      <c r="F51" s="276">
        <f>'4. melléklet'!M31</f>
        <v>2314537</v>
      </c>
      <c r="G51" s="276">
        <f>'4. melléklet'!N31</f>
        <v>2276091</v>
      </c>
      <c r="H51" s="305">
        <f>'4. melléklet'!O31</f>
        <v>2287467</v>
      </c>
    </row>
    <row r="52" spans="1:8" ht="15.75" thickBot="1">
      <c r="A52" s="318"/>
      <c r="B52" s="288"/>
      <c r="C52" s="288"/>
      <c r="D52" s="315"/>
      <c r="E52" s="331"/>
      <c r="F52" s="288"/>
      <c r="G52" s="288"/>
      <c r="H52" s="315"/>
    </row>
    <row r="53" spans="1:8" ht="15.75" thickBot="1">
      <c r="A53" s="293" t="s">
        <v>51</v>
      </c>
      <c r="B53" s="291">
        <f>SUM(B47:B51)</f>
        <v>6355678</v>
      </c>
      <c r="C53" s="291">
        <f>SUM(C47:C51)</f>
        <v>6381246</v>
      </c>
      <c r="D53" s="292">
        <f>SUM(D47:D51)</f>
        <v>6370058</v>
      </c>
      <c r="E53" s="332" t="s">
        <v>54</v>
      </c>
      <c r="F53" s="291">
        <f>SUM(F47:F51)</f>
        <v>3505603</v>
      </c>
      <c r="G53" s="291">
        <f>SUM(G47:G51)</f>
        <v>3471157</v>
      </c>
      <c r="H53" s="292">
        <f>SUM(H47:H51)</f>
        <v>3487733</v>
      </c>
    </row>
    <row r="54" spans="1:8" ht="15.75" thickBot="1">
      <c r="A54" s="319"/>
      <c r="B54" s="294"/>
      <c r="C54" s="294"/>
      <c r="D54" s="320"/>
      <c r="E54" s="333"/>
      <c r="F54" s="294"/>
      <c r="G54" s="294"/>
      <c r="H54" s="320"/>
    </row>
    <row r="55" spans="1:8" ht="15.75" thickBot="1">
      <c r="A55" s="295" t="s">
        <v>49</v>
      </c>
      <c r="B55" s="291">
        <f>B43+B53</f>
        <v>13286655</v>
      </c>
      <c r="C55" s="291">
        <f>C43+C53</f>
        <v>13961559</v>
      </c>
      <c r="D55" s="292">
        <f>D43+D53</f>
        <v>13999421</v>
      </c>
      <c r="E55" s="334" t="s">
        <v>50</v>
      </c>
      <c r="F55" s="291">
        <f>F43+F53</f>
        <v>13286655</v>
      </c>
      <c r="G55" s="291">
        <f>G43+G53</f>
        <v>13961559</v>
      </c>
      <c r="H55" s="292">
        <f>H43+H53</f>
        <v>13999421</v>
      </c>
    </row>
    <row r="56" spans="1:8" ht="15.75" thickBot="1">
      <c r="A56" s="321"/>
      <c r="B56" s="296"/>
      <c r="C56" s="296"/>
      <c r="D56" s="322"/>
      <c r="E56" s="335"/>
      <c r="F56" s="296"/>
      <c r="G56" s="296"/>
      <c r="H56" s="322"/>
    </row>
    <row r="57" spans="1:8">
      <c r="A57" s="297" t="s">
        <v>857</v>
      </c>
      <c r="B57" s="298">
        <f>-B51</f>
        <v>-2314537</v>
      </c>
      <c r="C57" s="298">
        <f>-C51</f>
        <v>-2276091</v>
      </c>
      <c r="D57" s="299">
        <f>-D51</f>
        <v>-2287467</v>
      </c>
      <c r="E57" s="336" t="s">
        <v>857</v>
      </c>
      <c r="F57" s="298">
        <f>-F51</f>
        <v>-2314537</v>
      </c>
      <c r="G57" s="298">
        <f>-G51</f>
        <v>-2276091</v>
      </c>
      <c r="H57" s="299">
        <f>-H51</f>
        <v>-2287467</v>
      </c>
    </row>
    <row r="58" spans="1:8" s="156" customFormat="1" ht="29.25" thickBot="1">
      <c r="A58" s="300" t="s">
        <v>856</v>
      </c>
      <c r="B58" s="301">
        <f>B55+B57</f>
        <v>10972118</v>
      </c>
      <c r="C58" s="301">
        <f>C55+C57</f>
        <v>11685468</v>
      </c>
      <c r="D58" s="157">
        <f>D55+D57</f>
        <v>11711954</v>
      </c>
      <c r="E58" s="337" t="s">
        <v>858</v>
      </c>
      <c r="F58" s="301">
        <f>F55+F57</f>
        <v>10972118</v>
      </c>
      <c r="G58" s="301">
        <f>G55+G57</f>
        <v>11685468</v>
      </c>
      <c r="H58" s="157">
        <f>H55+H57</f>
        <v>11711954</v>
      </c>
    </row>
    <row r="59" spans="1:8" s="156" customFormat="1">
      <c r="A59" s="1"/>
      <c r="B59" s="207"/>
      <c r="C59" s="207"/>
      <c r="D59" s="207"/>
      <c r="E59" s="206"/>
      <c r="F59" s="207"/>
      <c r="G59" s="207"/>
      <c r="H59" s="207"/>
    </row>
  </sheetData>
  <mergeCells count="1">
    <mergeCell ref="A1:H1"/>
  </mergeCells>
  <printOptions horizontalCentered="1" verticalCentered="1"/>
  <pageMargins left="0.70866141732283472" right="0.70866141732283472" top="0.74803149606299213" bottom="0.74803149606299213" header="0.31496062992125984" footer="0.31496062992125984"/>
  <pageSetup paperSize="9" scale="55" orientation="landscape" r:id="rId1"/>
  <headerFooter>
    <oddHeader xml:space="preserve">&amp;L&amp;"Times New Roman,Normál"1. melléklet 1, 2, 3 
</oddHeader>
    <oddFooter>&amp;L1. Mód.: 3/2019 (II.27.) önk. rend. 2.§. Hat.: 2019.03.01. napjától
2. Mód.: 9/2019 (IV.24.) önk. rend. 2.§ Hat.: 2019.04.25. napjától
3. Mód.: 18/2019 (IX.11.) önk. rend. 2.§ Hat.:2019.09.12. napjától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view="pageLayout" topLeftCell="A73" zoomScaleNormal="100" workbookViewId="0">
      <selection activeCell="A115" sqref="A115"/>
    </sheetView>
  </sheetViews>
  <sheetFormatPr defaultRowHeight="15"/>
  <cols>
    <col min="1" max="1" width="85.5703125" style="23" customWidth="1"/>
    <col min="2" max="2" width="8.7109375" style="23" customWidth="1"/>
    <col min="3" max="3" width="9.42578125" style="23" customWidth="1"/>
    <col min="4" max="4" width="10.28515625" style="23" customWidth="1"/>
    <col min="5" max="9" width="9.140625" style="232"/>
    <col min="10" max="16384" width="9.140625" style="23"/>
  </cols>
  <sheetData>
    <row r="1" spans="1:9">
      <c r="A1" s="1956" t="s">
        <v>429</v>
      </c>
      <c r="B1" s="1956"/>
      <c r="C1" s="1956"/>
      <c r="D1" s="1956"/>
    </row>
    <row r="2" spans="1:9" ht="17.25" customHeight="1" thickBot="1">
      <c r="A2" s="43"/>
    </row>
    <row r="3" spans="1:9" s="47" customFormat="1" ht="38.25" customHeight="1" thickBot="1">
      <c r="A3" s="683" t="s">
        <v>2</v>
      </c>
      <c r="B3" s="48" t="s">
        <v>3</v>
      </c>
      <c r="C3" s="774" t="s">
        <v>1032</v>
      </c>
      <c r="D3" s="105" t="s">
        <v>1000</v>
      </c>
      <c r="E3" s="233"/>
      <c r="F3" s="233"/>
      <c r="G3" s="233"/>
      <c r="H3" s="233"/>
      <c r="I3" s="233"/>
    </row>
    <row r="4" spans="1:9" ht="15.75" thickBot="1">
      <c r="A4" s="684" t="s">
        <v>70</v>
      </c>
      <c r="B4" s="739">
        <f>B6+B10</f>
        <v>592078</v>
      </c>
      <c r="C4" s="740">
        <f>C6+C10</f>
        <v>649633</v>
      </c>
      <c r="D4" s="106">
        <f>D6+D10</f>
        <v>649258</v>
      </c>
    </row>
    <row r="5" spans="1:9">
      <c r="A5" s="759"/>
      <c r="B5" s="771"/>
      <c r="C5" s="772"/>
      <c r="D5" s="773"/>
    </row>
    <row r="6" spans="1:9">
      <c r="A6" s="686" t="s">
        <v>160</v>
      </c>
      <c r="B6" s="722">
        <f>SUM(B7:B8)</f>
        <v>146609</v>
      </c>
      <c r="C6" s="765">
        <f>SUM(C7:C8)</f>
        <v>150425</v>
      </c>
      <c r="D6" s="701">
        <f>SUM(D7:D8)</f>
        <v>150077</v>
      </c>
    </row>
    <row r="7" spans="1:9">
      <c r="A7" s="760" t="s">
        <v>619</v>
      </c>
      <c r="B7" s="723">
        <v>136609</v>
      </c>
      <c r="C7" s="766">
        <v>136609</v>
      </c>
      <c r="D7" s="235">
        <v>136261</v>
      </c>
    </row>
    <row r="8" spans="1:9">
      <c r="A8" s="760" t="s">
        <v>616</v>
      </c>
      <c r="B8" s="723">
        <v>10000</v>
      </c>
      <c r="C8" s="766">
        <v>13816</v>
      </c>
      <c r="D8" s="235">
        <v>13816</v>
      </c>
    </row>
    <row r="9" spans="1:9">
      <c r="A9" s="686"/>
      <c r="B9" s="722"/>
      <c r="C9" s="765"/>
      <c r="D9" s="701"/>
    </row>
    <row r="10" spans="1:9" ht="13.5" customHeight="1">
      <c r="A10" s="761" t="s">
        <v>618</v>
      </c>
      <c r="B10" s="722">
        <f>SUM(B11:B32)</f>
        <v>445469</v>
      </c>
      <c r="C10" s="765">
        <f>SUM(C11:C32)</f>
        <v>499208</v>
      </c>
      <c r="D10" s="701">
        <f>SUM(D11:D32)</f>
        <v>499181</v>
      </c>
    </row>
    <row r="11" spans="1:9" ht="60">
      <c r="A11" s="760" t="s">
        <v>866</v>
      </c>
      <c r="B11" s="725">
        <v>126441</v>
      </c>
      <c r="C11" s="767">
        <v>126441</v>
      </c>
      <c r="D11" s="703">
        <v>126441</v>
      </c>
    </row>
    <row r="12" spans="1:9">
      <c r="A12" s="760" t="s">
        <v>592</v>
      </c>
      <c r="B12" s="723">
        <v>12000</v>
      </c>
      <c r="C12" s="766">
        <v>12000</v>
      </c>
      <c r="D12" s="235">
        <v>12000</v>
      </c>
    </row>
    <row r="13" spans="1:9" ht="30">
      <c r="A13" s="760" t="s">
        <v>593</v>
      </c>
      <c r="B13" s="723">
        <v>15000</v>
      </c>
      <c r="C13" s="766">
        <v>15000</v>
      </c>
      <c r="D13" s="235">
        <v>15000</v>
      </c>
    </row>
    <row r="14" spans="1:9" ht="30">
      <c r="A14" s="760" t="s">
        <v>594</v>
      </c>
      <c r="B14" s="723">
        <v>5000</v>
      </c>
      <c r="C14" s="766">
        <v>5000</v>
      </c>
      <c r="D14" s="235">
        <v>5000</v>
      </c>
    </row>
    <row r="15" spans="1:9">
      <c r="A15" s="760" t="s">
        <v>595</v>
      </c>
      <c r="B15" s="723">
        <v>35000</v>
      </c>
      <c r="C15" s="766">
        <v>35000</v>
      </c>
      <c r="D15" s="235">
        <v>35000</v>
      </c>
    </row>
    <row r="16" spans="1:9">
      <c r="A16" s="760" t="s">
        <v>602</v>
      </c>
      <c r="B16" s="723">
        <v>7000</v>
      </c>
      <c r="C16" s="766">
        <v>7000</v>
      </c>
      <c r="D16" s="235">
        <v>7000</v>
      </c>
    </row>
    <row r="17" spans="1:4">
      <c r="A17" s="760" t="s">
        <v>603</v>
      </c>
      <c r="B17" s="723">
        <v>6000</v>
      </c>
      <c r="C17" s="766">
        <v>6000</v>
      </c>
      <c r="D17" s="235">
        <v>6000</v>
      </c>
    </row>
    <row r="18" spans="1:4">
      <c r="A18" s="760" t="s">
        <v>604</v>
      </c>
      <c r="B18" s="723">
        <v>10000</v>
      </c>
      <c r="C18" s="766">
        <v>10000</v>
      </c>
      <c r="D18" s="235">
        <v>10000</v>
      </c>
    </row>
    <row r="19" spans="1:4">
      <c r="A19" s="760" t="s">
        <v>605</v>
      </c>
      <c r="B19" s="723">
        <v>35000</v>
      </c>
      <c r="C19" s="766">
        <v>33100</v>
      </c>
      <c r="D19" s="235">
        <v>33100</v>
      </c>
    </row>
    <row r="20" spans="1:4">
      <c r="A20" s="760" t="s">
        <v>608</v>
      </c>
      <c r="B20" s="723">
        <v>3500</v>
      </c>
      <c r="C20" s="766">
        <v>3500</v>
      </c>
      <c r="D20" s="235">
        <v>3500</v>
      </c>
    </row>
    <row r="21" spans="1:4">
      <c r="A21" s="760" t="s">
        <v>606</v>
      </c>
      <c r="B21" s="723">
        <v>3135</v>
      </c>
      <c r="C21" s="766">
        <v>3135</v>
      </c>
      <c r="D21" s="235">
        <v>3135</v>
      </c>
    </row>
    <row r="22" spans="1:4">
      <c r="A22" s="760" t="s">
        <v>607</v>
      </c>
      <c r="B22" s="723">
        <v>4600</v>
      </c>
      <c r="C22" s="766">
        <v>4600</v>
      </c>
      <c r="D22" s="235">
        <v>4600</v>
      </c>
    </row>
    <row r="23" spans="1:4">
      <c r="A23" s="760" t="s">
        <v>613</v>
      </c>
      <c r="B23" s="723">
        <v>5715</v>
      </c>
      <c r="C23" s="766">
        <v>4194</v>
      </c>
      <c r="D23" s="235">
        <v>4194</v>
      </c>
    </row>
    <row r="24" spans="1:4">
      <c r="A24" s="760" t="s">
        <v>609</v>
      </c>
      <c r="B24" s="723">
        <v>5000</v>
      </c>
      <c r="C24" s="766">
        <v>5000</v>
      </c>
      <c r="D24" s="235">
        <v>5000</v>
      </c>
    </row>
    <row r="25" spans="1:4">
      <c r="A25" s="760" t="s">
        <v>614</v>
      </c>
      <c r="B25" s="723">
        <v>2000</v>
      </c>
      <c r="C25" s="766">
        <v>2000</v>
      </c>
      <c r="D25" s="235">
        <v>2000</v>
      </c>
    </row>
    <row r="26" spans="1:4">
      <c r="A26" s="760" t="s">
        <v>610</v>
      </c>
      <c r="B26" s="723">
        <v>500</v>
      </c>
      <c r="C26" s="766">
        <v>500</v>
      </c>
      <c r="D26" s="235">
        <v>500</v>
      </c>
    </row>
    <row r="27" spans="1:4">
      <c r="A27" s="760" t="s">
        <v>611</v>
      </c>
      <c r="B27" s="723">
        <v>10000</v>
      </c>
      <c r="C27" s="766">
        <v>9946</v>
      </c>
      <c r="D27" s="235">
        <v>9946</v>
      </c>
    </row>
    <row r="28" spans="1:4">
      <c r="A28" s="760" t="s">
        <v>612</v>
      </c>
      <c r="B28" s="723">
        <v>10000</v>
      </c>
      <c r="C28" s="766">
        <v>10000</v>
      </c>
      <c r="D28" s="235">
        <v>10000</v>
      </c>
    </row>
    <row r="29" spans="1:4">
      <c r="A29" s="760" t="s">
        <v>617</v>
      </c>
      <c r="B29" s="723">
        <v>1778</v>
      </c>
      <c r="C29" s="766">
        <v>1778</v>
      </c>
      <c r="D29" s="235">
        <v>1778</v>
      </c>
    </row>
    <row r="30" spans="1:4">
      <c r="A30" s="762" t="s">
        <v>615</v>
      </c>
      <c r="B30" s="723">
        <v>300</v>
      </c>
      <c r="C30" s="766">
        <v>300</v>
      </c>
      <c r="D30" s="235">
        <v>300</v>
      </c>
    </row>
    <row r="31" spans="1:4">
      <c r="A31" s="762" t="s">
        <v>915</v>
      </c>
      <c r="B31" s="723"/>
      <c r="C31" s="766">
        <v>2200</v>
      </c>
      <c r="D31" s="235">
        <v>2200</v>
      </c>
    </row>
    <row r="32" spans="1:4" ht="30">
      <c r="A32" s="760" t="s">
        <v>853</v>
      </c>
      <c r="B32" s="723">
        <f>102500+45000</f>
        <v>147500</v>
      </c>
      <c r="C32" s="766">
        <v>202514</v>
      </c>
      <c r="D32" s="235">
        <v>202487</v>
      </c>
    </row>
    <row r="33" spans="1:9" ht="15.75" thickBot="1">
      <c r="A33" s="760"/>
      <c r="B33" s="756"/>
      <c r="C33" s="757"/>
      <c r="D33" s="758"/>
    </row>
    <row r="34" spans="1:9" ht="15.75" thickBot="1">
      <c r="A34" s="684" t="s">
        <v>71</v>
      </c>
      <c r="B34" s="739">
        <f>B35</f>
        <v>914</v>
      </c>
      <c r="C34" s="740">
        <f>SUM(C35:C35)</f>
        <v>914</v>
      </c>
      <c r="D34" s="106">
        <f>SUM(D35:D35)</f>
        <v>914</v>
      </c>
    </row>
    <row r="35" spans="1:9">
      <c r="A35" s="760" t="s">
        <v>596</v>
      </c>
      <c r="B35" s="775">
        <v>914</v>
      </c>
      <c r="C35" s="738">
        <v>914</v>
      </c>
      <c r="D35" s="700">
        <v>914</v>
      </c>
    </row>
    <row r="36" spans="1:9" ht="15.75" thickBot="1">
      <c r="A36" s="760"/>
      <c r="B36" s="756"/>
      <c r="C36" s="757"/>
      <c r="D36" s="758"/>
    </row>
    <row r="37" spans="1:9" ht="15.75" thickBot="1">
      <c r="A37" s="684" t="s">
        <v>167</v>
      </c>
      <c r="B37" s="739">
        <f>B39+B43+B47+B50+B58+B65+B69+B78+B89+B98</f>
        <v>74071</v>
      </c>
      <c r="C37" s="740">
        <f>C39+C43+C47+C50+C58+C65+C69+C78+C89+C98</f>
        <v>72671</v>
      </c>
      <c r="D37" s="106">
        <f>D39+D43+D47+D50+D58+D65+D69+D78+D89+D98</f>
        <v>65130</v>
      </c>
    </row>
    <row r="38" spans="1:9">
      <c r="A38" s="685"/>
      <c r="B38" s="775"/>
      <c r="C38" s="738"/>
      <c r="D38" s="700"/>
    </row>
    <row r="39" spans="1:9" s="118" customFormat="1">
      <c r="A39" s="696" t="s">
        <v>136</v>
      </c>
      <c r="B39" s="729">
        <f>B40</f>
        <v>450</v>
      </c>
      <c r="C39" s="768">
        <f>C40</f>
        <v>450</v>
      </c>
      <c r="D39" s="709">
        <f>SUM(D40:D41)</f>
        <v>911</v>
      </c>
      <c r="E39" s="234"/>
      <c r="F39" s="234"/>
      <c r="G39" s="234"/>
      <c r="H39" s="234"/>
      <c r="I39" s="234"/>
    </row>
    <row r="40" spans="1:9">
      <c r="A40" s="217" t="s">
        <v>756</v>
      </c>
      <c r="B40" s="723">
        <v>450</v>
      </c>
      <c r="C40" s="766">
        <v>450</v>
      </c>
      <c r="D40" s="235">
        <v>0</v>
      </c>
    </row>
    <row r="41" spans="1:9">
      <c r="A41" s="217" t="s">
        <v>1044</v>
      </c>
      <c r="B41" s="723"/>
      <c r="C41" s="766"/>
      <c r="D41" s="235">
        <v>911</v>
      </c>
    </row>
    <row r="42" spans="1:9">
      <c r="A42" s="217"/>
      <c r="B42" s="723"/>
      <c r="C42" s="766"/>
      <c r="D42" s="235"/>
    </row>
    <row r="43" spans="1:9">
      <c r="A43" s="696" t="s">
        <v>141</v>
      </c>
      <c r="B43" s="729">
        <f>SUM(B44:B45)</f>
        <v>1100</v>
      </c>
      <c r="C43" s="768">
        <f>SUM(C44:C45)</f>
        <v>1100</v>
      </c>
      <c r="D43" s="709">
        <f>SUM(D44:D45)</f>
        <v>1100</v>
      </c>
    </row>
    <row r="44" spans="1:9">
      <c r="A44" s="217" t="s">
        <v>757</v>
      </c>
      <c r="B44" s="723">
        <v>400</v>
      </c>
      <c r="C44" s="766">
        <v>400</v>
      </c>
      <c r="D44" s="235">
        <v>400</v>
      </c>
    </row>
    <row r="45" spans="1:9">
      <c r="A45" s="217" t="s">
        <v>758</v>
      </c>
      <c r="B45" s="723">
        <v>700</v>
      </c>
      <c r="C45" s="766">
        <v>700</v>
      </c>
      <c r="D45" s="235">
        <v>700</v>
      </c>
    </row>
    <row r="46" spans="1:9">
      <c r="A46" s="760"/>
      <c r="B46" s="723"/>
      <c r="C46" s="766"/>
      <c r="D46" s="235"/>
    </row>
    <row r="47" spans="1:9">
      <c r="A47" s="696" t="s">
        <v>137</v>
      </c>
      <c r="B47" s="729">
        <f>B48</f>
        <v>600</v>
      </c>
      <c r="C47" s="768">
        <f>C48</f>
        <v>600</v>
      </c>
      <c r="D47" s="709">
        <f>D48</f>
        <v>600</v>
      </c>
    </row>
    <row r="48" spans="1:9">
      <c r="A48" s="217" t="s">
        <v>759</v>
      </c>
      <c r="B48" s="723">
        <v>600</v>
      </c>
      <c r="C48" s="766">
        <v>600</v>
      </c>
      <c r="D48" s="235">
        <v>600</v>
      </c>
    </row>
    <row r="49" spans="1:4">
      <c r="A49" s="760"/>
      <c r="B49" s="723"/>
      <c r="C49" s="766"/>
      <c r="D49" s="235"/>
    </row>
    <row r="50" spans="1:4">
      <c r="A50" s="696" t="s">
        <v>140</v>
      </c>
      <c r="B50" s="729">
        <f>SUM(B51:B56)</f>
        <v>2550</v>
      </c>
      <c r="C50" s="768">
        <f>SUM(C51:C56)</f>
        <v>2550</v>
      </c>
      <c r="D50" s="709">
        <f>SUM(D51:D56)</f>
        <v>1280</v>
      </c>
    </row>
    <row r="51" spans="1:4">
      <c r="A51" s="217" t="s">
        <v>760</v>
      </c>
      <c r="B51" s="723">
        <v>500</v>
      </c>
      <c r="C51" s="766">
        <v>500</v>
      </c>
      <c r="D51" s="235">
        <v>0</v>
      </c>
    </row>
    <row r="52" spans="1:4">
      <c r="A52" s="217" t="s">
        <v>761</v>
      </c>
      <c r="B52" s="723">
        <v>100</v>
      </c>
      <c r="C52" s="766">
        <v>100</v>
      </c>
      <c r="D52" s="235">
        <v>0</v>
      </c>
    </row>
    <row r="53" spans="1:4">
      <c r="A53" s="217" t="s">
        <v>762</v>
      </c>
      <c r="B53" s="723">
        <v>150</v>
      </c>
      <c r="C53" s="766">
        <v>150</v>
      </c>
      <c r="D53" s="235">
        <v>0</v>
      </c>
    </row>
    <row r="54" spans="1:4">
      <c r="A54" s="217" t="s">
        <v>763</v>
      </c>
      <c r="B54" s="723">
        <v>600</v>
      </c>
      <c r="C54" s="766">
        <v>600</v>
      </c>
      <c r="D54" s="235">
        <v>640</v>
      </c>
    </row>
    <row r="55" spans="1:4">
      <c r="A55" s="217" t="s">
        <v>764</v>
      </c>
      <c r="B55" s="723">
        <v>600</v>
      </c>
      <c r="C55" s="766">
        <v>600</v>
      </c>
      <c r="D55" s="235">
        <v>640</v>
      </c>
    </row>
    <row r="56" spans="1:4">
      <c r="A56" s="217" t="s">
        <v>765</v>
      </c>
      <c r="B56" s="723">
        <v>600</v>
      </c>
      <c r="C56" s="766">
        <v>600</v>
      </c>
      <c r="D56" s="235">
        <v>0</v>
      </c>
    </row>
    <row r="57" spans="1:4">
      <c r="A57" s="760"/>
      <c r="B57" s="723"/>
      <c r="C57" s="766"/>
      <c r="D57" s="235"/>
    </row>
    <row r="58" spans="1:4">
      <c r="A58" s="696" t="s">
        <v>138</v>
      </c>
      <c r="B58" s="729">
        <f>SUM(B59:B63)</f>
        <v>1750</v>
      </c>
      <c r="C58" s="768">
        <f>SUM(C59:C63)</f>
        <v>1750</v>
      </c>
      <c r="D58" s="709">
        <f>SUM(D59:D63)</f>
        <v>150</v>
      </c>
    </row>
    <row r="59" spans="1:4">
      <c r="A59" s="217" t="s">
        <v>766</v>
      </c>
      <c r="B59" s="723">
        <v>100</v>
      </c>
      <c r="C59" s="766">
        <v>100</v>
      </c>
      <c r="D59" s="235">
        <v>0</v>
      </c>
    </row>
    <row r="60" spans="1:4">
      <c r="A60" s="217" t="s">
        <v>767</v>
      </c>
      <c r="B60" s="723">
        <v>500</v>
      </c>
      <c r="C60" s="766">
        <v>500</v>
      </c>
      <c r="D60" s="776">
        <v>0</v>
      </c>
    </row>
    <row r="61" spans="1:4">
      <c r="A61" s="217" t="s">
        <v>768</v>
      </c>
      <c r="B61" s="723">
        <v>500</v>
      </c>
      <c r="C61" s="766">
        <v>500</v>
      </c>
      <c r="D61" s="235">
        <v>0</v>
      </c>
    </row>
    <row r="62" spans="1:4">
      <c r="A62" s="217" t="s">
        <v>769</v>
      </c>
      <c r="B62" s="723">
        <v>500</v>
      </c>
      <c r="C62" s="766">
        <v>500</v>
      </c>
      <c r="D62" s="235">
        <v>0</v>
      </c>
    </row>
    <row r="63" spans="1:4">
      <c r="A63" s="760" t="s">
        <v>770</v>
      </c>
      <c r="B63" s="723">
        <v>150</v>
      </c>
      <c r="C63" s="766">
        <v>150</v>
      </c>
      <c r="D63" s="235">
        <v>150</v>
      </c>
    </row>
    <row r="64" spans="1:4">
      <c r="A64" s="760"/>
      <c r="B64" s="723"/>
      <c r="C64" s="766"/>
      <c r="D64" s="235"/>
    </row>
    <row r="65" spans="1:9">
      <c r="A65" s="696" t="s">
        <v>142</v>
      </c>
      <c r="B65" s="729">
        <f>SUM(B66:B67)</f>
        <v>1000</v>
      </c>
      <c r="C65" s="768">
        <f>SUM(C66:C67)</f>
        <v>1000</v>
      </c>
      <c r="D65" s="709">
        <f>SUM(D66:D67)</f>
        <v>500</v>
      </c>
    </row>
    <row r="66" spans="1:9">
      <c r="A66" s="217" t="s">
        <v>771</v>
      </c>
      <c r="B66" s="723">
        <v>500</v>
      </c>
      <c r="C66" s="766">
        <v>500</v>
      </c>
      <c r="D66" s="235">
        <v>500</v>
      </c>
    </row>
    <row r="67" spans="1:9">
      <c r="A67" s="760" t="s">
        <v>772</v>
      </c>
      <c r="B67" s="723">
        <v>500</v>
      </c>
      <c r="C67" s="766">
        <v>500</v>
      </c>
      <c r="D67" s="235">
        <v>0</v>
      </c>
    </row>
    <row r="68" spans="1:9">
      <c r="A68" s="760"/>
      <c r="B68" s="723"/>
      <c r="C68" s="766"/>
      <c r="D68" s="235"/>
    </row>
    <row r="69" spans="1:9">
      <c r="A69" s="696" t="s">
        <v>139</v>
      </c>
      <c r="B69" s="729">
        <f>SUM(B70:B75)</f>
        <v>1831</v>
      </c>
      <c r="C69" s="768">
        <f>SUM(C70:C75)</f>
        <v>1831</v>
      </c>
      <c r="D69" s="709">
        <f>SUM(D70:D76)</f>
        <v>3299</v>
      </c>
    </row>
    <row r="70" spans="1:9">
      <c r="A70" s="217" t="s">
        <v>773</v>
      </c>
      <c r="B70" s="723">
        <v>200</v>
      </c>
      <c r="C70" s="766">
        <v>200</v>
      </c>
      <c r="D70" s="235">
        <v>0</v>
      </c>
    </row>
    <row r="71" spans="1:9">
      <c r="A71" s="217" t="s">
        <v>774</v>
      </c>
      <c r="B71" s="723">
        <v>150</v>
      </c>
      <c r="C71" s="766">
        <v>150</v>
      </c>
      <c r="D71" s="235">
        <v>0</v>
      </c>
    </row>
    <row r="72" spans="1:9">
      <c r="A72" s="760" t="s">
        <v>775</v>
      </c>
      <c r="B72" s="723">
        <v>300</v>
      </c>
      <c r="C72" s="766">
        <v>300</v>
      </c>
      <c r="D72" s="235">
        <v>0</v>
      </c>
    </row>
    <row r="73" spans="1:9">
      <c r="A73" s="760" t="s">
        <v>776</v>
      </c>
      <c r="B73" s="723">
        <v>454</v>
      </c>
      <c r="C73" s="766">
        <v>454</v>
      </c>
      <c r="D73" s="235">
        <v>0</v>
      </c>
    </row>
    <row r="74" spans="1:9">
      <c r="A74" s="760" t="s">
        <v>777</v>
      </c>
      <c r="B74" s="723">
        <v>50</v>
      </c>
      <c r="C74" s="766">
        <v>50</v>
      </c>
      <c r="D74" s="235">
        <v>0</v>
      </c>
    </row>
    <row r="75" spans="1:9">
      <c r="A75" s="760" t="s">
        <v>778</v>
      </c>
      <c r="B75" s="723">
        <v>677</v>
      </c>
      <c r="C75" s="766">
        <v>677</v>
      </c>
      <c r="D75" s="235">
        <v>0</v>
      </c>
    </row>
    <row r="76" spans="1:9">
      <c r="A76" s="1520" t="s">
        <v>1045</v>
      </c>
      <c r="B76" s="723"/>
      <c r="C76" s="766"/>
      <c r="D76" s="235">
        <v>3299</v>
      </c>
    </row>
    <row r="77" spans="1:9">
      <c r="A77" s="763"/>
      <c r="B77" s="723"/>
      <c r="C77" s="766"/>
      <c r="D77" s="235"/>
    </row>
    <row r="78" spans="1:9" s="118" customFormat="1">
      <c r="A78" s="696" t="s">
        <v>143</v>
      </c>
      <c r="B78" s="729">
        <f>SUM(B79:B85)</f>
        <v>26290</v>
      </c>
      <c r="C78" s="768">
        <f>SUM(C79:C85)</f>
        <v>24890</v>
      </c>
      <c r="D78" s="709">
        <f>SUM(D79:D87)</f>
        <v>19290</v>
      </c>
      <c r="E78" s="234"/>
      <c r="F78" s="234"/>
      <c r="G78" s="234"/>
      <c r="H78" s="234"/>
      <c r="I78" s="234"/>
    </row>
    <row r="79" spans="1:9">
      <c r="A79" s="217" t="s">
        <v>779</v>
      </c>
      <c r="B79" s="723">
        <v>9740</v>
      </c>
      <c r="C79" s="766">
        <v>9740</v>
      </c>
      <c r="D79" s="235">
        <v>6310</v>
      </c>
    </row>
    <row r="80" spans="1:9">
      <c r="A80" s="217" t="s">
        <v>780</v>
      </c>
      <c r="B80" s="723">
        <v>500</v>
      </c>
      <c r="C80" s="766">
        <v>500</v>
      </c>
      <c r="D80" s="235">
        <v>0</v>
      </c>
    </row>
    <row r="81" spans="1:4">
      <c r="A81" s="217" t="s">
        <v>781</v>
      </c>
      <c r="B81" s="723">
        <v>3000</v>
      </c>
      <c r="C81" s="766">
        <v>1600</v>
      </c>
      <c r="D81" s="235">
        <v>0</v>
      </c>
    </row>
    <row r="82" spans="1:4">
      <c r="A82" s="217" t="s">
        <v>782</v>
      </c>
      <c r="B82" s="723">
        <v>9000</v>
      </c>
      <c r="C82" s="766">
        <v>9000</v>
      </c>
      <c r="D82" s="235">
        <v>0</v>
      </c>
    </row>
    <row r="83" spans="1:4">
      <c r="A83" s="217" t="s">
        <v>783</v>
      </c>
      <c r="B83" s="723">
        <v>50</v>
      </c>
      <c r="C83" s="766">
        <v>50</v>
      </c>
      <c r="D83" s="235">
        <v>0</v>
      </c>
    </row>
    <row r="84" spans="1:4">
      <c r="A84" s="217" t="s">
        <v>784</v>
      </c>
      <c r="B84" s="723">
        <v>1000</v>
      </c>
      <c r="C84" s="766">
        <v>1000</v>
      </c>
      <c r="D84" s="235">
        <v>0</v>
      </c>
    </row>
    <row r="85" spans="1:4">
      <c r="A85" s="763" t="s">
        <v>785</v>
      </c>
      <c r="B85" s="723">
        <v>3000</v>
      </c>
      <c r="C85" s="766">
        <v>3000</v>
      </c>
      <c r="D85" s="235">
        <v>0</v>
      </c>
    </row>
    <row r="86" spans="1:4">
      <c r="A86" s="1520" t="s">
        <v>1046</v>
      </c>
      <c r="B86" s="723"/>
      <c r="C86" s="766"/>
      <c r="D86" s="235">
        <v>11600</v>
      </c>
    </row>
    <row r="87" spans="1:4">
      <c r="A87" s="1520" t="s">
        <v>1047</v>
      </c>
      <c r="B87" s="723"/>
      <c r="C87" s="766"/>
      <c r="D87" s="235">
        <v>1380</v>
      </c>
    </row>
    <row r="88" spans="1:4">
      <c r="A88" s="763"/>
      <c r="B88" s="723"/>
      <c r="C88" s="766"/>
      <c r="D88" s="235"/>
    </row>
    <row r="89" spans="1:4">
      <c r="A89" s="696" t="s">
        <v>155</v>
      </c>
      <c r="B89" s="729">
        <f>SUM(B90:B96)</f>
        <v>38000</v>
      </c>
      <c r="C89" s="768">
        <f>SUM(C90:C96)</f>
        <v>38000</v>
      </c>
      <c r="D89" s="709">
        <f>SUM(D90:D96)</f>
        <v>38000</v>
      </c>
    </row>
    <row r="90" spans="1:4" ht="30">
      <c r="A90" s="217" t="s">
        <v>786</v>
      </c>
      <c r="B90" s="723">
        <v>2000</v>
      </c>
      <c r="C90" s="766">
        <v>2000</v>
      </c>
      <c r="D90" s="235">
        <v>2000</v>
      </c>
    </row>
    <row r="91" spans="1:4">
      <c r="A91" s="217" t="s">
        <v>787</v>
      </c>
      <c r="B91" s="723">
        <v>3000</v>
      </c>
      <c r="C91" s="766">
        <v>3000</v>
      </c>
      <c r="D91" s="235">
        <v>3000</v>
      </c>
    </row>
    <row r="92" spans="1:4">
      <c r="A92" s="217" t="s">
        <v>788</v>
      </c>
      <c r="B92" s="723">
        <v>3000</v>
      </c>
      <c r="C92" s="766">
        <v>3000</v>
      </c>
      <c r="D92" s="235">
        <v>3000</v>
      </c>
    </row>
    <row r="93" spans="1:4">
      <c r="A93" s="217" t="s">
        <v>789</v>
      </c>
      <c r="B93" s="723">
        <v>2000</v>
      </c>
      <c r="C93" s="766">
        <v>2000</v>
      </c>
      <c r="D93" s="235">
        <v>2000</v>
      </c>
    </row>
    <row r="94" spans="1:4">
      <c r="A94" s="217" t="s">
        <v>790</v>
      </c>
      <c r="B94" s="723">
        <v>20000</v>
      </c>
      <c r="C94" s="766">
        <v>20000</v>
      </c>
      <c r="D94" s="235">
        <v>20000</v>
      </c>
    </row>
    <row r="95" spans="1:4" ht="30">
      <c r="A95" s="217" t="s">
        <v>791</v>
      </c>
      <c r="B95" s="723">
        <v>3000</v>
      </c>
      <c r="C95" s="766">
        <v>3000</v>
      </c>
      <c r="D95" s="235">
        <v>3000</v>
      </c>
    </row>
    <row r="96" spans="1:4" ht="30">
      <c r="A96" s="217" t="s">
        <v>792</v>
      </c>
      <c r="B96" s="723">
        <v>5000</v>
      </c>
      <c r="C96" s="766">
        <v>5000</v>
      </c>
      <c r="D96" s="235">
        <v>5000</v>
      </c>
    </row>
    <row r="97" spans="1:4">
      <c r="A97" s="217"/>
      <c r="B97" s="723"/>
      <c r="C97" s="766"/>
      <c r="D97" s="235"/>
    </row>
    <row r="98" spans="1:4">
      <c r="A98" s="696" t="s">
        <v>156</v>
      </c>
      <c r="B98" s="729">
        <f>SUM(B99:B99)</f>
        <v>500</v>
      </c>
      <c r="C98" s="768">
        <f>SUM(C99:C99)</f>
        <v>500</v>
      </c>
      <c r="D98" s="709">
        <f>SUM(D99:D99)</f>
        <v>0</v>
      </c>
    </row>
    <row r="99" spans="1:4" ht="15.75">
      <c r="A99" s="764" t="s">
        <v>793</v>
      </c>
      <c r="B99" s="730">
        <v>500</v>
      </c>
      <c r="C99" s="769">
        <v>500</v>
      </c>
      <c r="D99" s="770">
        <v>0</v>
      </c>
    </row>
    <row r="100" spans="1:4" ht="15.75" thickBot="1">
      <c r="A100" s="763"/>
      <c r="B100" s="756"/>
      <c r="C100" s="757"/>
      <c r="D100" s="758"/>
    </row>
    <row r="101" spans="1:4" ht="15.75" thickBot="1">
      <c r="A101" s="684" t="s">
        <v>65</v>
      </c>
      <c r="B101" s="739">
        <f>B4+B37+B34</f>
        <v>667063</v>
      </c>
      <c r="C101" s="740">
        <f>C4+C37+C34</f>
        <v>723218</v>
      </c>
      <c r="D101" s="106">
        <f>D4+D37+D34</f>
        <v>715302</v>
      </c>
    </row>
    <row r="104" spans="1:4">
      <c r="A104" s="208"/>
    </row>
    <row r="105" spans="1:4">
      <c r="A105" s="208"/>
    </row>
  </sheetData>
  <mergeCells count="1">
    <mergeCell ref="A1:D1"/>
  </mergeCells>
  <printOptions horizontalCentered="1"/>
  <pageMargins left="0.70866141732283472" right="0.70866141732283472" top="0.74803149606299213" bottom="0.74803149606299213" header="0.31496062992125984" footer="0.31496062992125984"/>
  <pageSetup paperSize="9" scale="76" fitToHeight="2" orientation="portrait" r:id="rId1"/>
  <headerFooter>
    <oddHeader>&amp;L&amp;"Times New Roman,Normál"&amp;8 8. melléklet 1, 2, 3</oddHeader>
    <oddFooter>&amp;L1. Mód.: 3/2019 (II.27.) önk. rend. 2.§. Hat.: 2019.03.01. napjától
2. Mód.: 9/2019 (IV.24.) önk. rend. 2.§ Hat.: 2019.04.25. napjától
3. Mód.: 18/2019 (IX.11.) önk. rend. 2.§ Hat.:2019.09.12. napjától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
  <sheetViews>
    <sheetView view="pageLayout" topLeftCell="A25" zoomScaleNormal="100" workbookViewId="0">
      <selection activeCell="A9" sqref="A9"/>
    </sheetView>
  </sheetViews>
  <sheetFormatPr defaultRowHeight="15"/>
  <cols>
    <col min="1" max="1" width="85.5703125" style="23" bestFit="1" customWidth="1"/>
    <col min="2" max="4" width="14.42578125" style="23" customWidth="1"/>
    <col min="5" max="10" width="9.140625" style="229"/>
    <col min="11" max="16384" width="9.140625" style="41"/>
  </cols>
  <sheetData>
    <row r="2" spans="1:10" ht="31.5" customHeight="1">
      <c r="A2" s="1957" t="s">
        <v>622</v>
      </c>
      <c r="B2" s="1957"/>
      <c r="C2" s="1957"/>
      <c r="D2" s="1957"/>
    </row>
    <row r="3" spans="1:10" ht="15.75" thickBot="1"/>
    <row r="4" spans="1:10" s="50" customFormat="1" ht="15.75" thickBot="1">
      <c r="A4" s="780" t="s">
        <v>2</v>
      </c>
      <c r="B4" s="795" t="s">
        <v>3</v>
      </c>
      <c r="C4" s="796" t="s">
        <v>882</v>
      </c>
      <c r="D4" s="1235" t="s">
        <v>981</v>
      </c>
      <c r="E4" s="177"/>
      <c r="F4" s="177"/>
      <c r="G4" s="177"/>
      <c r="H4" s="177"/>
      <c r="I4" s="177"/>
      <c r="J4" s="177"/>
    </row>
    <row r="5" spans="1:10">
      <c r="A5" s="781" t="s">
        <v>168</v>
      </c>
      <c r="B5" s="792">
        <v>300</v>
      </c>
      <c r="C5" s="793">
        <v>300</v>
      </c>
      <c r="D5" s="794">
        <v>300</v>
      </c>
    </row>
    <row r="6" spans="1:10">
      <c r="A6" s="782" t="s">
        <v>169</v>
      </c>
      <c r="B6" s="787">
        <v>12000</v>
      </c>
      <c r="C6" s="777">
        <v>11397</v>
      </c>
      <c r="D6" s="231">
        <v>11397</v>
      </c>
    </row>
    <row r="7" spans="1:10">
      <c r="A7" s="782" t="s">
        <v>999</v>
      </c>
      <c r="B7" s="787"/>
      <c r="C7" s="777">
        <v>303</v>
      </c>
      <c r="D7" s="231">
        <v>2668</v>
      </c>
    </row>
    <row r="8" spans="1:10" ht="30">
      <c r="A8" s="688" t="s">
        <v>914</v>
      </c>
      <c r="B8" s="787">
        <v>150</v>
      </c>
      <c r="C8" s="777">
        <v>150</v>
      </c>
      <c r="D8" s="231">
        <v>150</v>
      </c>
    </row>
    <row r="9" spans="1:10">
      <c r="A9" s="688" t="s">
        <v>170</v>
      </c>
      <c r="B9" s="787">
        <v>2500</v>
      </c>
      <c r="C9" s="777">
        <v>2500</v>
      </c>
      <c r="D9" s="231">
        <v>2500</v>
      </c>
    </row>
    <row r="10" spans="1:10">
      <c r="A10" s="688" t="s">
        <v>171</v>
      </c>
      <c r="B10" s="787">
        <v>3400</v>
      </c>
      <c r="C10" s="777">
        <v>3400</v>
      </c>
      <c r="D10" s="231">
        <v>3400</v>
      </c>
    </row>
    <row r="11" spans="1:10" s="1241" customFormat="1">
      <c r="A11" s="1236" t="s">
        <v>172</v>
      </c>
      <c r="B11" s="1237">
        <v>10000</v>
      </c>
      <c r="C11" s="1238">
        <v>10000</v>
      </c>
      <c r="D11" s="1239">
        <v>8198</v>
      </c>
      <c r="E11" s="1240"/>
      <c r="F11" s="1240"/>
      <c r="G11" s="1240"/>
      <c r="H11" s="1240"/>
      <c r="I11" s="1240"/>
      <c r="J11" s="1240"/>
    </row>
    <row r="12" spans="1:10">
      <c r="A12" s="688" t="s">
        <v>173</v>
      </c>
      <c r="B12" s="787">
        <v>1500</v>
      </c>
      <c r="C12" s="777">
        <v>1500</v>
      </c>
      <c r="D12" s="231">
        <v>1500</v>
      </c>
    </row>
    <row r="13" spans="1:10">
      <c r="A13" s="688" t="s">
        <v>621</v>
      </c>
      <c r="B13" s="787">
        <v>3000</v>
      </c>
      <c r="C13" s="777">
        <v>3000</v>
      </c>
      <c r="D13" s="231">
        <v>3000</v>
      </c>
    </row>
    <row r="14" spans="1:10">
      <c r="A14" s="783" t="s">
        <v>174</v>
      </c>
      <c r="B14" s="788">
        <f>SUM(B5:B13)</f>
        <v>32850</v>
      </c>
      <c r="C14" s="778">
        <f>SUM(C5:C13)</f>
        <v>32550</v>
      </c>
      <c r="D14" s="789">
        <f>SUM(D5:D13)</f>
        <v>33113</v>
      </c>
    </row>
    <row r="15" spans="1:10">
      <c r="A15" s="784"/>
      <c r="B15" s="790"/>
      <c r="C15" s="779"/>
      <c r="D15" s="791"/>
    </row>
    <row r="16" spans="1:10">
      <c r="A16" s="688" t="s">
        <v>175</v>
      </c>
      <c r="B16" s="787">
        <v>2000</v>
      </c>
      <c r="C16" s="777">
        <v>2000</v>
      </c>
      <c r="D16" s="231">
        <v>2000</v>
      </c>
    </row>
    <row r="17" spans="1:10" s="24" customFormat="1">
      <c r="A17" s="688" t="s">
        <v>176</v>
      </c>
      <c r="B17" s="787">
        <v>30000</v>
      </c>
      <c r="C17" s="777">
        <v>30000</v>
      </c>
      <c r="D17" s="231">
        <v>30000</v>
      </c>
      <c r="E17" s="230"/>
      <c r="F17" s="230"/>
      <c r="G17" s="230"/>
      <c r="H17" s="230"/>
      <c r="I17" s="230"/>
      <c r="J17" s="230"/>
    </row>
    <row r="18" spans="1:10">
      <c r="A18" s="783" t="s">
        <v>177</v>
      </c>
      <c r="B18" s="788">
        <f>SUM(B16:B17)</f>
        <v>32000</v>
      </c>
      <c r="C18" s="778">
        <f>SUM(C16:C17)</f>
        <v>32000</v>
      </c>
      <c r="D18" s="789">
        <f>SUM(D16:D17)</f>
        <v>32000</v>
      </c>
    </row>
    <row r="19" spans="1:10" ht="15.75" thickBot="1">
      <c r="A19" s="785"/>
      <c r="B19" s="797"/>
      <c r="C19" s="798"/>
      <c r="D19" s="799"/>
    </row>
    <row r="20" spans="1:10" ht="15.75" thickBot="1">
      <c r="A20" s="786" t="s">
        <v>178</v>
      </c>
      <c r="B20" s="800">
        <f>B14+B18</f>
        <v>64850</v>
      </c>
      <c r="C20" s="801">
        <f>C14+C18</f>
        <v>64550</v>
      </c>
      <c r="D20" s="107">
        <f>D14+D18</f>
        <v>65113</v>
      </c>
    </row>
    <row r="21" spans="1:10" ht="15.75" customHeight="1">
      <c r="A21" s="54"/>
      <c r="B21" s="51"/>
      <c r="C21" s="51"/>
      <c r="D21" s="51"/>
    </row>
    <row r="22" spans="1:10" s="24" customFormat="1" ht="14.25">
      <c r="A22" s="52"/>
      <c r="B22" s="53"/>
      <c r="C22" s="53"/>
      <c r="D22" s="53"/>
      <c r="E22" s="230"/>
      <c r="F22" s="230"/>
      <c r="G22" s="230"/>
      <c r="H22" s="230"/>
      <c r="I22" s="230"/>
      <c r="J22" s="230"/>
    </row>
    <row r="23" spans="1:10">
      <c r="A23" s="208"/>
    </row>
    <row r="24" spans="1:10" s="24" customFormat="1" ht="14.25">
      <c r="A24" s="208"/>
      <c r="E24" s="230"/>
      <c r="F24" s="230"/>
      <c r="G24" s="230"/>
      <c r="H24" s="230"/>
      <c r="I24" s="230"/>
      <c r="J24" s="230"/>
    </row>
  </sheetData>
  <mergeCells count="1">
    <mergeCell ref="A2:D2"/>
  </mergeCells>
  <printOptions horizontalCentered="1"/>
  <pageMargins left="0.70866141732283472" right="0.70866141732283472" top="0.74803149606299213" bottom="0.74803149606299213" header="0.31496062992125984" footer="0.31496062992125984"/>
  <pageSetup paperSize="9" orientation="landscape" r:id="rId1"/>
  <headerFooter>
    <oddHeader>&amp;L&amp;"Times New Roman,Normál"&amp;8 9. melléklet 1, 2, 3</oddHeader>
    <oddFooter>&amp;L1. Mód.: 3/2019 (II.27.) önk. rend. 2.§. Hat.: 2019.03.01. napjától
2. Mód.: 9/2019 (IV.24.) önk. rend. 2.§ Hat.: 2019.04.25. napjától
3. Mód.: 18/2019 (IX.11.) önk. rend. 2.§ Hat.:2019.09.12. napjától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5670"/>
  <sheetViews>
    <sheetView view="pageLayout" topLeftCell="A76" zoomScaleNormal="100" workbookViewId="0">
      <selection activeCell="A5" sqref="A5"/>
    </sheetView>
  </sheetViews>
  <sheetFormatPr defaultRowHeight="15" zeroHeight="1"/>
  <cols>
    <col min="1" max="1" width="101.28515625" style="43" customWidth="1"/>
    <col min="2" max="4" width="14.42578125" style="60" customWidth="1"/>
    <col min="5" max="13" width="9.140625" style="221"/>
    <col min="14" max="16384" width="9.140625" style="55"/>
  </cols>
  <sheetData>
    <row r="1" spans="1:13" ht="30" customHeight="1">
      <c r="A1" s="1958" t="s">
        <v>620</v>
      </c>
      <c r="B1" s="1958"/>
      <c r="C1" s="1958"/>
      <c r="D1" s="1958"/>
    </row>
    <row r="2" spans="1:13" ht="15" customHeight="1" thickBot="1">
      <c r="A2" s="56"/>
      <c r="B2" s="56"/>
      <c r="C2" s="56"/>
      <c r="D2" s="56"/>
    </row>
    <row r="3" spans="1:13" s="57" customFormat="1" ht="13.5" customHeight="1" thickBot="1">
      <c r="A3" s="824" t="s">
        <v>2</v>
      </c>
      <c r="B3" s="825" t="s">
        <v>3</v>
      </c>
      <c r="C3" s="826" t="s">
        <v>882</v>
      </c>
      <c r="D3" s="1242" t="s">
        <v>981</v>
      </c>
      <c r="E3" s="77"/>
      <c r="F3" s="77"/>
      <c r="G3" s="77"/>
      <c r="H3" s="77"/>
      <c r="I3" s="77"/>
      <c r="J3" s="77"/>
      <c r="K3" s="77"/>
      <c r="L3" s="77"/>
      <c r="M3" s="77"/>
    </row>
    <row r="4" spans="1:13" ht="17.25" customHeight="1">
      <c r="A4" s="806" t="s">
        <v>179</v>
      </c>
      <c r="B4" s="821"/>
      <c r="C4" s="822"/>
      <c r="D4" s="823"/>
    </row>
    <row r="5" spans="1:13">
      <c r="A5" s="807"/>
      <c r="B5" s="814"/>
      <c r="C5" s="803"/>
      <c r="D5" s="227"/>
    </row>
    <row r="6" spans="1:13" s="62" customFormat="1" ht="12" customHeight="1">
      <c r="A6" s="808" t="s">
        <v>180</v>
      </c>
      <c r="B6" s="815">
        <f>SUM(B7:B10)</f>
        <v>384473</v>
      </c>
      <c r="C6" s="804">
        <f>SUM(C7:C10)</f>
        <v>445048</v>
      </c>
      <c r="D6" s="816">
        <f>SUM(D7:D10)</f>
        <v>505076</v>
      </c>
      <c r="E6" s="222"/>
      <c r="F6" s="222"/>
      <c r="G6" s="222"/>
      <c r="H6" s="222"/>
      <c r="I6" s="222"/>
      <c r="J6" s="222"/>
      <c r="K6" s="222"/>
      <c r="L6" s="222"/>
      <c r="M6" s="222"/>
    </row>
    <row r="7" spans="1:13" s="58" customFormat="1">
      <c r="A7" s="807" t="s">
        <v>629</v>
      </c>
      <c r="B7" s="814">
        <v>380473</v>
      </c>
      <c r="C7" s="803">
        <v>438427</v>
      </c>
      <c r="D7" s="227">
        <v>498455</v>
      </c>
      <c r="E7" s="223"/>
      <c r="F7" s="223"/>
      <c r="G7" s="223"/>
      <c r="H7" s="223"/>
      <c r="I7" s="223"/>
      <c r="J7" s="223"/>
      <c r="K7" s="223"/>
      <c r="L7" s="223"/>
      <c r="M7" s="223"/>
    </row>
    <row r="8" spans="1:13" s="58" customFormat="1">
      <c r="A8" s="807" t="s">
        <v>1005</v>
      </c>
      <c r="B8" s="814"/>
      <c r="C8" s="803">
        <v>2321</v>
      </c>
      <c r="D8" s="227">
        <v>2321</v>
      </c>
      <c r="E8" s="223"/>
      <c r="F8" s="223"/>
      <c r="G8" s="223"/>
      <c r="H8" s="223"/>
      <c r="I8" s="223"/>
      <c r="J8" s="223"/>
      <c r="K8" s="223"/>
      <c r="L8" s="223"/>
      <c r="M8" s="223"/>
    </row>
    <row r="9" spans="1:13" s="58" customFormat="1">
      <c r="A9" s="807" t="s">
        <v>909</v>
      </c>
      <c r="B9" s="814"/>
      <c r="C9" s="803">
        <v>300</v>
      </c>
      <c r="D9" s="227">
        <v>300</v>
      </c>
      <c r="E9" s="223"/>
      <c r="F9" s="223"/>
      <c r="G9" s="223"/>
      <c r="H9" s="223"/>
      <c r="I9" s="223"/>
      <c r="J9" s="223"/>
      <c r="K9" s="223"/>
      <c r="L9" s="223"/>
      <c r="M9" s="223"/>
    </row>
    <row r="10" spans="1:13" s="58" customFormat="1">
      <c r="A10" s="807" t="s">
        <v>630</v>
      </c>
      <c r="B10" s="814">
        <v>4000</v>
      </c>
      <c r="C10" s="803">
        <v>4000</v>
      </c>
      <c r="D10" s="227">
        <v>4000</v>
      </c>
      <c r="E10" s="223"/>
      <c r="F10" s="223"/>
      <c r="G10" s="223"/>
      <c r="H10" s="223"/>
      <c r="I10" s="223"/>
      <c r="J10" s="223"/>
      <c r="K10" s="223"/>
      <c r="L10" s="223"/>
      <c r="M10" s="223"/>
    </row>
    <row r="11" spans="1:13" ht="12.75" customHeight="1">
      <c r="A11" s="807"/>
      <c r="B11" s="814"/>
      <c r="C11" s="803"/>
      <c r="D11" s="227"/>
    </row>
    <row r="12" spans="1:13" s="62" customFormat="1" ht="12.75" customHeight="1">
      <c r="A12" s="808" t="s">
        <v>181</v>
      </c>
      <c r="B12" s="815">
        <f>SUM(B13:B46)</f>
        <v>682788</v>
      </c>
      <c r="C12" s="804">
        <f>SUM(C13:C47)</f>
        <v>712051</v>
      </c>
      <c r="D12" s="816">
        <f>SUM(D13:D47)</f>
        <v>721361</v>
      </c>
      <c r="E12" s="222"/>
      <c r="F12" s="222"/>
      <c r="G12" s="222"/>
      <c r="H12" s="222"/>
      <c r="I12" s="222"/>
      <c r="J12" s="222"/>
      <c r="K12" s="222"/>
      <c r="L12" s="222"/>
      <c r="M12" s="222"/>
    </row>
    <row r="13" spans="1:13" ht="15.75" customHeight="1">
      <c r="A13" s="809" t="s">
        <v>1004</v>
      </c>
      <c r="B13" s="814">
        <v>15000</v>
      </c>
      <c r="C13" s="803">
        <v>15000</v>
      </c>
      <c r="D13" s="227">
        <v>18830</v>
      </c>
    </row>
    <row r="14" spans="1:13" ht="15.75" customHeight="1">
      <c r="A14" s="807" t="s">
        <v>1003</v>
      </c>
      <c r="B14" s="814">
        <v>7000</v>
      </c>
      <c r="C14" s="803">
        <v>7000</v>
      </c>
      <c r="D14" s="227">
        <v>9303</v>
      </c>
    </row>
    <row r="15" spans="1:13" ht="16.5" customHeight="1">
      <c r="A15" s="807" t="s">
        <v>646</v>
      </c>
      <c r="B15" s="814">
        <v>261336</v>
      </c>
      <c r="C15" s="803">
        <v>261336</v>
      </c>
      <c r="D15" s="227">
        <v>261336</v>
      </c>
    </row>
    <row r="16" spans="1:13" ht="15" customHeight="1">
      <c r="A16" s="807" t="s">
        <v>648</v>
      </c>
      <c r="B16" s="814">
        <v>158795</v>
      </c>
      <c r="C16" s="803">
        <v>158795</v>
      </c>
      <c r="D16" s="227">
        <v>158795</v>
      </c>
    </row>
    <row r="17" spans="1:30">
      <c r="A17" s="688" t="s">
        <v>647</v>
      </c>
      <c r="B17" s="814">
        <v>27452</v>
      </c>
      <c r="C17" s="803">
        <v>55510</v>
      </c>
      <c r="D17" s="227">
        <v>55510</v>
      </c>
    </row>
    <row r="18" spans="1:30">
      <c r="A18" s="809" t="s">
        <v>631</v>
      </c>
      <c r="B18" s="814">
        <v>64000</v>
      </c>
      <c r="C18" s="803">
        <v>64000</v>
      </c>
      <c r="D18" s="227">
        <v>64000</v>
      </c>
    </row>
    <row r="19" spans="1:30">
      <c r="A19" s="809" t="s">
        <v>663</v>
      </c>
      <c r="B19" s="814">
        <v>45000</v>
      </c>
      <c r="C19" s="803">
        <v>45000</v>
      </c>
      <c r="D19" s="227">
        <v>47602</v>
      </c>
    </row>
    <row r="20" spans="1:30" s="59" customFormat="1">
      <c r="A20" s="809" t="s">
        <v>182</v>
      </c>
      <c r="B20" s="814">
        <v>4000</v>
      </c>
      <c r="C20" s="803">
        <v>4000</v>
      </c>
      <c r="D20" s="227">
        <v>4000</v>
      </c>
      <c r="E20" s="221"/>
      <c r="F20" s="221"/>
      <c r="G20" s="221"/>
      <c r="H20" s="221"/>
      <c r="I20" s="221"/>
      <c r="J20" s="221"/>
      <c r="K20" s="221"/>
      <c r="L20" s="221"/>
      <c r="M20" s="221"/>
      <c r="N20" s="55"/>
      <c r="O20" s="55"/>
      <c r="P20" s="55"/>
      <c r="Q20" s="55"/>
      <c r="R20" s="55"/>
      <c r="S20" s="55"/>
      <c r="T20" s="55"/>
      <c r="U20" s="55"/>
      <c r="V20" s="55"/>
      <c r="W20" s="55"/>
      <c r="X20" s="55"/>
      <c r="Y20" s="55"/>
      <c r="Z20" s="55"/>
      <c r="AA20" s="55"/>
      <c r="AB20" s="55"/>
      <c r="AC20" s="55"/>
      <c r="AD20" s="55"/>
    </row>
    <row r="21" spans="1:30">
      <c r="A21" s="807" t="s">
        <v>632</v>
      </c>
      <c r="B21" s="814">
        <v>1375</v>
      </c>
      <c r="C21" s="803">
        <v>1375</v>
      </c>
      <c r="D21" s="227">
        <v>1375</v>
      </c>
    </row>
    <row r="22" spans="1:30">
      <c r="A22" s="807" t="s">
        <v>633</v>
      </c>
      <c r="B22" s="814">
        <v>35000</v>
      </c>
      <c r="C22" s="803">
        <v>35000</v>
      </c>
      <c r="D22" s="227">
        <v>35000</v>
      </c>
    </row>
    <row r="23" spans="1:30">
      <c r="A23" s="807" t="s">
        <v>649</v>
      </c>
      <c r="B23" s="814">
        <v>25000</v>
      </c>
      <c r="C23" s="803">
        <v>25000</v>
      </c>
      <c r="D23" s="227">
        <v>25000</v>
      </c>
    </row>
    <row r="24" spans="1:30">
      <c r="A24" s="807" t="s">
        <v>634</v>
      </c>
      <c r="B24" s="814">
        <v>1500</v>
      </c>
      <c r="C24" s="803">
        <v>1500</v>
      </c>
      <c r="D24" s="227">
        <v>1500</v>
      </c>
    </row>
    <row r="25" spans="1:30">
      <c r="A25" s="807" t="s">
        <v>660</v>
      </c>
      <c r="B25" s="814">
        <v>6000</v>
      </c>
      <c r="C25" s="803">
        <v>6000</v>
      </c>
      <c r="D25" s="227">
        <v>6000</v>
      </c>
    </row>
    <row r="26" spans="1:30">
      <c r="A26" s="807" t="s">
        <v>1002</v>
      </c>
      <c r="B26" s="814">
        <v>660</v>
      </c>
      <c r="C26" s="803">
        <v>660</v>
      </c>
      <c r="D26" s="227">
        <v>1000</v>
      </c>
    </row>
    <row r="27" spans="1:30">
      <c r="A27" s="807" t="s">
        <v>635</v>
      </c>
      <c r="B27" s="814">
        <v>300</v>
      </c>
      <c r="C27" s="803">
        <v>300</v>
      </c>
      <c r="D27" s="227">
        <v>300</v>
      </c>
    </row>
    <row r="28" spans="1:30">
      <c r="A28" s="807" t="s">
        <v>636</v>
      </c>
      <c r="B28" s="814">
        <v>5500</v>
      </c>
      <c r="C28" s="803">
        <v>5500</v>
      </c>
      <c r="D28" s="227">
        <v>5500</v>
      </c>
    </row>
    <row r="29" spans="1:30">
      <c r="A29" s="807" t="s">
        <v>651</v>
      </c>
      <c r="B29" s="814">
        <v>3000</v>
      </c>
      <c r="C29" s="803">
        <v>3000</v>
      </c>
      <c r="D29" s="227">
        <v>3000</v>
      </c>
    </row>
    <row r="30" spans="1:30">
      <c r="A30" s="807" t="s">
        <v>637</v>
      </c>
      <c r="B30" s="814">
        <v>1000</v>
      </c>
      <c r="C30" s="803">
        <v>1000</v>
      </c>
      <c r="D30" s="227">
        <v>1000</v>
      </c>
    </row>
    <row r="31" spans="1:30">
      <c r="A31" s="807" t="s">
        <v>414</v>
      </c>
      <c r="B31" s="814">
        <v>3000</v>
      </c>
      <c r="C31" s="803">
        <v>3000</v>
      </c>
      <c r="D31" s="227">
        <v>2685</v>
      </c>
    </row>
    <row r="32" spans="1:30">
      <c r="A32" s="807" t="s">
        <v>638</v>
      </c>
      <c r="B32" s="814">
        <v>5500</v>
      </c>
      <c r="C32" s="803">
        <v>5500</v>
      </c>
      <c r="D32" s="227">
        <v>5500</v>
      </c>
    </row>
    <row r="33" spans="1:4">
      <c r="A33" s="807" t="s">
        <v>659</v>
      </c>
      <c r="B33" s="814">
        <v>3000</v>
      </c>
      <c r="C33" s="803">
        <v>3000</v>
      </c>
      <c r="D33" s="227">
        <v>3000</v>
      </c>
    </row>
    <row r="34" spans="1:4">
      <c r="A34" s="807" t="s">
        <v>657</v>
      </c>
      <c r="B34" s="814">
        <v>2500</v>
      </c>
      <c r="C34" s="803">
        <v>2500</v>
      </c>
      <c r="D34" s="227">
        <v>2500</v>
      </c>
    </row>
    <row r="35" spans="1:4">
      <c r="A35" s="807" t="s">
        <v>658</v>
      </c>
      <c r="B35" s="814">
        <v>500</v>
      </c>
      <c r="C35" s="803">
        <v>500</v>
      </c>
      <c r="D35" s="227">
        <v>500</v>
      </c>
    </row>
    <row r="36" spans="1:4">
      <c r="A36" s="807" t="s">
        <v>655</v>
      </c>
      <c r="B36" s="814">
        <v>500</v>
      </c>
      <c r="C36" s="803">
        <v>500</v>
      </c>
      <c r="D36" s="227">
        <v>500</v>
      </c>
    </row>
    <row r="37" spans="1:4">
      <c r="A37" s="807" t="s">
        <v>661</v>
      </c>
      <c r="B37" s="814">
        <v>250</v>
      </c>
      <c r="C37" s="803">
        <v>250</v>
      </c>
      <c r="D37" s="227">
        <v>250</v>
      </c>
    </row>
    <row r="38" spans="1:4">
      <c r="A38" s="807" t="s">
        <v>652</v>
      </c>
      <c r="B38" s="814">
        <v>500</v>
      </c>
      <c r="C38" s="803">
        <v>500</v>
      </c>
      <c r="D38" s="227">
        <v>500</v>
      </c>
    </row>
    <row r="39" spans="1:4">
      <c r="A39" s="807" t="s">
        <v>639</v>
      </c>
      <c r="B39" s="814">
        <v>1500</v>
      </c>
      <c r="C39" s="803">
        <v>1500</v>
      </c>
      <c r="D39" s="227">
        <v>1500</v>
      </c>
    </row>
    <row r="40" spans="1:4">
      <c r="A40" s="688" t="s">
        <v>653</v>
      </c>
      <c r="B40" s="814">
        <v>500</v>
      </c>
      <c r="C40" s="803">
        <v>500</v>
      </c>
      <c r="D40" s="227">
        <v>500</v>
      </c>
    </row>
    <row r="41" spans="1:4">
      <c r="A41" s="807" t="s">
        <v>654</v>
      </c>
      <c r="B41" s="814">
        <v>500</v>
      </c>
      <c r="C41" s="803">
        <v>500</v>
      </c>
      <c r="D41" s="227">
        <v>500</v>
      </c>
    </row>
    <row r="42" spans="1:4">
      <c r="A42" s="688" t="s">
        <v>656</v>
      </c>
      <c r="B42" s="814">
        <v>100</v>
      </c>
      <c r="C42" s="803">
        <v>100</v>
      </c>
      <c r="D42" s="227">
        <v>100</v>
      </c>
    </row>
    <row r="43" spans="1:4">
      <c r="A43" s="688" t="s">
        <v>640</v>
      </c>
      <c r="B43" s="814">
        <v>220</v>
      </c>
      <c r="C43" s="803">
        <v>220</v>
      </c>
      <c r="D43" s="227">
        <v>220</v>
      </c>
    </row>
    <row r="44" spans="1:4">
      <c r="A44" s="688" t="s">
        <v>641</v>
      </c>
      <c r="B44" s="814">
        <v>300</v>
      </c>
      <c r="C44" s="803">
        <v>300</v>
      </c>
      <c r="D44" s="227">
        <v>300</v>
      </c>
    </row>
    <row r="45" spans="1:4">
      <c r="A45" s="688" t="s">
        <v>662</v>
      </c>
      <c r="B45" s="814">
        <v>500</v>
      </c>
      <c r="C45" s="803">
        <v>500</v>
      </c>
      <c r="D45" s="227">
        <v>500</v>
      </c>
    </row>
    <row r="46" spans="1:4">
      <c r="A46" s="688" t="s">
        <v>642</v>
      </c>
      <c r="B46" s="814">
        <v>1500</v>
      </c>
      <c r="C46" s="803">
        <v>1500</v>
      </c>
      <c r="D46" s="227">
        <v>1500</v>
      </c>
    </row>
    <row r="47" spans="1:4">
      <c r="A47" s="810" t="s">
        <v>910</v>
      </c>
      <c r="B47" s="814"/>
      <c r="C47" s="802">
        <f>SUM(C49:C51)</f>
        <v>1205</v>
      </c>
      <c r="D47" s="817">
        <f>SUM(D48:D52)</f>
        <v>1755</v>
      </c>
    </row>
    <row r="48" spans="1:4">
      <c r="A48" s="807" t="s">
        <v>1001</v>
      </c>
      <c r="B48" s="814"/>
      <c r="C48" s="802"/>
      <c r="D48" s="227">
        <v>150</v>
      </c>
    </row>
    <row r="49" spans="1:13">
      <c r="A49" s="807" t="s">
        <v>911</v>
      </c>
      <c r="B49" s="814"/>
      <c r="C49" s="803">
        <v>663</v>
      </c>
      <c r="D49" s="227">
        <v>663</v>
      </c>
    </row>
    <row r="50" spans="1:13">
      <c r="A50" s="807" t="s">
        <v>912</v>
      </c>
      <c r="B50" s="814"/>
      <c r="C50" s="803">
        <v>342</v>
      </c>
      <c r="D50" s="227">
        <v>342</v>
      </c>
    </row>
    <row r="51" spans="1:13">
      <c r="A51" s="807" t="s">
        <v>913</v>
      </c>
      <c r="B51" s="814"/>
      <c r="C51" s="803">
        <v>200</v>
      </c>
      <c r="D51" s="227">
        <v>200</v>
      </c>
    </row>
    <row r="52" spans="1:13">
      <c r="A52" s="807" t="s">
        <v>1007</v>
      </c>
      <c r="B52" s="814"/>
      <c r="C52" s="803"/>
      <c r="D52" s="227">
        <v>400</v>
      </c>
    </row>
    <row r="53" spans="1:13">
      <c r="A53" s="807"/>
      <c r="B53" s="814"/>
      <c r="C53" s="803"/>
      <c r="D53" s="227"/>
    </row>
    <row r="54" spans="1:13" ht="13.5" customHeight="1">
      <c r="A54" s="810" t="s">
        <v>196</v>
      </c>
      <c r="B54" s="818">
        <f>B6+B12</f>
        <v>1067261</v>
      </c>
      <c r="C54" s="802">
        <f>C6+C12</f>
        <v>1157099</v>
      </c>
      <c r="D54" s="817">
        <f>D6+D12</f>
        <v>1226437</v>
      </c>
    </row>
    <row r="55" spans="1:13" ht="15" customHeight="1">
      <c r="A55" s="807"/>
      <c r="B55" s="814"/>
      <c r="C55" s="803"/>
      <c r="D55" s="227"/>
    </row>
    <row r="56" spans="1:13" s="62" customFormat="1">
      <c r="A56" s="808" t="s">
        <v>183</v>
      </c>
      <c r="B56" s="815">
        <f>SUM(B57:B57)</f>
        <v>40000</v>
      </c>
      <c r="C56" s="804">
        <f>SUM(C57:C57)</f>
        <v>40000</v>
      </c>
      <c r="D56" s="816">
        <f>SUM(D57:D57)</f>
        <v>40000</v>
      </c>
      <c r="E56" s="222"/>
      <c r="F56" s="222"/>
      <c r="G56" s="222"/>
      <c r="H56" s="222"/>
      <c r="I56" s="222"/>
      <c r="J56" s="222"/>
      <c r="K56" s="222"/>
      <c r="L56" s="222"/>
      <c r="M56" s="222"/>
    </row>
    <row r="57" spans="1:13">
      <c r="A57" s="807" t="s">
        <v>650</v>
      </c>
      <c r="B57" s="814">
        <v>40000</v>
      </c>
      <c r="C57" s="803">
        <v>40000</v>
      </c>
      <c r="D57" s="227">
        <v>40000</v>
      </c>
    </row>
    <row r="58" spans="1:13">
      <c r="A58" s="807"/>
      <c r="B58" s="814"/>
      <c r="C58" s="803"/>
      <c r="D58" s="227"/>
    </row>
    <row r="59" spans="1:13">
      <c r="A59" s="810" t="s">
        <v>186</v>
      </c>
      <c r="B59" s="818">
        <f>B56</f>
        <v>40000</v>
      </c>
      <c r="C59" s="802">
        <f>C56</f>
        <v>40000</v>
      </c>
      <c r="D59" s="817">
        <f>D56</f>
        <v>40000</v>
      </c>
    </row>
    <row r="60" spans="1:13">
      <c r="A60" s="807"/>
      <c r="B60" s="814"/>
      <c r="C60" s="803"/>
      <c r="D60" s="227"/>
    </row>
    <row r="61" spans="1:13" ht="28.5">
      <c r="A61" s="810" t="s">
        <v>187</v>
      </c>
      <c r="B61" s="818">
        <f>B54+B59</f>
        <v>1107261</v>
      </c>
      <c r="C61" s="802">
        <f>C54+C59</f>
        <v>1197099</v>
      </c>
      <c r="D61" s="817">
        <f>D54+D59</f>
        <v>1266437</v>
      </c>
    </row>
    <row r="62" spans="1:13">
      <c r="A62" s="807"/>
      <c r="B62" s="814"/>
      <c r="C62" s="803"/>
      <c r="D62" s="227"/>
    </row>
    <row r="63" spans="1:13">
      <c r="A63" s="808" t="s">
        <v>415</v>
      </c>
      <c r="B63" s="815">
        <f>SUM(B64:B65)</f>
        <v>5300</v>
      </c>
      <c r="C63" s="804">
        <f>SUM(C64:C65)</f>
        <v>5300</v>
      </c>
      <c r="D63" s="816">
        <f>SUM(D64:D66)</f>
        <v>7242</v>
      </c>
    </row>
    <row r="64" spans="1:13">
      <c r="A64" s="807" t="s">
        <v>645</v>
      </c>
      <c r="B64" s="814">
        <v>5000</v>
      </c>
      <c r="C64" s="803">
        <v>5000</v>
      </c>
      <c r="D64" s="227">
        <v>5000</v>
      </c>
    </row>
    <row r="65" spans="1:13">
      <c r="A65" s="807" t="s">
        <v>643</v>
      </c>
      <c r="B65" s="814">
        <v>300</v>
      </c>
      <c r="C65" s="803">
        <v>300</v>
      </c>
      <c r="D65" s="227">
        <v>300</v>
      </c>
    </row>
    <row r="66" spans="1:13">
      <c r="A66" s="807" t="s">
        <v>1006</v>
      </c>
      <c r="B66" s="814"/>
      <c r="C66" s="803"/>
      <c r="D66" s="227">
        <v>1942</v>
      </c>
    </row>
    <row r="67" spans="1:13">
      <c r="A67" s="807"/>
      <c r="B67" s="814"/>
      <c r="C67" s="803"/>
      <c r="D67" s="227"/>
    </row>
    <row r="68" spans="1:13" ht="13.5" customHeight="1">
      <c r="A68" s="810" t="s">
        <v>197</v>
      </c>
      <c r="B68" s="818">
        <f>B63</f>
        <v>5300</v>
      </c>
      <c r="C68" s="802">
        <f>C63</f>
        <v>5300</v>
      </c>
      <c r="D68" s="817">
        <f>D63</f>
        <v>7242</v>
      </c>
    </row>
    <row r="69" spans="1:13">
      <c r="A69" s="807"/>
      <c r="B69" s="814"/>
      <c r="C69" s="803"/>
      <c r="D69" s="227"/>
    </row>
    <row r="70" spans="1:13" s="62" customFormat="1" ht="15.75" customHeight="1">
      <c r="A70" s="808" t="s">
        <v>185</v>
      </c>
      <c r="B70" s="815">
        <f>B71</f>
        <v>0</v>
      </c>
      <c r="C70" s="804">
        <f>C71</f>
        <v>0</v>
      </c>
      <c r="D70" s="816">
        <f>D71</f>
        <v>0</v>
      </c>
      <c r="E70" s="222"/>
      <c r="F70" s="222"/>
      <c r="G70" s="222"/>
      <c r="H70" s="222"/>
      <c r="I70" s="222"/>
      <c r="J70" s="222"/>
      <c r="K70" s="222"/>
      <c r="L70" s="222"/>
      <c r="M70" s="222"/>
    </row>
    <row r="71" spans="1:13">
      <c r="A71" s="809"/>
      <c r="B71" s="814"/>
      <c r="C71" s="803"/>
      <c r="D71" s="227"/>
    </row>
    <row r="72" spans="1:13">
      <c r="A72" s="807"/>
      <c r="B72" s="814"/>
      <c r="C72" s="803"/>
      <c r="D72" s="227"/>
    </row>
    <row r="73" spans="1:13" ht="13.5" customHeight="1">
      <c r="A73" s="810" t="s">
        <v>198</v>
      </c>
      <c r="B73" s="818">
        <f>B70</f>
        <v>0</v>
      </c>
      <c r="C73" s="802">
        <f>C70</f>
        <v>0</v>
      </c>
      <c r="D73" s="817">
        <f>D70</f>
        <v>0</v>
      </c>
    </row>
    <row r="74" spans="1:13" s="58" customFormat="1">
      <c r="A74" s="807"/>
      <c r="B74" s="814"/>
      <c r="C74" s="803"/>
      <c r="D74" s="227"/>
      <c r="E74" s="223"/>
      <c r="F74" s="223"/>
      <c r="G74" s="223"/>
      <c r="H74" s="223"/>
      <c r="I74" s="223"/>
      <c r="J74" s="223"/>
      <c r="K74" s="223"/>
      <c r="L74" s="223"/>
      <c r="M74" s="223"/>
    </row>
    <row r="75" spans="1:13" s="58" customFormat="1" ht="28.5">
      <c r="A75" s="810" t="s">
        <v>188</v>
      </c>
      <c r="B75" s="818">
        <f>B68+B73</f>
        <v>5300</v>
      </c>
      <c r="C75" s="802">
        <f>C68+C73</f>
        <v>5300</v>
      </c>
      <c r="D75" s="817">
        <f>D68+D73</f>
        <v>7242</v>
      </c>
      <c r="E75" s="223"/>
      <c r="F75" s="223"/>
      <c r="G75" s="223"/>
      <c r="H75" s="223"/>
      <c r="I75" s="223"/>
      <c r="J75" s="223"/>
      <c r="K75" s="223"/>
      <c r="L75" s="223"/>
      <c r="M75" s="223"/>
    </row>
    <row r="76" spans="1:13" s="58" customFormat="1" thickBot="1">
      <c r="A76" s="811"/>
      <c r="B76" s="827"/>
      <c r="C76" s="828"/>
      <c r="D76" s="829"/>
      <c r="E76" s="223"/>
      <c r="F76" s="223"/>
      <c r="G76" s="223"/>
      <c r="H76" s="223"/>
      <c r="I76" s="223"/>
      <c r="J76" s="223"/>
      <c r="K76" s="223"/>
      <c r="L76" s="223"/>
      <c r="M76" s="223"/>
    </row>
    <row r="77" spans="1:13" s="58" customFormat="1" thickBot="1">
      <c r="A77" s="812" t="s">
        <v>401</v>
      </c>
      <c r="B77" s="833">
        <f>B61+B75</f>
        <v>1112561</v>
      </c>
      <c r="C77" s="834">
        <f>C61+C75</f>
        <v>1202399</v>
      </c>
      <c r="D77" s="108">
        <f>D61+D75</f>
        <v>1273679</v>
      </c>
      <c r="E77" s="223"/>
      <c r="F77" s="223"/>
      <c r="G77" s="223"/>
      <c r="H77" s="223"/>
      <c r="I77" s="223"/>
      <c r="J77" s="223"/>
      <c r="K77" s="223"/>
      <c r="L77" s="223"/>
      <c r="M77" s="223"/>
    </row>
    <row r="78" spans="1:13">
      <c r="A78" s="806"/>
      <c r="B78" s="830"/>
      <c r="C78" s="831"/>
      <c r="D78" s="832"/>
    </row>
    <row r="79" spans="1:13">
      <c r="A79" s="810" t="s">
        <v>184</v>
      </c>
      <c r="B79" s="819"/>
      <c r="C79" s="805"/>
      <c r="D79" s="820"/>
    </row>
    <row r="80" spans="1:13">
      <c r="A80" s="810"/>
      <c r="B80" s="819"/>
      <c r="C80" s="805"/>
      <c r="D80" s="820"/>
    </row>
    <row r="81" spans="1:13" s="62" customFormat="1">
      <c r="A81" s="808" t="s">
        <v>185</v>
      </c>
      <c r="B81" s="815">
        <f>B82</f>
        <v>1200</v>
      </c>
      <c r="C81" s="804">
        <f>C82</f>
        <v>1200</v>
      </c>
      <c r="D81" s="816">
        <f>D82</f>
        <v>1200</v>
      </c>
      <c r="E81" s="222"/>
      <c r="F81" s="222"/>
      <c r="G81" s="222"/>
      <c r="H81" s="222"/>
      <c r="I81" s="222"/>
      <c r="J81" s="222"/>
      <c r="K81" s="222"/>
      <c r="L81" s="222"/>
      <c r="M81" s="222"/>
    </row>
    <row r="82" spans="1:13">
      <c r="A82" s="807" t="s">
        <v>644</v>
      </c>
      <c r="B82" s="814">
        <v>1200</v>
      </c>
      <c r="C82" s="803">
        <v>1200</v>
      </c>
      <c r="D82" s="227">
        <v>1200</v>
      </c>
    </row>
    <row r="83" spans="1:13" ht="14.25" customHeight="1" thickBot="1">
      <c r="A83" s="813"/>
      <c r="B83" s="835"/>
      <c r="C83" s="836"/>
      <c r="D83" s="837"/>
    </row>
    <row r="84" spans="1:13" ht="15.75" thickBot="1">
      <c r="A84" s="812" t="s">
        <v>402</v>
      </c>
      <c r="B84" s="833">
        <f>B81</f>
        <v>1200</v>
      </c>
      <c r="C84" s="834">
        <f>C81</f>
        <v>1200</v>
      </c>
      <c r="D84" s="108">
        <f>D81</f>
        <v>1200</v>
      </c>
    </row>
    <row r="85" spans="1:13">
      <c r="A85" s="210"/>
      <c r="B85" s="211"/>
      <c r="C85" s="211"/>
      <c r="D85" s="211"/>
    </row>
    <row r="86" spans="1:13">
      <c r="A86" s="208"/>
      <c r="B86" s="211"/>
      <c r="C86" s="211"/>
      <c r="D86" s="211"/>
    </row>
    <row r="87" spans="1:13">
      <c r="A87" s="208"/>
    </row>
    <row r="88" spans="1:13"/>
    <row r="89" spans="1:13"/>
    <row r="90" spans="1:13"/>
    <row r="91" spans="1:13"/>
    <row r="92" spans="1:13"/>
    <row r="93" spans="1:13"/>
    <row r="94" spans="1:13"/>
    <row r="95" spans="1:13"/>
    <row r="96" spans="1:13" s="61" customFormat="1">
      <c r="E96" s="224"/>
      <c r="F96" s="224"/>
      <c r="G96" s="224"/>
      <c r="H96" s="224"/>
      <c r="I96" s="224"/>
      <c r="J96" s="224"/>
      <c r="K96" s="224"/>
      <c r="L96" s="224"/>
      <c r="M96" s="224"/>
    </row>
    <row r="97" spans="1:13" s="58" customFormat="1" ht="14.25">
      <c r="E97" s="223"/>
      <c r="F97" s="223"/>
      <c r="G97" s="223"/>
      <c r="H97" s="223"/>
      <c r="I97" s="223"/>
      <c r="J97" s="223"/>
      <c r="K97" s="223"/>
      <c r="L97" s="223"/>
      <c r="M97" s="223"/>
    </row>
    <row r="98" spans="1:13" s="58" customFormat="1" ht="14.25">
      <c r="E98" s="223"/>
      <c r="F98" s="223"/>
      <c r="G98" s="223"/>
      <c r="H98" s="223"/>
      <c r="I98" s="223"/>
      <c r="J98" s="223"/>
      <c r="K98" s="223"/>
      <c r="L98" s="223"/>
      <c r="M98" s="223"/>
    </row>
    <row r="99" spans="1:13">
      <c r="A99" s="55"/>
      <c r="B99" s="55"/>
      <c r="C99" s="55"/>
      <c r="D99" s="55"/>
    </row>
    <row r="100" spans="1:13" s="58" customFormat="1" ht="14.25">
      <c r="E100" s="223"/>
      <c r="F100" s="223"/>
      <c r="G100" s="223"/>
      <c r="H100" s="223"/>
      <c r="I100" s="223"/>
      <c r="J100" s="223"/>
      <c r="K100" s="223"/>
      <c r="L100" s="223"/>
      <c r="M100" s="223"/>
    </row>
    <row r="101" spans="1:13" s="58" customFormat="1" ht="33.75" customHeight="1">
      <c r="E101" s="223"/>
      <c r="F101" s="223"/>
      <c r="G101" s="223"/>
      <c r="H101" s="223"/>
      <c r="I101" s="223"/>
      <c r="J101" s="223"/>
      <c r="K101" s="223"/>
      <c r="L101" s="223"/>
      <c r="M101" s="223"/>
    </row>
    <row r="102" spans="1:13" s="58" customFormat="1" ht="36.75" customHeight="1">
      <c r="E102" s="223"/>
      <c r="F102" s="223"/>
      <c r="G102" s="223"/>
      <c r="H102" s="223"/>
      <c r="I102" s="223"/>
      <c r="J102" s="223"/>
      <c r="K102" s="223"/>
      <c r="L102" s="223"/>
      <c r="M102" s="223"/>
    </row>
    <row r="103" spans="1:13" ht="15.75" customHeight="1"/>
    <row r="104" spans="1:13"/>
    <row r="105" spans="1:13"/>
    <row r="106" spans="1:13"/>
    <row r="107" spans="1:13"/>
    <row r="108" spans="1:13"/>
    <row r="109" spans="1:13" ht="30.75" customHeight="1"/>
    <row r="110" spans="1:13" ht="30.75" hidden="1" customHeight="1"/>
    <row r="111" spans="1:13" ht="10.5" hidden="1" customHeight="1"/>
    <row r="112" spans="1:1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row r="65538"/>
    <row r="65539"/>
    <row r="65540"/>
    <row r="65541"/>
    <row r="65542"/>
    <row r="65543"/>
    <row r="65544"/>
    <row r="65545"/>
    <row r="65546"/>
    <row r="65547"/>
    <row r="65548"/>
    <row r="65549"/>
    <row r="65550"/>
    <row r="65551"/>
    <row r="65552"/>
    <row r="65553"/>
    <row r="65554"/>
    <row r="65555"/>
    <row r="65556"/>
    <row r="65557"/>
    <row r="65558"/>
    <row r="65559"/>
    <row r="65560"/>
    <row r="65561"/>
    <row r="65562"/>
    <row r="65563"/>
    <row r="65564"/>
    <row r="65565"/>
    <row r="65566"/>
    <row r="65567"/>
    <row r="65568"/>
    <row r="65569"/>
    <row r="65570"/>
    <row r="65571"/>
    <row r="65572"/>
    <row r="65573"/>
    <row r="65574"/>
    <row r="65575"/>
    <row r="65576"/>
    <row r="65577"/>
    <row r="65578"/>
    <row r="65579"/>
    <row r="65580"/>
    <row r="65581"/>
    <row r="65582"/>
    <row r="65583"/>
    <row r="65584"/>
    <row r="65585"/>
    <row r="65586"/>
    <row r="65587"/>
    <row r="65588"/>
    <row r="65589"/>
    <row r="65590"/>
    <row r="65591"/>
    <row r="65592"/>
    <row r="65593"/>
    <row r="65594"/>
    <row r="65595"/>
    <row r="65596"/>
    <row r="65597"/>
    <row r="65598"/>
    <row r="65599"/>
    <row r="65600"/>
    <row r="65601"/>
    <row r="65602"/>
    <row r="65603"/>
    <row r="65604"/>
    <row r="65605"/>
    <row r="65606"/>
    <row r="65607"/>
    <row r="65608"/>
    <row r="65609"/>
    <row r="65610"/>
    <row r="65611"/>
    <row r="65612"/>
    <row r="65613"/>
    <row r="65614"/>
    <row r="65615"/>
    <row r="65616"/>
    <row r="65617"/>
    <row r="65618"/>
    <row r="65619"/>
    <row r="65620"/>
    <row r="65621"/>
    <row r="65622"/>
    <row r="65623"/>
    <row r="65624"/>
    <row r="65625"/>
    <row r="65626"/>
    <row r="65627"/>
    <row r="65628"/>
    <row r="65629"/>
    <row r="65630"/>
    <row r="65631"/>
    <row r="65632"/>
    <row r="65633"/>
    <row r="65634"/>
    <row r="65635"/>
    <row r="65636"/>
    <row r="65637"/>
    <row r="65638"/>
    <row r="65639"/>
    <row r="65640"/>
    <row r="65641"/>
    <row r="65642"/>
    <row r="65643"/>
    <row r="65644"/>
    <row r="65645"/>
    <row r="65646"/>
    <row r="65647"/>
    <row r="65648"/>
    <row r="65649"/>
    <row r="65650"/>
    <row r="65651"/>
    <row r="65652"/>
    <row r="65653"/>
    <row r="65654"/>
    <row r="65655"/>
    <row r="65656"/>
    <row r="65657"/>
    <row r="65658"/>
    <row r="65659"/>
    <row r="65660"/>
    <row r="65661"/>
    <row r="65662"/>
    <row r="65663"/>
    <row r="65664"/>
    <row r="65665"/>
    <row r="65666"/>
    <row r="65667"/>
    <row r="65668"/>
    <row r="65669"/>
    <row r="65670"/>
  </sheetData>
  <mergeCells count="1">
    <mergeCell ref="A1:D1"/>
  </mergeCells>
  <pageMargins left="0.70866141732283472" right="0.70866141732283472" top="0.74803149606299213" bottom="0.74803149606299213" header="0.31496062992125984" footer="0.31496062992125984"/>
  <pageSetup paperSize="9" scale="59" orientation="portrait" r:id="rId1"/>
  <headerFooter>
    <oddHeader>&amp;L&amp;"Times New Roman,Normál"&amp;8 10. melléklet 1, 2, 3</oddHeader>
    <oddFooter>&amp;L1. Mód.: 3/2019 (II.27.) önk. rend. 2.§. Hat.: 2019.03.01. napjától
2. Mód.: 9/2019 (IV.24.) önk. rend. 2.§ Hat.: 2019.04.25. napjától
3. Mód.: 18/2019 (IX.11.) önk. rend. 2.§ Hat.:2019.09.12. napjától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Layout" topLeftCell="A94" zoomScaleNormal="100" workbookViewId="0">
      <selection activeCell="A3" sqref="A3"/>
    </sheetView>
  </sheetViews>
  <sheetFormatPr defaultRowHeight="15"/>
  <cols>
    <col min="1" max="1" width="82.28515625" style="43" bestFit="1" customWidth="1"/>
    <col min="2" max="3" width="13.85546875" style="60" customWidth="1"/>
    <col min="4" max="4" width="15.140625" style="60" customWidth="1"/>
    <col min="5" max="13" width="9.140625" style="221"/>
    <col min="14" max="16384" width="9.140625" style="55"/>
  </cols>
  <sheetData>
    <row r="1" spans="1:13" ht="15" customHeight="1">
      <c r="A1" s="1957" t="s">
        <v>434</v>
      </c>
      <c r="B1" s="1957"/>
      <c r="C1" s="1957"/>
      <c r="D1" s="1957"/>
    </row>
    <row r="2" spans="1:13">
      <c r="A2" s="1957"/>
      <c r="B2" s="1957"/>
      <c r="C2" s="1957"/>
      <c r="D2" s="1957"/>
    </row>
    <row r="3" spans="1:13" ht="15.75" thickBot="1">
      <c r="A3" s="63"/>
      <c r="B3" s="63"/>
      <c r="C3" s="63"/>
      <c r="D3" s="63"/>
    </row>
    <row r="4" spans="1:13" s="57" customFormat="1" ht="15.75" thickBot="1">
      <c r="A4" s="780" t="s">
        <v>2</v>
      </c>
      <c r="B4" s="839" t="s">
        <v>3</v>
      </c>
      <c r="C4" s="840" t="s">
        <v>894</v>
      </c>
      <c r="D4" s="1225" t="s">
        <v>981</v>
      </c>
      <c r="E4" s="77"/>
      <c r="F4" s="77"/>
      <c r="G4" s="77"/>
      <c r="H4" s="77"/>
      <c r="I4" s="77"/>
      <c r="J4" s="77"/>
      <c r="K4" s="77"/>
      <c r="L4" s="77"/>
      <c r="M4" s="77"/>
    </row>
    <row r="5" spans="1:13">
      <c r="A5" s="806" t="s">
        <v>179</v>
      </c>
      <c r="B5" s="847"/>
      <c r="C5" s="848"/>
      <c r="D5" s="849"/>
    </row>
    <row r="6" spans="1:13">
      <c r="A6" s="688"/>
      <c r="B6" s="408"/>
      <c r="C6" s="842"/>
      <c r="D6" s="226"/>
    </row>
    <row r="7" spans="1:13" s="62" customFormat="1">
      <c r="A7" s="784" t="s">
        <v>189</v>
      </c>
      <c r="B7" s="850">
        <f>SUM(B8:B16)</f>
        <v>167292</v>
      </c>
      <c r="C7" s="843">
        <f>SUM(C8:C16)</f>
        <v>156297</v>
      </c>
      <c r="D7" s="851">
        <f>SUM(D8:D19)</f>
        <v>162271</v>
      </c>
      <c r="E7" s="222"/>
      <c r="F7" s="222"/>
      <c r="G7" s="222"/>
      <c r="H7" s="222"/>
      <c r="I7" s="222"/>
      <c r="J7" s="222"/>
      <c r="K7" s="222"/>
      <c r="L7" s="222"/>
      <c r="M7" s="222"/>
    </row>
    <row r="8" spans="1:13" s="58" customFormat="1">
      <c r="A8" s="844" t="s">
        <v>664</v>
      </c>
      <c r="B8" s="408">
        <v>13552</v>
      </c>
      <c r="C8" s="842">
        <v>33672</v>
      </c>
      <c r="D8" s="226">
        <v>30600</v>
      </c>
      <c r="E8" s="223"/>
      <c r="F8" s="223"/>
      <c r="G8" s="223"/>
      <c r="H8" s="223"/>
      <c r="I8" s="223"/>
      <c r="J8" s="223"/>
      <c r="K8" s="223"/>
      <c r="L8" s="223"/>
      <c r="M8" s="223"/>
    </row>
    <row r="9" spans="1:13" s="1353" customFormat="1">
      <c r="A9" s="1348" t="s">
        <v>995</v>
      </c>
      <c r="B9" s="1349"/>
      <c r="C9" s="1350"/>
      <c r="D9" s="1351">
        <v>3072</v>
      </c>
      <c r="E9" s="1352"/>
      <c r="F9" s="1352"/>
      <c r="G9" s="1352"/>
      <c r="H9" s="1352"/>
      <c r="I9" s="1352"/>
      <c r="J9" s="1352"/>
      <c r="K9" s="1352"/>
      <c r="L9" s="1352"/>
      <c r="M9" s="1352"/>
    </row>
    <row r="10" spans="1:13" s="58" customFormat="1">
      <c r="A10" s="688" t="s">
        <v>666</v>
      </c>
      <c r="B10" s="408">
        <v>66000</v>
      </c>
      <c r="C10" s="842">
        <v>39600</v>
      </c>
      <c r="D10" s="226">
        <v>39600</v>
      </c>
      <c r="E10" s="223"/>
      <c r="F10" s="223"/>
      <c r="G10" s="223"/>
      <c r="H10" s="223"/>
      <c r="I10" s="223"/>
      <c r="J10" s="223"/>
      <c r="K10" s="223"/>
      <c r="L10" s="223"/>
      <c r="M10" s="223"/>
    </row>
    <row r="11" spans="1:13" s="58" customFormat="1">
      <c r="A11" s="688" t="s">
        <v>680</v>
      </c>
      <c r="B11" s="408">
        <v>4715</v>
      </c>
      <c r="C11" s="842">
        <v>0</v>
      </c>
      <c r="D11" s="226">
        <v>0</v>
      </c>
      <c r="E11" s="223"/>
      <c r="F11" s="223"/>
      <c r="G11" s="223"/>
      <c r="H11" s="223"/>
      <c r="I11" s="223"/>
      <c r="J11" s="223"/>
      <c r="K11" s="223"/>
      <c r="L11" s="223"/>
      <c r="M11" s="223"/>
    </row>
    <row r="12" spans="1:13" s="58" customFormat="1" ht="30">
      <c r="A12" s="688" t="s">
        <v>679</v>
      </c>
      <c r="B12" s="408">
        <v>12066</v>
      </c>
      <c r="C12" s="842">
        <v>12066</v>
      </c>
      <c r="D12" s="226">
        <v>12066</v>
      </c>
      <c r="E12" s="223"/>
      <c r="F12" s="223"/>
      <c r="G12" s="223"/>
      <c r="H12" s="223"/>
      <c r="I12" s="223"/>
      <c r="J12" s="223"/>
      <c r="K12" s="223"/>
      <c r="L12" s="223"/>
      <c r="M12" s="223"/>
    </row>
    <row r="13" spans="1:13" s="58" customFormat="1" ht="30">
      <c r="A13" s="688" t="s">
        <v>676</v>
      </c>
      <c r="B13" s="408">
        <v>23974</v>
      </c>
      <c r="C13" s="842">
        <v>23974</v>
      </c>
      <c r="D13" s="226">
        <v>0</v>
      </c>
      <c r="E13" s="223"/>
      <c r="F13" s="223"/>
      <c r="G13" s="223"/>
      <c r="H13" s="223"/>
      <c r="I13" s="223"/>
      <c r="J13" s="223"/>
      <c r="K13" s="223"/>
      <c r="L13" s="223"/>
      <c r="M13" s="223"/>
    </row>
    <row r="14" spans="1:13" s="58" customFormat="1">
      <c r="A14" s="114" t="s">
        <v>675</v>
      </c>
      <c r="B14" s="408">
        <v>41571</v>
      </c>
      <c r="C14" s="842">
        <v>41571</v>
      </c>
      <c r="D14" s="226">
        <v>41571</v>
      </c>
      <c r="E14" s="223"/>
      <c r="F14" s="223"/>
      <c r="G14" s="223"/>
      <c r="H14" s="223"/>
      <c r="I14" s="223"/>
      <c r="J14" s="223"/>
      <c r="K14" s="223"/>
      <c r="L14" s="223"/>
      <c r="M14" s="223"/>
    </row>
    <row r="15" spans="1:13" s="58" customFormat="1">
      <c r="A15" s="688" t="s">
        <v>678</v>
      </c>
      <c r="B15" s="408">
        <v>2664</v>
      </c>
      <c r="C15" s="842">
        <v>2664</v>
      </c>
      <c r="D15" s="226">
        <v>2664</v>
      </c>
      <c r="E15" s="223"/>
      <c r="F15" s="223"/>
      <c r="G15" s="223"/>
      <c r="H15" s="223"/>
      <c r="I15" s="223"/>
      <c r="J15" s="223"/>
      <c r="K15" s="223"/>
      <c r="L15" s="223"/>
      <c r="M15" s="223"/>
    </row>
    <row r="16" spans="1:13" s="58" customFormat="1">
      <c r="A16" s="688" t="s">
        <v>677</v>
      </c>
      <c r="B16" s="408">
        <v>2750</v>
      </c>
      <c r="C16" s="842">
        <v>2750</v>
      </c>
      <c r="D16" s="226">
        <v>2750</v>
      </c>
      <c r="E16" s="223"/>
      <c r="F16" s="223"/>
      <c r="G16" s="223"/>
      <c r="H16" s="223"/>
      <c r="I16" s="223"/>
      <c r="J16" s="223"/>
      <c r="K16" s="223"/>
      <c r="L16" s="223"/>
      <c r="M16" s="223"/>
    </row>
    <row r="17" spans="1:13" s="58" customFormat="1">
      <c r="A17" s="688" t="s">
        <v>993</v>
      </c>
      <c r="B17" s="408"/>
      <c r="C17" s="842"/>
      <c r="D17" s="226">
        <v>2365</v>
      </c>
      <c r="E17" s="223"/>
      <c r="F17" s="223"/>
      <c r="G17" s="223"/>
      <c r="H17" s="223"/>
      <c r="I17" s="223"/>
      <c r="J17" s="223"/>
      <c r="K17" s="223"/>
      <c r="L17" s="223"/>
      <c r="M17" s="223"/>
    </row>
    <row r="18" spans="1:13" s="58" customFormat="1" ht="30">
      <c r="A18" s="1233" t="s">
        <v>994</v>
      </c>
      <c r="B18" s="408"/>
      <c r="C18" s="842"/>
      <c r="D18" s="226">
        <v>19676</v>
      </c>
      <c r="E18" s="223"/>
      <c r="F18" s="223"/>
      <c r="G18" s="223"/>
      <c r="H18" s="223"/>
      <c r="I18" s="223"/>
      <c r="J18" s="223"/>
      <c r="K18" s="223"/>
      <c r="L18" s="223"/>
      <c r="M18" s="223"/>
    </row>
    <row r="19" spans="1:13" s="58" customFormat="1" ht="30">
      <c r="A19" s="688" t="s">
        <v>673</v>
      </c>
      <c r="B19" s="408"/>
      <c r="C19" s="842"/>
      <c r="D19" s="226">
        <v>7907</v>
      </c>
      <c r="E19" s="223"/>
      <c r="F19" s="223"/>
      <c r="G19" s="223"/>
      <c r="H19" s="223"/>
      <c r="I19" s="223"/>
      <c r="J19" s="223"/>
      <c r="K19" s="223"/>
      <c r="L19" s="223"/>
      <c r="M19" s="223"/>
    </row>
    <row r="20" spans="1:13" s="58" customFormat="1">
      <c r="A20" s="688"/>
      <c r="B20" s="408"/>
      <c r="C20" s="842"/>
      <c r="D20" s="226"/>
      <c r="E20" s="223"/>
      <c r="F20" s="223"/>
      <c r="G20" s="223"/>
      <c r="H20" s="223"/>
      <c r="I20" s="223"/>
      <c r="J20" s="223"/>
      <c r="K20" s="223"/>
      <c r="L20" s="223"/>
      <c r="M20" s="223"/>
    </row>
    <row r="21" spans="1:13" s="62" customFormat="1">
      <c r="A21" s="784" t="s">
        <v>190</v>
      </c>
      <c r="B21" s="850">
        <f>SUM(B22:B24)</f>
        <v>10367</v>
      </c>
      <c r="C21" s="843">
        <f>SUM(C22:C24)</f>
        <v>19367</v>
      </c>
      <c r="D21" s="851">
        <f>SUM(D22:D25)</f>
        <v>12960</v>
      </c>
      <c r="E21" s="222"/>
      <c r="F21" s="222"/>
      <c r="G21" s="222"/>
      <c r="H21" s="222"/>
      <c r="I21" s="222"/>
      <c r="J21" s="222"/>
      <c r="K21" s="222"/>
      <c r="L21" s="222"/>
      <c r="M21" s="222"/>
    </row>
    <row r="22" spans="1:13" ht="30">
      <c r="A22" s="688" t="s">
        <v>673</v>
      </c>
      <c r="B22" s="408">
        <v>7907</v>
      </c>
      <c r="C22" s="842">
        <v>7907</v>
      </c>
      <c r="D22" s="226">
        <v>0</v>
      </c>
    </row>
    <row r="23" spans="1:13">
      <c r="A23" s="845" t="s">
        <v>908</v>
      </c>
      <c r="B23" s="408"/>
      <c r="C23" s="842">
        <v>9000</v>
      </c>
      <c r="D23" s="226">
        <v>9000</v>
      </c>
    </row>
    <row r="24" spans="1:13" ht="30">
      <c r="A24" s="846" t="s">
        <v>674</v>
      </c>
      <c r="B24" s="408">
        <v>2460</v>
      </c>
      <c r="C24" s="842">
        <v>2460</v>
      </c>
      <c r="D24" s="226">
        <v>2460</v>
      </c>
    </row>
    <row r="25" spans="1:13">
      <c r="A25" s="1234" t="s">
        <v>996</v>
      </c>
      <c r="B25" s="408"/>
      <c r="C25" s="842"/>
      <c r="D25" s="226">
        <v>1500</v>
      </c>
    </row>
    <row r="26" spans="1:13" s="58" customFormat="1">
      <c r="A26" s="688"/>
      <c r="B26" s="408"/>
      <c r="C26" s="842"/>
      <c r="D26" s="226"/>
      <c r="E26" s="223"/>
      <c r="F26" s="223"/>
      <c r="G26" s="223"/>
      <c r="H26" s="223"/>
      <c r="I26" s="223"/>
      <c r="J26" s="223"/>
      <c r="K26" s="223"/>
      <c r="L26" s="223"/>
      <c r="M26" s="223"/>
    </row>
    <row r="27" spans="1:13" s="58" customFormat="1" ht="14.25">
      <c r="A27" s="810" t="s">
        <v>196</v>
      </c>
      <c r="B27" s="413">
        <f>B7+B21</f>
        <v>177659</v>
      </c>
      <c r="C27" s="841">
        <f>C7+C21</f>
        <v>175664</v>
      </c>
      <c r="D27" s="414">
        <f>D7+D21</f>
        <v>175231</v>
      </c>
      <c r="E27" s="223"/>
      <c r="F27" s="223"/>
      <c r="G27" s="223"/>
      <c r="H27" s="223"/>
      <c r="I27" s="223"/>
      <c r="J27" s="223"/>
      <c r="K27" s="223"/>
      <c r="L27" s="223"/>
      <c r="M27" s="223"/>
    </row>
    <row r="28" spans="1:13" s="58" customFormat="1">
      <c r="A28" s="688"/>
      <c r="B28" s="408"/>
      <c r="C28" s="842"/>
      <c r="D28" s="226"/>
      <c r="E28" s="223"/>
      <c r="F28" s="223"/>
      <c r="G28" s="223"/>
      <c r="H28" s="223"/>
      <c r="I28" s="223"/>
      <c r="J28" s="223"/>
      <c r="K28" s="223"/>
      <c r="L28" s="223"/>
      <c r="M28" s="223"/>
    </row>
    <row r="29" spans="1:13" s="61" customFormat="1" ht="30">
      <c r="A29" s="784" t="s">
        <v>191</v>
      </c>
      <c r="B29" s="850">
        <f>SUM(B30:B31)</f>
        <v>55000</v>
      </c>
      <c r="C29" s="843">
        <f>SUM(C30:C31)</f>
        <v>55000</v>
      </c>
      <c r="D29" s="851">
        <f>SUM(D30:D31)</f>
        <v>55000</v>
      </c>
      <c r="E29" s="224"/>
      <c r="F29" s="224"/>
      <c r="G29" s="224"/>
      <c r="H29" s="224"/>
      <c r="I29" s="224"/>
      <c r="J29" s="224"/>
      <c r="K29" s="224"/>
      <c r="L29" s="224"/>
      <c r="M29" s="224"/>
    </row>
    <row r="30" spans="1:13" s="58" customFormat="1">
      <c r="A30" s="688" t="s">
        <v>668</v>
      </c>
      <c r="B30" s="408">
        <v>40000</v>
      </c>
      <c r="C30" s="842">
        <v>40000</v>
      </c>
      <c r="D30" s="226">
        <v>40000</v>
      </c>
      <c r="E30" s="223"/>
      <c r="F30" s="223"/>
      <c r="G30" s="223"/>
      <c r="H30" s="223"/>
      <c r="I30" s="223"/>
      <c r="J30" s="223"/>
      <c r="K30" s="223"/>
      <c r="L30" s="223"/>
      <c r="M30" s="223"/>
    </row>
    <row r="31" spans="1:13" s="58" customFormat="1">
      <c r="A31" s="688" t="s">
        <v>669</v>
      </c>
      <c r="B31" s="408">
        <v>15000</v>
      </c>
      <c r="C31" s="842">
        <v>15000</v>
      </c>
      <c r="D31" s="226">
        <v>15000</v>
      </c>
      <c r="E31" s="223"/>
      <c r="F31" s="223"/>
      <c r="G31" s="223"/>
      <c r="H31" s="223"/>
      <c r="I31" s="223"/>
      <c r="J31" s="223"/>
      <c r="K31" s="223"/>
      <c r="L31" s="223"/>
      <c r="M31" s="223"/>
    </row>
    <row r="32" spans="1:13" s="58" customFormat="1">
      <c r="A32" s="688"/>
      <c r="B32" s="408"/>
      <c r="C32" s="842"/>
      <c r="D32" s="226"/>
      <c r="E32" s="223"/>
      <c r="F32" s="223"/>
      <c r="G32" s="223"/>
      <c r="H32" s="223"/>
      <c r="I32" s="223"/>
      <c r="J32" s="223"/>
      <c r="K32" s="223"/>
      <c r="L32" s="223"/>
      <c r="M32" s="223"/>
    </row>
    <row r="33" spans="1:13" s="58" customFormat="1" ht="14.25">
      <c r="A33" s="810" t="s">
        <v>195</v>
      </c>
      <c r="B33" s="413">
        <f>B29</f>
        <v>55000</v>
      </c>
      <c r="C33" s="841">
        <f>C29</f>
        <v>55000</v>
      </c>
      <c r="D33" s="414">
        <f>D29</f>
        <v>55000</v>
      </c>
      <c r="E33" s="223"/>
      <c r="F33" s="223"/>
      <c r="G33" s="223"/>
      <c r="H33" s="223"/>
      <c r="I33" s="223"/>
      <c r="J33" s="223"/>
      <c r="K33" s="223"/>
      <c r="L33" s="223"/>
      <c r="M33" s="223"/>
    </row>
    <row r="34" spans="1:13" s="58" customFormat="1">
      <c r="A34" s="688"/>
      <c r="B34" s="408"/>
      <c r="C34" s="842"/>
      <c r="D34" s="226"/>
      <c r="E34" s="223"/>
      <c r="F34" s="223"/>
      <c r="G34" s="223"/>
      <c r="H34" s="223"/>
      <c r="I34" s="223"/>
      <c r="J34" s="223"/>
      <c r="K34" s="223"/>
      <c r="L34" s="223"/>
      <c r="M34" s="223"/>
    </row>
    <row r="35" spans="1:13" s="58" customFormat="1" ht="28.5">
      <c r="A35" s="810" t="s">
        <v>187</v>
      </c>
      <c r="B35" s="413">
        <f>B27+B33</f>
        <v>232659</v>
      </c>
      <c r="C35" s="841">
        <f>C27+C33</f>
        <v>230664</v>
      </c>
      <c r="D35" s="414">
        <f>D27+D33</f>
        <v>230231</v>
      </c>
      <c r="E35" s="223"/>
      <c r="F35" s="223"/>
      <c r="G35" s="223"/>
      <c r="H35" s="223"/>
      <c r="I35" s="223"/>
      <c r="J35" s="223"/>
      <c r="K35" s="223"/>
      <c r="L35" s="223"/>
      <c r="M35" s="223"/>
    </row>
    <row r="36" spans="1:13" s="58" customFormat="1">
      <c r="A36" s="688"/>
      <c r="B36" s="408"/>
      <c r="C36" s="842"/>
      <c r="D36" s="226"/>
      <c r="E36" s="223"/>
      <c r="F36" s="223"/>
      <c r="G36" s="223"/>
      <c r="H36" s="223"/>
      <c r="I36" s="223"/>
      <c r="J36" s="223"/>
      <c r="K36" s="223"/>
      <c r="L36" s="223"/>
      <c r="M36" s="223"/>
    </row>
    <row r="37" spans="1:13" s="61" customFormat="1">
      <c r="A37" s="784" t="s">
        <v>192</v>
      </c>
      <c r="B37" s="850">
        <f>SUM(B38:B43)</f>
        <v>657635</v>
      </c>
      <c r="C37" s="843">
        <f>SUM(C38:C43)</f>
        <v>657635</v>
      </c>
      <c r="D37" s="851">
        <f>SUM(D38:D42)</f>
        <v>526663</v>
      </c>
      <c r="E37" s="224"/>
      <c r="F37" s="224"/>
      <c r="G37" s="224"/>
      <c r="H37" s="224"/>
      <c r="I37" s="224"/>
      <c r="J37" s="224"/>
      <c r="K37" s="224"/>
      <c r="L37" s="224"/>
      <c r="M37" s="224"/>
    </row>
    <row r="38" spans="1:13" s="58" customFormat="1" ht="30">
      <c r="A38" s="688" t="s">
        <v>676</v>
      </c>
      <c r="B38" s="408">
        <v>226026</v>
      </c>
      <c r="C38" s="842">
        <v>226026</v>
      </c>
      <c r="D38" s="226">
        <v>0</v>
      </c>
      <c r="E38" s="223"/>
      <c r="F38" s="223"/>
      <c r="G38" s="223"/>
      <c r="H38" s="223"/>
      <c r="I38" s="223"/>
      <c r="J38" s="223"/>
      <c r="K38" s="223"/>
      <c r="L38" s="223"/>
      <c r="M38" s="223"/>
    </row>
    <row r="39" spans="1:13" s="58" customFormat="1">
      <c r="A39" s="114" t="s">
        <v>675</v>
      </c>
      <c r="B39" s="408">
        <v>357888</v>
      </c>
      <c r="C39" s="842">
        <v>357888</v>
      </c>
      <c r="D39" s="226">
        <v>357888</v>
      </c>
      <c r="E39" s="223"/>
      <c r="F39" s="223"/>
      <c r="G39" s="223"/>
      <c r="H39" s="223"/>
      <c r="I39" s="223"/>
      <c r="J39" s="223"/>
      <c r="K39" s="223"/>
      <c r="L39" s="223"/>
      <c r="M39" s="223"/>
    </row>
    <row r="40" spans="1:13" s="58" customFormat="1">
      <c r="A40" s="688" t="s">
        <v>678</v>
      </c>
      <c r="B40" s="408">
        <v>36503</v>
      </c>
      <c r="C40" s="842">
        <v>36503</v>
      </c>
      <c r="D40" s="226">
        <v>38201</v>
      </c>
      <c r="E40" s="223"/>
      <c r="F40" s="223"/>
      <c r="G40" s="223"/>
      <c r="H40" s="223"/>
      <c r="I40" s="223"/>
      <c r="J40" s="223"/>
      <c r="K40" s="223"/>
      <c r="L40" s="223"/>
      <c r="M40" s="223"/>
    </row>
    <row r="41" spans="1:13" s="58" customFormat="1">
      <c r="A41" s="688" t="s">
        <v>677</v>
      </c>
      <c r="B41" s="408">
        <v>37218</v>
      </c>
      <c r="C41" s="842">
        <v>37218</v>
      </c>
      <c r="D41" s="226">
        <v>37218</v>
      </c>
      <c r="E41" s="223"/>
      <c r="F41" s="223"/>
      <c r="G41" s="223"/>
      <c r="H41" s="223"/>
      <c r="I41" s="223"/>
      <c r="J41" s="223"/>
      <c r="K41" s="223"/>
      <c r="L41" s="223"/>
      <c r="M41" s="223"/>
    </row>
    <row r="42" spans="1:13" s="58" customFormat="1" ht="30">
      <c r="A42" s="688" t="s">
        <v>673</v>
      </c>
      <c r="B42" s="408"/>
      <c r="C42" s="842"/>
      <c r="D42" s="226">
        <v>93356</v>
      </c>
      <c r="E42" s="223"/>
      <c r="F42" s="223"/>
      <c r="G42" s="223"/>
      <c r="H42" s="223"/>
      <c r="I42" s="223"/>
      <c r="J42" s="223"/>
      <c r="K42" s="223"/>
      <c r="L42" s="223"/>
      <c r="M42" s="223"/>
    </row>
    <row r="43" spans="1:13" s="58" customFormat="1">
      <c r="A43" s="688"/>
      <c r="B43" s="408"/>
      <c r="C43" s="842"/>
      <c r="D43" s="226"/>
      <c r="E43" s="223"/>
      <c r="F43" s="223"/>
      <c r="G43" s="223"/>
      <c r="H43" s="223"/>
      <c r="I43" s="223"/>
      <c r="J43" s="223"/>
      <c r="K43" s="223"/>
      <c r="L43" s="223"/>
      <c r="M43" s="223"/>
    </row>
    <row r="44" spans="1:13" s="61" customFormat="1">
      <c r="A44" s="784" t="s">
        <v>193</v>
      </c>
      <c r="B44" s="850">
        <f>SUM(B45:B49)</f>
        <v>253031</v>
      </c>
      <c r="C44" s="843">
        <f>SUM(C45:C49)</f>
        <v>256031</v>
      </c>
      <c r="D44" s="851">
        <f>SUM(D45:D49)</f>
        <v>162675</v>
      </c>
      <c r="E44" s="224"/>
      <c r="F44" s="224"/>
      <c r="G44" s="224"/>
      <c r="H44" s="224"/>
      <c r="I44" s="224"/>
      <c r="J44" s="224"/>
      <c r="K44" s="224"/>
      <c r="L44" s="224"/>
      <c r="M44" s="224"/>
    </row>
    <row r="45" spans="1:13" s="58" customFormat="1" ht="30">
      <c r="A45" s="688" t="s">
        <v>673</v>
      </c>
      <c r="B45" s="408">
        <v>93356</v>
      </c>
      <c r="C45" s="842">
        <v>93356</v>
      </c>
      <c r="D45" s="226">
        <v>0</v>
      </c>
      <c r="E45" s="223"/>
      <c r="F45" s="223"/>
      <c r="G45" s="223"/>
      <c r="H45" s="223"/>
      <c r="I45" s="223"/>
      <c r="J45" s="223"/>
      <c r="K45" s="223"/>
      <c r="L45" s="223"/>
      <c r="M45" s="223"/>
    </row>
    <row r="46" spans="1:13" s="58" customFormat="1" ht="30">
      <c r="A46" s="114" t="s">
        <v>674</v>
      </c>
      <c r="B46" s="408">
        <v>82675</v>
      </c>
      <c r="C46" s="842">
        <v>82675</v>
      </c>
      <c r="D46" s="226">
        <v>82675</v>
      </c>
      <c r="E46" s="223"/>
      <c r="F46" s="223"/>
      <c r="G46" s="223"/>
      <c r="H46" s="223"/>
      <c r="I46" s="223"/>
      <c r="J46" s="223"/>
      <c r="K46" s="223"/>
      <c r="L46" s="223"/>
      <c r="M46" s="223"/>
    </row>
    <row r="47" spans="1:13" s="58" customFormat="1" ht="30">
      <c r="A47" s="217" t="s">
        <v>667</v>
      </c>
      <c r="B47" s="408">
        <v>27000</v>
      </c>
      <c r="C47" s="842">
        <v>27000</v>
      </c>
      <c r="D47" s="226">
        <v>27000</v>
      </c>
      <c r="E47" s="223"/>
      <c r="F47" s="223"/>
      <c r="G47" s="223"/>
      <c r="H47" s="223"/>
      <c r="I47" s="223"/>
      <c r="J47" s="223"/>
      <c r="K47" s="223"/>
      <c r="L47" s="223"/>
      <c r="M47" s="223"/>
    </row>
    <row r="48" spans="1:13" s="58" customFormat="1">
      <c r="A48" s="688" t="s">
        <v>907</v>
      </c>
      <c r="B48" s="408"/>
      <c r="C48" s="842">
        <v>3000</v>
      </c>
      <c r="D48" s="226">
        <v>3000</v>
      </c>
      <c r="E48" s="223"/>
      <c r="F48" s="223"/>
      <c r="G48" s="223"/>
      <c r="H48" s="223"/>
      <c r="I48" s="223"/>
      <c r="J48" s="223"/>
      <c r="K48" s="223"/>
      <c r="L48" s="223"/>
      <c r="M48" s="223"/>
    </row>
    <row r="49" spans="1:13" s="58" customFormat="1">
      <c r="A49" s="217" t="s">
        <v>672</v>
      </c>
      <c r="B49" s="408">
        <v>50000</v>
      </c>
      <c r="C49" s="842">
        <v>50000</v>
      </c>
      <c r="D49" s="226">
        <v>50000</v>
      </c>
      <c r="E49" s="223"/>
      <c r="F49" s="223"/>
      <c r="G49" s="223"/>
      <c r="H49" s="223"/>
      <c r="I49" s="223"/>
      <c r="J49" s="223"/>
      <c r="K49" s="223"/>
      <c r="L49" s="223"/>
      <c r="M49" s="223"/>
    </row>
    <row r="50" spans="1:13">
      <c r="A50" s="688"/>
      <c r="B50" s="408"/>
      <c r="C50" s="842"/>
      <c r="D50" s="226"/>
    </row>
    <row r="51" spans="1:13">
      <c r="A51" s="810" t="s">
        <v>197</v>
      </c>
      <c r="B51" s="413">
        <f>B37+B44</f>
        <v>910666</v>
      </c>
      <c r="C51" s="841">
        <f>C37+C44</f>
        <v>913666</v>
      </c>
      <c r="D51" s="414">
        <f>D37+D44</f>
        <v>689338</v>
      </c>
    </row>
    <row r="52" spans="1:13">
      <c r="A52" s="688"/>
      <c r="B52" s="408"/>
      <c r="C52" s="842"/>
      <c r="D52" s="226"/>
    </row>
    <row r="53" spans="1:13" s="61" customFormat="1" ht="30">
      <c r="A53" s="784" t="s">
        <v>194</v>
      </c>
      <c r="B53" s="850">
        <f>SUM(B54:B56)</f>
        <v>346</v>
      </c>
      <c r="C53" s="843">
        <f>SUM(C54:C56)</f>
        <v>346</v>
      </c>
      <c r="D53" s="851">
        <f>SUM(D54:D56)</f>
        <v>346</v>
      </c>
      <c r="E53" s="224"/>
      <c r="F53" s="224"/>
      <c r="G53" s="224"/>
      <c r="H53" s="224"/>
      <c r="I53" s="224"/>
      <c r="J53" s="224"/>
      <c r="K53" s="224"/>
      <c r="L53" s="224"/>
      <c r="M53" s="224"/>
    </row>
    <row r="54" spans="1:13">
      <c r="A54" s="688" t="s">
        <v>670</v>
      </c>
      <c r="B54" s="408">
        <v>100</v>
      </c>
      <c r="C54" s="842">
        <v>100</v>
      </c>
      <c r="D54" s="226">
        <v>100</v>
      </c>
    </row>
    <row r="55" spans="1:13">
      <c r="A55" s="688" t="s">
        <v>665</v>
      </c>
      <c r="B55" s="408">
        <v>96</v>
      </c>
      <c r="C55" s="842">
        <v>96</v>
      </c>
      <c r="D55" s="226">
        <v>96</v>
      </c>
    </row>
    <row r="56" spans="1:13">
      <c r="A56" s="688" t="s">
        <v>671</v>
      </c>
      <c r="B56" s="408">
        <v>150</v>
      </c>
      <c r="C56" s="842">
        <v>150</v>
      </c>
      <c r="D56" s="226">
        <v>150</v>
      </c>
    </row>
    <row r="57" spans="1:13">
      <c r="A57" s="688"/>
      <c r="B57" s="408"/>
      <c r="C57" s="842"/>
      <c r="D57" s="226"/>
    </row>
    <row r="58" spans="1:13">
      <c r="A58" s="810" t="s">
        <v>198</v>
      </c>
      <c r="B58" s="413">
        <f>B53</f>
        <v>346</v>
      </c>
      <c r="C58" s="841">
        <f>C53</f>
        <v>346</v>
      </c>
      <c r="D58" s="414">
        <f>D53</f>
        <v>346</v>
      </c>
    </row>
    <row r="59" spans="1:13">
      <c r="A59" s="811"/>
      <c r="B59" s="413"/>
      <c r="C59" s="841"/>
      <c r="D59" s="414"/>
    </row>
    <row r="60" spans="1:13" ht="28.5">
      <c r="A60" s="810" t="s">
        <v>188</v>
      </c>
      <c r="B60" s="413">
        <f>B51+B58</f>
        <v>911012</v>
      </c>
      <c r="C60" s="841">
        <f>C51+C58</f>
        <v>914012</v>
      </c>
      <c r="D60" s="414">
        <f>D51+D58</f>
        <v>689684</v>
      </c>
    </row>
    <row r="61" spans="1:13" ht="15.75" thickBot="1">
      <c r="A61" s="785"/>
      <c r="B61" s="852"/>
      <c r="C61" s="853"/>
      <c r="D61" s="854"/>
    </row>
    <row r="62" spans="1:13" ht="29.25" thickBot="1">
      <c r="A62" s="786" t="s">
        <v>404</v>
      </c>
      <c r="B62" s="855">
        <f>B35+B60</f>
        <v>1143671</v>
      </c>
      <c r="C62" s="856">
        <f>C35+C60</f>
        <v>1144676</v>
      </c>
      <c r="D62" s="857">
        <f>D35+D60</f>
        <v>919915</v>
      </c>
    </row>
    <row r="63" spans="1:13">
      <c r="A63" s="858"/>
      <c r="B63" s="847"/>
      <c r="C63" s="848"/>
      <c r="D63" s="849"/>
    </row>
    <row r="64" spans="1:13">
      <c r="A64" s="783" t="s">
        <v>184</v>
      </c>
      <c r="B64" s="859"/>
      <c r="C64" s="838"/>
      <c r="D64" s="860"/>
    </row>
    <row r="65" spans="1:13">
      <c r="A65" s="688"/>
      <c r="B65" s="408"/>
      <c r="C65" s="842"/>
      <c r="D65" s="226"/>
    </row>
    <row r="66" spans="1:13" s="62" customFormat="1" ht="30">
      <c r="A66" s="784" t="s">
        <v>194</v>
      </c>
      <c r="B66" s="850">
        <f>B68</f>
        <v>250</v>
      </c>
      <c r="C66" s="843">
        <f>C68</f>
        <v>250</v>
      </c>
      <c r="D66" s="851">
        <f>D68</f>
        <v>250</v>
      </c>
      <c r="E66" s="222"/>
      <c r="F66" s="222"/>
      <c r="G66" s="222"/>
      <c r="H66" s="222"/>
      <c r="I66" s="222"/>
      <c r="J66" s="222"/>
      <c r="K66" s="222"/>
      <c r="L66" s="222"/>
      <c r="M66" s="222"/>
    </row>
    <row r="67" spans="1:13" s="62" customFormat="1">
      <c r="A67" s="784"/>
      <c r="B67" s="850"/>
      <c r="C67" s="843"/>
      <c r="D67" s="851"/>
      <c r="E67" s="222"/>
      <c r="F67" s="222"/>
      <c r="G67" s="222"/>
      <c r="H67" s="222"/>
      <c r="I67" s="222"/>
      <c r="J67" s="222"/>
      <c r="K67" s="222"/>
      <c r="L67" s="222"/>
      <c r="M67" s="222"/>
    </row>
    <row r="68" spans="1:13">
      <c r="A68" s="783" t="s">
        <v>125</v>
      </c>
      <c r="B68" s="413">
        <f>B69</f>
        <v>250</v>
      </c>
      <c r="C68" s="841">
        <f>C69</f>
        <v>250</v>
      </c>
      <c r="D68" s="414">
        <f>SUM(D69:D69)</f>
        <v>250</v>
      </c>
    </row>
    <row r="69" spans="1:13">
      <c r="A69" s="688" t="s">
        <v>681</v>
      </c>
      <c r="B69" s="408">
        <v>250</v>
      </c>
      <c r="C69" s="842">
        <v>250</v>
      </c>
      <c r="D69" s="226">
        <v>250</v>
      </c>
    </row>
    <row r="70" spans="1:13">
      <c r="A70" s="688"/>
      <c r="B70" s="408"/>
      <c r="C70" s="842"/>
      <c r="D70" s="226"/>
    </row>
    <row r="71" spans="1:13" ht="28.5">
      <c r="A71" s="810" t="s">
        <v>188</v>
      </c>
      <c r="B71" s="850">
        <f>B66</f>
        <v>250</v>
      </c>
      <c r="C71" s="843">
        <f>C66</f>
        <v>250</v>
      </c>
      <c r="D71" s="851">
        <f>D66</f>
        <v>250</v>
      </c>
    </row>
    <row r="72" spans="1:13">
      <c r="A72" s="688"/>
      <c r="B72" s="408"/>
      <c r="C72" s="842"/>
      <c r="D72" s="226"/>
    </row>
    <row r="73" spans="1:13" s="62" customFormat="1">
      <c r="A73" s="784" t="s">
        <v>189</v>
      </c>
      <c r="B73" s="850">
        <f>B78+B82+B86</f>
        <v>44398</v>
      </c>
      <c r="C73" s="843">
        <f>C78+C82+C86</f>
        <v>44398</v>
      </c>
      <c r="D73" s="851">
        <f>D78+D82+D86+D75</f>
        <v>52702</v>
      </c>
      <c r="E73" s="222"/>
      <c r="F73" s="222"/>
      <c r="G73" s="222"/>
      <c r="H73" s="222"/>
      <c r="I73" s="222"/>
      <c r="J73" s="222"/>
      <c r="K73" s="222"/>
      <c r="L73" s="222"/>
      <c r="M73" s="222"/>
    </row>
    <row r="74" spans="1:13" s="62" customFormat="1">
      <c r="A74" s="784"/>
      <c r="B74" s="850"/>
      <c r="C74" s="843"/>
      <c r="D74" s="851"/>
      <c r="E74" s="222"/>
      <c r="F74" s="222"/>
      <c r="G74" s="222"/>
      <c r="H74" s="222"/>
      <c r="I74" s="222"/>
      <c r="J74" s="222"/>
      <c r="K74" s="222"/>
      <c r="L74" s="222"/>
      <c r="M74" s="222"/>
    </row>
    <row r="75" spans="1:13" s="62" customFormat="1">
      <c r="A75" s="783" t="s">
        <v>125</v>
      </c>
      <c r="B75" s="850"/>
      <c r="C75" s="843"/>
      <c r="D75" s="414">
        <f>D76</f>
        <v>5575</v>
      </c>
      <c r="E75" s="222"/>
      <c r="F75" s="222"/>
      <c r="G75" s="222"/>
      <c r="H75" s="222"/>
      <c r="I75" s="222"/>
      <c r="J75" s="222"/>
      <c r="K75" s="222"/>
      <c r="L75" s="222"/>
      <c r="M75" s="222"/>
    </row>
    <row r="76" spans="1:13" s="62" customFormat="1">
      <c r="A76" s="688" t="s">
        <v>997</v>
      </c>
      <c r="B76" s="850"/>
      <c r="C76" s="843"/>
      <c r="D76" s="226">
        <v>5575</v>
      </c>
      <c r="E76" s="222"/>
      <c r="F76" s="222"/>
      <c r="G76" s="222"/>
      <c r="H76" s="222"/>
      <c r="I76" s="222"/>
      <c r="J76" s="222"/>
      <c r="K76" s="222"/>
      <c r="L76" s="222"/>
      <c r="M76" s="222"/>
    </row>
    <row r="77" spans="1:13" s="62" customFormat="1">
      <c r="A77" s="784"/>
      <c r="B77" s="850"/>
      <c r="C77" s="843"/>
      <c r="D77" s="851"/>
      <c r="E77" s="222"/>
      <c r="F77" s="222"/>
      <c r="G77" s="222"/>
      <c r="H77" s="222"/>
      <c r="I77" s="222"/>
      <c r="J77" s="222"/>
      <c r="K77" s="222"/>
      <c r="L77" s="222"/>
      <c r="M77" s="222"/>
    </row>
    <row r="78" spans="1:13">
      <c r="A78" s="783" t="s">
        <v>128</v>
      </c>
      <c r="B78" s="413">
        <f>SUM(B79:B79)</f>
        <v>14229</v>
      </c>
      <c r="C78" s="841">
        <f>SUM(C79:C79)</f>
        <v>14229</v>
      </c>
      <c r="D78" s="414">
        <f>SUM(D79:D80)</f>
        <v>14672</v>
      </c>
    </row>
    <row r="79" spans="1:13">
      <c r="A79" s="688" t="s">
        <v>682</v>
      </c>
      <c r="B79" s="408">
        <v>14229</v>
      </c>
      <c r="C79" s="842">
        <v>14229</v>
      </c>
      <c r="D79" s="226">
        <v>14229</v>
      </c>
    </row>
    <row r="80" spans="1:13">
      <c r="A80" s="688" t="s">
        <v>997</v>
      </c>
      <c r="B80" s="408"/>
      <c r="C80" s="842"/>
      <c r="D80" s="226">
        <v>443</v>
      </c>
    </row>
    <row r="81" spans="1:13">
      <c r="A81" s="688"/>
      <c r="B81" s="408"/>
      <c r="C81" s="842"/>
      <c r="D81" s="226"/>
    </row>
    <row r="82" spans="1:13" s="58" customFormat="1" ht="14.25">
      <c r="A82" s="783" t="s">
        <v>129</v>
      </c>
      <c r="B82" s="413">
        <f>SUM(B83:B83)</f>
        <v>12597</v>
      </c>
      <c r="C82" s="841">
        <f>SUM(C83:C83)</f>
        <v>12597</v>
      </c>
      <c r="D82" s="414">
        <f>SUM(D83:D84)</f>
        <v>12881</v>
      </c>
      <c r="E82" s="223"/>
      <c r="F82" s="223"/>
      <c r="G82" s="223"/>
      <c r="H82" s="223"/>
      <c r="I82" s="223"/>
      <c r="J82" s="223"/>
      <c r="K82" s="223"/>
      <c r="L82" s="223"/>
      <c r="M82" s="223"/>
    </row>
    <row r="83" spans="1:13" s="58" customFormat="1">
      <c r="A83" s="688" t="s">
        <v>683</v>
      </c>
      <c r="B83" s="408">
        <v>12597</v>
      </c>
      <c r="C83" s="842">
        <v>12597</v>
      </c>
      <c r="D83" s="226">
        <v>12597</v>
      </c>
      <c r="E83" s="223"/>
      <c r="F83" s="223"/>
      <c r="G83" s="223"/>
      <c r="H83" s="223"/>
      <c r="I83" s="223"/>
      <c r="J83" s="223"/>
      <c r="K83" s="223"/>
      <c r="L83" s="223"/>
      <c r="M83" s="223"/>
    </row>
    <row r="84" spans="1:13" s="58" customFormat="1">
      <c r="A84" s="688" t="s">
        <v>997</v>
      </c>
      <c r="B84" s="408"/>
      <c r="C84" s="842"/>
      <c r="D84" s="226">
        <v>284</v>
      </c>
      <c r="E84" s="223"/>
      <c r="F84" s="223"/>
      <c r="G84" s="223"/>
      <c r="H84" s="223"/>
      <c r="I84" s="223"/>
      <c r="J84" s="223"/>
      <c r="K84" s="223"/>
      <c r="L84" s="223"/>
      <c r="M84" s="223"/>
    </row>
    <row r="85" spans="1:13">
      <c r="A85" s="688"/>
      <c r="B85" s="408"/>
      <c r="C85" s="842"/>
      <c r="D85" s="226"/>
    </row>
    <row r="86" spans="1:13">
      <c r="A86" s="783" t="s">
        <v>127</v>
      </c>
      <c r="B86" s="413">
        <f>SUM(B87:B87)</f>
        <v>17572</v>
      </c>
      <c r="C86" s="841">
        <f>SUM(C87:C87)</f>
        <v>17572</v>
      </c>
      <c r="D86" s="414">
        <f>SUM(D87:D89)</f>
        <v>19574</v>
      </c>
    </row>
    <row r="87" spans="1:13">
      <c r="A87" s="688" t="s">
        <v>684</v>
      </c>
      <c r="B87" s="408">
        <v>17572</v>
      </c>
      <c r="C87" s="842">
        <v>17572</v>
      </c>
      <c r="D87" s="226">
        <v>17572</v>
      </c>
    </row>
    <row r="88" spans="1:13">
      <c r="A88" s="688" t="s">
        <v>997</v>
      </c>
      <c r="B88" s="408"/>
      <c r="C88" s="842"/>
      <c r="D88" s="226">
        <v>398</v>
      </c>
    </row>
    <row r="89" spans="1:13">
      <c r="A89" s="688" t="s">
        <v>998</v>
      </c>
      <c r="B89" s="408"/>
      <c r="C89" s="842"/>
      <c r="D89" s="226">
        <v>1604</v>
      </c>
    </row>
    <row r="90" spans="1:13" s="61" customFormat="1">
      <c r="A90" s="688"/>
      <c r="B90" s="408"/>
      <c r="C90" s="842"/>
      <c r="D90" s="226"/>
      <c r="E90" s="224"/>
      <c r="F90" s="224"/>
      <c r="G90" s="224"/>
      <c r="H90" s="224"/>
      <c r="I90" s="224"/>
      <c r="J90" s="224"/>
      <c r="K90" s="224"/>
      <c r="L90" s="224"/>
      <c r="M90" s="224"/>
    </row>
    <row r="91" spans="1:13" ht="28.5">
      <c r="A91" s="810" t="s">
        <v>187</v>
      </c>
      <c r="B91" s="850">
        <f>B73</f>
        <v>44398</v>
      </c>
      <c r="C91" s="843">
        <f>C73</f>
        <v>44398</v>
      </c>
      <c r="D91" s="851">
        <f>D73</f>
        <v>52702</v>
      </c>
    </row>
    <row r="92" spans="1:13" ht="15.75" thickBot="1">
      <c r="A92" s="785"/>
      <c r="B92" s="852"/>
      <c r="C92" s="853"/>
      <c r="D92" s="854"/>
    </row>
    <row r="93" spans="1:13" ht="29.25" thickBot="1">
      <c r="A93" s="786" t="s">
        <v>403</v>
      </c>
      <c r="B93" s="102">
        <f>B71+B91</f>
        <v>44648</v>
      </c>
      <c r="C93" s="94">
        <f>C71+C91</f>
        <v>44648</v>
      </c>
      <c r="D93" s="95">
        <f>D71+D91</f>
        <v>52952</v>
      </c>
    </row>
    <row r="96" spans="1:13">
      <c r="A96" s="208"/>
    </row>
    <row r="97" spans="1:1">
      <c r="A97" s="208"/>
    </row>
  </sheetData>
  <mergeCells count="1">
    <mergeCell ref="A1:D2"/>
  </mergeCells>
  <pageMargins left="0.70866141732283472" right="0.70866141732283472" top="0.74803149606299213" bottom="0.74803149606299213" header="0.31496062992125984" footer="0.31496062992125984"/>
  <pageSetup paperSize="9" scale="41" fitToHeight="2" orientation="portrait" r:id="rId1"/>
  <headerFooter>
    <oddHeader>&amp;L&amp;"Times New Roman,Normál"&amp;8 11. melléklet 1, 2, 3</oddHeader>
    <oddFooter>&amp;L1. Mód.: 3/2019 (II.27.) önk. rend. 2.§. Hat.: 2019.03.01. napjától
2. Mód.: 9/2019 (IV.24.) önk. rend. 2.§ Hat.: 2019.04.25. napjától
3. Mód.: 18/2019 (IX.11.) önk. rend. 2.§ Hat.:2019.09.12. napjától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view="pageLayout" topLeftCell="A49" zoomScaleNormal="100" workbookViewId="0">
      <selection activeCell="A2" sqref="A2"/>
    </sheetView>
  </sheetViews>
  <sheetFormatPr defaultRowHeight="15"/>
  <cols>
    <col min="1" max="1" width="54.28515625" style="41" bestFit="1" customWidth="1"/>
    <col min="2" max="4" width="17.5703125" style="41" bestFit="1" customWidth="1"/>
    <col min="5" max="16384" width="9.140625" style="41"/>
  </cols>
  <sheetData>
    <row r="1" spans="1:4" ht="15" customHeight="1">
      <c r="A1" s="1957" t="s">
        <v>199</v>
      </c>
      <c r="B1" s="1957"/>
      <c r="C1" s="1957"/>
      <c r="D1" s="1957"/>
    </row>
    <row r="2" spans="1:4" ht="15.75" thickBot="1">
      <c r="A2" s="24"/>
      <c r="B2" s="23"/>
      <c r="C2" s="23"/>
      <c r="D2" s="23"/>
    </row>
    <row r="3" spans="1:4" ht="29.25" customHeight="1">
      <c r="A3" s="1959" t="s">
        <v>200</v>
      </c>
      <c r="B3" s="1963" t="s">
        <v>201</v>
      </c>
      <c r="C3" s="1964"/>
      <c r="D3" s="1965"/>
    </row>
    <row r="4" spans="1:4" ht="15.75" thickBot="1">
      <c r="A4" s="1960"/>
      <c r="B4" s="861" t="s">
        <v>3</v>
      </c>
      <c r="C4" s="862" t="s">
        <v>883</v>
      </c>
      <c r="D4" s="1215" t="s">
        <v>981</v>
      </c>
    </row>
    <row r="5" spans="1:4">
      <c r="A5" s="867" t="s">
        <v>202</v>
      </c>
      <c r="B5" s="1490">
        <v>22</v>
      </c>
      <c r="C5" s="1491">
        <v>22</v>
      </c>
      <c r="D5" s="1492">
        <v>22</v>
      </c>
    </row>
    <row r="6" spans="1:4">
      <c r="A6" s="868" t="s">
        <v>138</v>
      </c>
      <c r="B6" s="872">
        <v>18.75</v>
      </c>
      <c r="C6" s="863">
        <v>18.75</v>
      </c>
      <c r="D6" s="873">
        <v>18.75</v>
      </c>
    </row>
    <row r="7" spans="1:4">
      <c r="A7" s="868" t="s">
        <v>203</v>
      </c>
      <c r="B7" s="872">
        <v>3.5</v>
      </c>
      <c r="C7" s="863">
        <v>3.5</v>
      </c>
      <c r="D7" s="873">
        <v>3.5</v>
      </c>
    </row>
    <row r="8" spans="1:4">
      <c r="A8" s="1214" t="s">
        <v>204</v>
      </c>
      <c r="B8" s="874">
        <f>SUM(B6:B7)</f>
        <v>22.25</v>
      </c>
      <c r="C8" s="864">
        <f>SUM(C6:C7)</f>
        <v>22.25</v>
      </c>
      <c r="D8" s="875">
        <f>SUM(D6:D7)</f>
        <v>22.25</v>
      </c>
    </row>
    <row r="9" spans="1:4">
      <c r="A9" s="868" t="s">
        <v>205</v>
      </c>
      <c r="B9" s="872">
        <v>24</v>
      </c>
      <c r="C9" s="863">
        <v>24</v>
      </c>
      <c r="D9" s="873">
        <v>24</v>
      </c>
    </row>
    <row r="10" spans="1:4">
      <c r="A10" s="868" t="s">
        <v>140</v>
      </c>
      <c r="B10" s="872">
        <v>13</v>
      </c>
      <c r="C10" s="863">
        <v>13</v>
      </c>
      <c r="D10" s="873">
        <v>13</v>
      </c>
    </row>
    <row r="11" spans="1:4">
      <c r="A11" s="868" t="s">
        <v>206</v>
      </c>
      <c r="B11" s="872">
        <v>20</v>
      </c>
      <c r="C11" s="863">
        <v>20</v>
      </c>
      <c r="D11" s="873">
        <v>20</v>
      </c>
    </row>
    <row r="12" spans="1:4">
      <c r="A12" s="868" t="s">
        <v>207</v>
      </c>
      <c r="B12" s="872">
        <v>7</v>
      </c>
      <c r="C12" s="863">
        <v>7</v>
      </c>
      <c r="D12" s="873">
        <v>7</v>
      </c>
    </row>
    <row r="13" spans="1:4">
      <c r="A13" s="1214" t="s">
        <v>208</v>
      </c>
      <c r="B13" s="874">
        <f>SUM(B11:B12)</f>
        <v>27</v>
      </c>
      <c r="C13" s="864">
        <f>SUM(C11:C12)</f>
        <v>27</v>
      </c>
      <c r="D13" s="875">
        <f>SUM(D11:D12)</f>
        <v>27</v>
      </c>
    </row>
    <row r="14" spans="1:4">
      <c r="A14" s="1214" t="s">
        <v>209</v>
      </c>
      <c r="B14" s="874">
        <f>B5+B8+B9+B10+B13</f>
        <v>108.25</v>
      </c>
      <c r="C14" s="864">
        <f>C5+C8+C9+C10+C13</f>
        <v>108.25</v>
      </c>
      <c r="D14" s="875">
        <f>D5+D8+D9+D10+D13</f>
        <v>108.25</v>
      </c>
    </row>
    <row r="15" spans="1:4">
      <c r="A15" s="868" t="s">
        <v>210</v>
      </c>
      <c r="B15" s="872">
        <v>40.5</v>
      </c>
      <c r="C15" s="863">
        <v>39.5</v>
      </c>
      <c r="D15" s="873">
        <v>40.5</v>
      </c>
    </row>
    <row r="16" spans="1:4">
      <c r="A16" s="868" t="s">
        <v>211</v>
      </c>
      <c r="B16" s="872">
        <v>9.5</v>
      </c>
      <c r="C16" s="863">
        <v>9.5</v>
      </c>
      <c r="D16" s="873">
        <v>9.5</v>
      </c>
    </row>
    <row r="17" spans="1:4">
      <c r="A17" s="868" t="s">
        <v>157</v>
      </c>
      <c r="B17" s="872">
        <v>14.5</v>
      </c>
      <c r="C17" s="863">
        <v>15.5</v>
      </c>
      <c r="D17" s="873">
        <v>10</v>
      </c>
    </row>
    <row r="18" spans="1:4">
      <c r="A18" s="868" t="s">
        <v>212</v>
      </c>
      <c r="B18" s="872">
        <v>10</v>
      </c>
      <c r="C18" s="863">
        <v>10</v>
      </c>
      <c r="D18" s="873">
        <v>15.5</v>
      </c>
    </row>
    <row r="19" spans="1:4">
      <c r="A19" s="782" t="s">
        <v>213</v>
      </c>
      <c r="B19" s="872">
        <v>42</v>
      </c>
      <c r="C19" s="863">
        <v>44</v>
      </c>
      <c r="D19" s="873">
        <v>44</v>
      </c>
    </row>
    <row r="20" spans="1:4">
      <c r="A20" s="869" t="s">
        <v>215</v>
      </c>
      <c r="B20" s="876">
        <f>SUM(B14:B19)</f>
        <v>224.75</v>
      </c>
      <c r="C20" s="865">
        <f>SUM(C14:C19)</f>
        <v>226.75</v>
      </c>
      <c r="D20" s="877">
        <f>SUM(D14:D19)</f>
        <v>227.75</v>
      </c>
    </row>
    <row r="21" spans="1:4">
      <c r="A21" s="868"/>
      <c r="B21" s="872"/>
      <c r="C21" s="863"/>
      <c r="D21" s="873"/>
    </row>
    <row r="22" spans="1:4">
      <c r="A22" s="869" t="s">
        <v>71</v>
      </c>
      <c r="B22" s="872"/>
      <c r="C22" s="863"/>
      <c r="D22" s="873"/>
    </row>
    <row r="23" spans="1:4">
      <c r="A23" s="868" t="s">
        <v>218</v>
      </c>
      <c r="B23" s="878">
        <v>83</v>
      </c>
      <c r="C23" s="866">
        <v>83</v>
      </c>
      <c r="D23" s="1493">
        <v>83</v>
      </c>
    </row>
    <row r="24" spans="1:4">
      <c r="A24" s="870" t="s">
        <v>217</v>
      </c>
      <c r="B24" s="872">
        <v>5</v>
      </c>
      <c r="C24" s="863">
        <v>5</v>
      </c>
      <c r="D24" s="873">
        <v>5</v>
      </c>
    </row>
    <row r="25" spans="1:4">
      <c r="A25" s="868" t="s">
        <v>216</v>
      </c>
      <c r="B25" s="872">
        <v>3</v>
      </c>
      <c r="C25" s="863">
        <v>3</v>
      </c>
      <c r="D25" s="873">
        <v>3</v>
      </c>
    </row>
    <row r="26" spans="1:4">
      <c r="A26" s="868" t="s">
        <v>219</v>
      </c>
      <c r="B26" s="872">
        <v>6</v>
      </c>
      <c r="C26" s="863">
        <v>6</v>
      </c>
      <c r="D26" s="873">
        <v>6</v>
      </c>
    </row>
    <row r="27" spans="1:4">
      <c r="A27" s="869" t="s">
        <v>220</v>
      </c>
      <c r="B27" s="876">
        <f>SUM(B23:B26)</f>
        <v>97</v>
      </c>
      <c r="C27" s="865">
        <f>SUM(C23:C26)</f>
        <v>97</v>
      </c>
      <c r="D27" s="877">
        <f>SUM(D23:D26)</f>
        <v>97</v>
      </c>
    </row>
    <row r="28" spans="1:4">
      <c r="A28" s="869"/>
      <c r="B28" s="872"/>
      <c r="C28" s="863"/>
      <c r="D28" s="873"/>
    </row>
    <row r="29" spans="1:4">
      <c r="A29" s="869" t="s">
        <v>221</v>
      </c>
      <c r="B29" s="876">
        <v>2</v>
      </c>
      <c r="C29" s="865">
        <v>2</v>
      </c>
      <c r="D29" s="877">
        <v>2</v>
      </c>
    </row>
    <row r="30" spans="1:4">
      <c r="A30" s="871" t="s">
        <v>713</v>
      </c>
      <c r="B30" s="876">
        <v>10</v>
      </c>
      <c r="C30" s="865">
        <v>12</v>
      </c>
      <c r="D30" s="877">
        <v>12</v>
      </c>
    </row>
    <row r="31" spans="1:4" ht="15.75" thickBot="1">
      <c r="A31" s="871"/>
      <c r="B31" s="1494"/>
      <c r="C31" s="1495"/>
      <c r="D31" s="1496"/>
    </row>
    <row r="32" spans="1:4" ht="15.75" thickBot="1">
      <c r="A32" s="879" t="s">
        <v>65</v>
      </c>
      <c r="B32" s="880">
        <f>B20+B27+B29+B30</f>
        <v>333.75</v>
      </c>
      <c r="C32" s="881">
        <f>C20+C27+C29+C30</f>
        <v>337.75</v>
      </c>
      <c r="D32" s="109">
        <f>D20+D27+D29+D30</f>
        <v>338.75</v>
      </c>
    </row>
    <row r="33" spans="1:4">
      <c r="A33" s="64"/>
      <c r="B33" s="65"/>
      <c r="C33" s="65"/>
      <c r="D33" s="65"/>
    </row>
    <row r="34" spans="1:4">
      <c r="A34" s="66"/>
      <c r="B34" s="23"/>
      <c r="C34" s="23"/>
      <c r="D34" s="23"/>
    </row>
    <row r="35" spans="1:4">
      <c r="A35" s="1966" t="s">
        <v>222</v>
      </c>
      <c r="B35" s="1966"/>
      <c r="C35" s="1966"/>
      <c r="D35" s="1966"/>
    </row>
    <row r="36" spans="1:4" ht="15.75" thickBot="1">
      <c r="A36" s="23"/>
      <c r="B36" s="23"/>
      <c r="C36" s="23"/>
      <c r="D36" s="23"/>
    </row>
    <row r="37" spans="1:4">
      <c r="A37" s="1961" t="s">
        <v>2</v>
      </c>
      <c r="B37" s="1967" t="s">
        <v>223</v>
      </c>
      <c r="C37" s="1968"/>
      <c r="D37" s="1969"/>
    </row>
    <row r="38" spans="1:4" ht="15.75" thickBot="1">
      <c r="A38" s="1962"/>
      <c r="B38" s="861" t="s">
        <v>3</v>
      </c>
      <c r="C38" s="862" t="s">
        <v>882</v>
      </c>
      <c r="D38" s="1354" t="s">
        <v>981</v>
      </c>
    </row>
    <row r="39" spans="1:4" ht="15.75" thickBot="1">
      <c r="A39" s="882" t="s">
        <v>214</v>
      </c>
      <c r="B39" s="883">
        <v>65</v>
      </c>
      <c r="C39" s="884">
        <v>65</v>
      </c>
      <c r="D39" s="885">
        <v>65</v>
      </c>
    </row>
    <row r="40" spans="1:4" ht="15.75" thickBot="1">
      <c r="A40" s="886" t="s">
        <v>72</v>
      </c>
      <c r="B40" s="887">
        <f>B39</f>
        <v>65</v>
      </c>
      <c r="C40" s="888">
        <f>C39</f>
        <v>65</v>
      </c>
      <c r="D40" s="110">
        <f>D39</f>
        <v>65</v>
      </c>
    </row>
    <row r="43" spans="1:4">
      <c r="A43" s="208"/>
    </row>
    <row r="44" spans="1:4">
      <c r="A44" s="208"/>
    </row>
  </sheetData>
  <mergeCells count="6">
    <mergeCell ref="A3:A4"/>
    <mergeCell ref="A37:A38"/>
    <mergeCell ref="B3:D3"/>
    <mergeCell ref="A1:D1"/>
    <mergeCell ref="A35:D35"/>
    <mergeCell ref="B37:D37"/>
  </mergeCells>
  <pageMargins left="0.70866141732283472" right="0.70866141732283472" top="0.74803149606299213" bottom="0.74803149606299213" header="0.31496062992125984" footer="0.31496062992125984"/>
  <pageSetup paperSize="9" scale="82" orientation="portrait" r:id="rId1"/>
  <headerFooter>
    <oddHeader>&amp;L&amp;"Times New Roman,Normál"&amp;8 12. melléklet 1, 2, 3</oddHeader>
    <oddFooter>&amp;L1. Mód.: 3/2019 (II.27.) önk. rend. 2.§. Hat.: 2019.03.01. napjától
2. Mód.: 9/2019 (IV.24.) önk. rend. 2.§ Hat.: 2019.04.25. napjától
3. Mód.: 18/2019 (IX.11.) önk. rend. 2.§ Hat.:2019.09.12. napjától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view="pageLayout" topLeftCell="B40" zoomScaleNormal="100" workbookViewId="0">
      <selection activeCell="G6" sqref="G6"/>
    </sheetView>
  </sheetViews>
  <sheetFormatPr defaultRowHeight="15"/>
  <cols>
    <col min="1" max="1" width="4.7109375" style="49" customWidth="1"/>
    <col min="2" max="2" width="18.85546875" style="49" customWidth="1"/>
    <col min="3" max="13" width="18.5703125" style="49" customWidth="1"/>
    <col min="14" max="16384" width="9.140625" style="49"/>
  </cols>
  <sheetData>
    <row r="1" spans="1:13">
      <c r="A1" s="1970" t="s">
        <v>626</v>
      </c>
      <c r="B1" s="1970"/>
      <c r="C1" s="1970"/>
      <c r="D1" s="1970"/>
      <c r="E1" s="1970"/>
      <c r="F1" s="1970"/>
      <c r="G1" s="1970"/>
      <c r="H1" s="1970"/>
      <c r="I1" s="1970"/>
      <c r="J1" s="1970"/>
      <c r="K1" s="1970"/>
      <c r="L1" s="1970"/>
      <c r="M1" s="1970"/>
    </row>
    <row r="2" spans="1:13">
      <c r="A2" s="1970" t="s">
        <v>623</v>
      </c>
      <c r="B2" s="1970"/>
      <c r="C2" s="1970"/>
      <c r="D2" s="1970"/>
      <c r="E2" s="1970"/>
      <c r="F2" s="1970"/>
      <c r="G2" s="1970"/>
      <c r="H2" s="1970"/>
      <c r="I2" s="1970"/>
      <c r="J2" s="1970"/>
      <c r="K2" s="1970"/>
      <c r="L2" s="1970"/>
      <c r="M2" s="1970"/>
    </row>
    <row r="3" spans="1:13" ht="15.75" thickBot="1">
      <c r="A3" s="1970"/>
      <c r="B3" s="1970"/>
      <c r="C3" s="1970"/>
      <c r="D3" s="1970"/>
      <c r="E3" s="1970"/>
      <c r="F3" s="1970"/>
      <c r="G3" s="1970"/>
      <c r="H3" s="1970"/>
      <c r="I3" s="1970"/>
      <c r="J3" s="1970"/>
      <c r="K3" s="1970"/>
      <c r="L3" s="67"/>
      <c r="M3" s="67"/>
    </row>
    <row r="4" spans="1:13" ht="42.75" customHeight="1">
      <c r="A4" s="1971" t="s">
        <v>2</v>
      </c>
      <c r="B4" s="1972"/>
      <c r="C4" s="1971" t="s">
        <v>967</v>
      </c>
      <c r="D4" s="1977"/>
      <c r="E4" s="1972"/>
      <c r="F4" s="1971" t="s">
        <v>968</v>
      </c>
      <c r="G4" s="1977"/>
      <c r="H4" s="1978"/>
      <c r="I4" s="1979" t="s">
        <v>903</v>
      </c>
      <c r="J4" s="1981"/>
      <c r="K4" s="1979" t="s">
        <v>65</v>
      </c>
      <c r="L4" s="1980"/>
      <c r="M4" s="1981"/>
    </row>
    <row r="5" spans="1:13" ht="15.75" thickBot="1">
      <c r="A5" s="1973"/>
      <c r="B5" s="1974"/>
      <c r="C5" s="275" t="s">
        <v>4</v>
      </c>
      <c r="D5" s="889" t="s">
        <v>881</v>
      </c>
      <c r="E5" s="1377" t="s">
        <v>984</v>
      </c>
      <c r="F5" s="1378" t="s">
        <v>4</v>
      </c>
      <c r="G5" s="1379" t="s">
        <v>882</v>
      </c>
      <c r="H5" s="1380" t="s">
        <v>981</v>
      </c>
      <c r="I5" s="1378" t="s">
        <v>882</v>
      </c>
      <c r="J5" s="1377" t="s">
        <v>981</v>
      </c>
      <c r="K5" s="1378" t="s">
        <v>4</v>
      </c>
      <c r="L5" s="1381" t="s">
        <v>882</v>
      </c>
      <c r="M5" s="1377" t="s">
        <v>981</v>
      </c>
    </row>
    <row r="6" spans="1:13" s="97" customFormat="1">
      <c r="A6" s="1975" t="s">
        <v>226</v>
      </c>
      <c r="B6" s="1976"/>
      <c r="C6" s="894">
        <v>70060</v>
      </c>
      <c r="D6" s="214">
        <v>70060</v>
      </c>
      <c r="E6" s="895">
        <v>70060</v>
      </c>
      <c r="F6" s="894">
        <v>465303</v>
      </c>
      <c r="G6" s="214">
        <v>465303</v>
      </c>
      <c r="H6" s="1357">
        <v>465303</v>
      </c>
      <c r="I6" s="1367">
        <v>543251</v>
      </c>
      <c r="J6" s="895">
        <v>543251</v>
      </c>
      <c r="K6" s="1382">
        <f t="shared" ref="K6:K23" si="0">C6+F6</f>
        <v>535363</v>
      </c>
      <c r="L6" s="906">
        <f t="shared" ref="L6:L24" si="1">D6+G6+H6</f>
        <v>1000666</v>
      </c>
      <c r="M6" s="907">
        <f>E6+H6+J6</f>
        <v>1078614</v>
      </c>
    </row>
    <row r="7" spans="1:13">
      <c r="A7" s="890"/>
      <c r="B7" s="891" t="s">
        <v>224</v>
      </c>
      <c r="C7" s="896">
        <v>43787</v>
      </c>
      <c r="D7" s="897">
        <v>43787</v>
      </c>
      <c r="E7" s="898">
        <v>43787</v>
      </c>
      <c r="F7" s="896">
        <v>107279</v>
      </c>
      <c r="G7" s="897">
        <v>107279</v>
      </c>
      <c r="H7" s="1358">
        <v>107279</v>
      </c>
      <c r="I7" s="896"/>
      <c r="J7" s="898"/>
      <c r="K7" s="1383">
        <f t="shared" si="0"/>
        <v>151066</v>
      </c>
      <c r="L7" s="908">
        <f t="shared" si="1"/>
        <v>258345</v>
      </c>
      <c r="M7" s="907">
        <f t="shared" ref="M7:M38" si="2">E7+H7+J7</f>
        <v>151066</v>
      </c>
    </row>
    <row r="8" spans="1:13">
      <c r="A8" s="890"/>
      <c r="B8" s="891" t="s">
        <v>225</v>
      </c>
      <c r="C8" s="896">
        <v>753</v>
      </c>
      <c r="D8" s="897">
        <v>753</v>
      </c>
      <c r="E8" s="898">
        <v>753</v>
      </c>
      <c r="F8" s="896">
        <v>5597</v>
      </c>
      <c r="G8" s="897">
        <v>5597</v>
      </c>
      <c r="H8" s="1358">
        <v>5597</v>
      </c>
      <c r="I8" s="896">
        <v>17402</v>
      </c>
      <c r="J8" s="898">
        <v>17402</v>
      </c>
      <c r="K8" s="1383">
        <f t="shared" si="0"/>
        <v>6350</v>
      </c>
      <c r="L8" s="908">
        <f t="shared" si="1"/>
        <v>11947</v>
      </c>
      <c r="M8" s="907">
        <f t="shared" si="2"/>
        <v>23752</v>
      </c>
    </row>
    <row r="9" spans="1:13" s="97" customFormat="1">
      <c r="A9" s="1982" t="s">
        <v>227</v>
      </c>
      <c r="B9" s="1983"/>
      <c r="C9" s="899">
        <f>C6-C7</f>
        <v>26273</v>
      </c>
      <c r="D9" s="900">
        <v>26273</v>
      </c>
      <c r="E9" s="901">
        <f>E6-E7</f>
        <v>26273</v>
      </c>
      <c r="F9" s="899">
        <f>F6-F7</f>
        <v>358024</v>
      </c>
      <c r="G9" s="900">
        <f>G6-G7</f>
        <v>358024</v>
      </c>
      <c r="H9" s="1359">
        <f>H6-H7</f>
        <v>358024</v>
      </c>
      <c r="I9" s="899">
        <v>543251</v>
      </c>
      <c r="J9" s="901">
        <v>543251</v>
      </c>
      <c r="K9" s="1384">
        <f t="shared" si="0"/>
        <v>384297</v>
      </c>
      <c r="L9" s="909">
        <f t="shared" si="1"/>
        <v>742321</v>
      </c>
      <c r="M9" s="907">
        <f t="shared" si="2"/>
        <v>927548</v>
      </c>
    </row>
    <row r="10" spans="1:13">
      <c r="A10" s="890"/>
      <c r="B10" s="891" t="s">
        <v>224</v>
      </c>
      <c r="C10" s="896">
        <v>26273</v>
      </c>
      <c r="D10" s="897">
        <v>26273</v>
      </c>
      <c r="E10" s="898">
        <v>26273</v>
      </c>
      <c r="F10" s="896">
        <v>71519</v>
      </c>
      <c r="G10" s="897">
        <v>71519</v>
      </c>
      <c r="H10" s="1358">
        <v>71519</v>
      </c>
      <c r="I10" s="896"/>
      <c r="J10" s="898"/>
      <c r="K10" s="1383">
        <f t="shared" si="0"/>
        <v>97792</v>
      </c>
      <c r="L10" s="908">
        <f t="shared" si="1"/>
        <v>169311</v>
      </c>
      <c r="M10" s="907">
        <f t="shared" si="2"/>
        <v>97792</v>
      </c>
    </row>
    <row r="11" spans="1:13">
      <c r="A11" s="890"/>
      <c r="B11" s="891" t="s">
        <v>225</v>
      </c>
      <c r="C11" s="896">
        <v>151</v>
      </c>
      <c r="D11" s="897">
        <v>151</v>
      </c>
      <c r="E11" s="898">
        <v>151</v>
      </c>
      <c r="F11" s="896">
        <v>3603</v>
      </c>
      <c r="G11" s="897">
        <v>3603</v>
      </c>
      <c r="H11" s="1358">
        <v>3603</v>
      </c>
      <c r="I11" s="896">
        <v>19516</v>
      </c>
      <c r="J11" s="898">
        <v>19516</v>
      </c>
      <c r="K11" s="1383">
        <f t="shared" si="0"/>
        <v>3754</v>
      </c>
      <c r="L11" s="908">
        <f t="shared" si="1"/>
        <v>7357</v>
      </c>
      <c r="M11" s="907">
        <f t="shared" si="2"/>
        <v>23270</v>
      </c>
    </row>
    <row r="12" spans="1:13" s="97" customFormat="1">
      <c r="A12" s="1982" t="s">
        <v>228</v>
      </c>
      <c r="B12" s="1983"/>
      <c r="C12" s="899">
        <f t="shared" ref="C12:E12" si="3">C9-C10</f>
        <v>0</v>
      </c>
      <c r="D12" s="900">
        <f t="shared" si="3"/>
        <v>0</v>
      </c>
      <c r="E12" s="901">
        <f t="shared" si="3"/>
        <v>0</v>
      </c>
      <c r="F12" s="899">
        <f>F9-F10</f>
        <v>286505</v>
      </c>
      <c r="G12" s="900">
        <f>G9-G10</f>
        <v>286505</v>
      </c>
      <c r="H12" s="1359">
        <f>H9-H10</f>
        <v>286505</v>
      </c>
      <c r="I12" s="899">
        <v>543251</v>
      </c>
      <c r="J12" s="901">
        <v>543251</v>
      </c>
      <c r="K12" s="1384">
        <f t="shared" si="0"/>
        <v>286505</v>
      </c>
      <c r="L12" s="909">
        <f t="shared" si="1"/>
        <v>573010</v>
      </c>
      <c r="M12" s="907">
        <f t="shared" si="2"/>
        <v>829756</v>
      </c>
    </row>
    <row r="13" spans="1:13">
      <c r="A13" s="890"/>
      <c r="B13" s="891" t="s">
        <v>224</v>
      </c>
      <c r="C13" s="896"/>
      <c r="D13" s="897"/>
      <c r="E13" s="898"/>
      <c r="F13" s="896">
        <v>71519</v>
      </c>
      <c r="G13" s="897">
        <v>71519</v>
      </c>
      <c r="H13" s="1358">
        <v>71519</v>
      </c>
      <c r="I13" s="896"/>
      <c r="J13" s="898"/>
      <c r="K13" s="1383">
        <f t="shared" si="0"/>
        <v>71519</v>
      </c>
      <c r="L13" s="908">
        <f t="shared" si="1"/>
        <v>143038</v>
      </c>
      <c r="M13" s="907">
        <f t="shared" si="2"/>
        <v>71519</v>
      </c>
    </row>
    <row r="14" spans="1:13">
      <c r="A14" s="890"/>
      <c r="B14" s="891" t="s">
        <v>225</v>
      </c>
      <c r="C14" s="896"/>
      <c r="D14" s="897"/>
      <c r="E14" s="898"/>
      <c r="F14" s="896">
        <v>2794</v>
      </c>
      <c r="G14" s="897">
        <v>2794</v>
      </c>
      <c r="H14" s="1358">
        <v>2794</v>
      </c>
      <c r="I14" s="896">
        <v>19478</v>
      </c>
      <c r="J14" s="898">
        <v>19478</v>
      </c>
      <c r="K14" s="1383">
        <f t="shared" si="0"/>
        <v>2794</v>
      </c>
      <c r="L14" s="908">
        <f t="shared" si="1"/>
        <v>5588</v>
      </c>
      <c r="M14" s="907">
        <f t="shared" si="2"/>
        <v>22272</v>
      </c>
    </row>
    <row r="15" spans="1:13" s="97" customFormat="1">
      <c r="A15" s="1982" t="s">
        <v>229</v>
      </c>
      <c r="B15" s="1983"/>
      <c r="C15" s="899"/>
      <c r="D15" s="900"/>
      <c r="E15" s="901"/>
      <c r="F15" s="899">
        <f>F12-F13</f>
        <v>214986</v>
      </c>
      <c r="G15" s="900">
        <f>G12-G13</f>
        <v>214986</v>
      </c>
      <c r="H15" s="1359">
        <f>H12-H13</f>
        <v>214986</v>
      </c>
      <c r="I15" s="899">
        <v>543251</v>
      </c>
      <c r="J15" s="901">
        <v>543251</v>
      </c>
      <c r="K15" s="1384">
        <f t="shared" si="0"/>
        <v>214986</v>
      </c>
      <c r="L15" s="909">
        <f t="shared" si="1"/>
        <v>429972</v>
      </c>
      <c r="M15" s="907">
        <f t="shared" si="2"/>
        <v>758237</v>
      </c>
    </row>
    <row r="16" spans="1:13">
      <c r="A16" s="890"/>
      <c r="B16" s="891" t="s">
        <v>224</v>
      </c>
      <c r="C16" s="896"/>
      <c r="D16" s="897"/>
      <c r="E16" s="898"/>
      <c r="F16" s="896">
        <v>71519</v>
      </c>
      <c r="G16" s="897">
        <v>71519</v>
      </c>
      <c r="H16" s="1358">
        <v>71519</v>
      </c>
      <c r="I16" s="896"/>
      <c r="J16" s="898"/>
      <c r="K16" s="1383">
        <f t="shared" si="0"/>
        <v>71519</v>
      </c>
      <c r="L16" s="908">
        <f t="shared" si="1"/>
        <v>143038</v>
      </c>
      <c r="M16" s="907">
        <f t="shared" si="2"/>
        <v>71519</v>
      </c>
    </row>
    <row r="17" spans="1:13">
      <c r="A17" s="890"/>
      <c r="B17" s="891" t="s">
        <v>225</v>
      </c>
      <c r="C17" s="896"/>
      <c r="D17" s="897"/>
      <c r="E17" s="898"/>
      <c r="F17" s="896">
        <v>1997</v>
      </c>
      <c r="G17" s="897">
        <v>1997</v>
      </c>
      <c r="H17" s="1358">
        <v>1997</v>
      </c>
      <c r="I17" s="896">
        <v>19478</v>
      </c>
      <c r="J17" s="898">
        <v>19478</v>
      </c>
      <c r="K17" s="1383">
        <f t="shared" si="0"/>
        <v>1997</v>
      </c>
      <c r="L17" s="908">
        <f t="shared" si="1"/>
        <v>3994</v>
      </c>
      <c r="M17" s="907">
        <f t="shared" si="2"/>
        <v>21475</v>
      </c>
    </row>
    <row r="18" spans="1:13" s="97" customFormat="1">
      <c r="A18" s="1982" t="s">
        <v>230</v>
      </c>
      <c r="B18" s="1983"/>
      <c r="C18" s="899"/>
      <c r="D18" s="900"/>
      <c r="E18" s="901"/>
      <c r="F18" s="899">
        <f>F15-F16</f>
        <v>143467</v>
      </c>
      <c r="G18" s="900">
        <f>G15-G16</f>
        <v>143467</v>
      </c>
      <c r="H18" s="1359">
        <f>H15-H16</f>
        <v>143467</v>
      </c>
      <c r="I18" s="899">
        <v>543251</v>
      </c>
      <c r="J18" s="901">
        <v>543251</v>
      </c>
      <c r="K18" s="1384">
        <f t="shared" si="0"/>
        <v>143467</v>
      </c>
      <c r="L18" s="909">
        <f t="shared" si="1"/>
        <v>286934</v>
      </c>
      <c r="M18" s="907">
        <f t="shared" si="2"/>
        <v>686718</v>
      </c>
    </row>
    <row r="19" spans="1:13">
      <c r="A19" s="890"/>
      <c r="B19" s="891" t="s">
        <v>224</v>
      </c>
      <c r="C19" s="896"/>
      <c r="D19" s="897"/>
      <c r="E19" s="898"/>
      <c r="F19" s="896">
        <v>71519</v>
      </c>
      <c r="G19" s="897">
        <v>71519</v>
      </c>
      <c r="H19" s="1358">
        <v>71519</v>
      </c>
      <c r="I19" s="896"/>
      <c r="J19" s="898"/>
      <c r="K19" s="1383">
        <f t="shared" si="0"/>
        <v>71519</v>
      </c>
      <c r="L19" s="908">
        <f t="shared" si="1"/>
        <v>143038</v>
      </c>
      <c r="M19" s="907">
        <f t="shared" si="2"/>
        <v>71519</v>
      </c>
    </row>
    <row r="20" spans="1:13">
      <c r="A20" s="890"/>
      <c r="B20" s="891" t="s">
        <v>225</v>
      </c>
      <c r="C20" s="896"/>
      <c r="D20" s="897"/>
      <c r="E20" s="898"/>
      <c r="F20" s="896">
        <v>1199</v>
      </c>
      <c r="G20" s="897">
        <v>1199</v>
      </c>
      <c r="H20" s="1358">
        <v>1199</v>
      </c>
      <c r="I20" s="896">
        <v>19478</v>
      </c>
      <c r="J20" s="898">
        <v>19478</v>
      </c>
      <c r="K20" s="1383">
        <f t="shared" si="0"/>
        <v>1199</v>
      </c>
      <c r="L20" s="908">
        <f t="shared" si="1"/>
        <v>2398</v>
      </c>
      <c r="M20" s="907">
        <f t="shared" si="2"/>
        <v>20677</v>
      </c>
    </row>
    <row r="21" spans="1:13" s="97" customFormat="1">
      <c r="A21" s="1982" t="s">
        <v>231</v>
      </c>
      <c r="B21" s="1983"/>
      <c r="C21" s="899"/>
      <c r="D21" s="900"/>
      <c r="E21" s="901"/>
      <c r="F21" s="899">
        <f>F18-F19</f>
        <v>71948</v>
      </c>
      <c r="G21" s="900">
        <f>G18-G19</f>
        <v>71948</v>
      </c>
      <c r="H21" s="1359">
        <f>H18-H19</f>
        <v>71948</v>
      </c>
      <c r="I21" s="899">
        <v>543251</v>
      </c>
      <c r="J21" s="901">
        <v>543251</v>
      </c>
      <c r="K21" s="1384">
        <f t="shared" si="0"/>
        <v>71948</v>
      </c>
      <c r="L21" s="909">
        <f t="shared" si="1"/>
        <v>143896</v>
      </c>
      <c r="M21" s="907">
        <f t="shared" si="2"/>
        <v>615199</v>
      </c>
    </row>
    <row r="22" spans="1:13">
      <c r="A22" s="890"/>
      <c r="B22" s="891" t="s">
        <v>224</v>
      </c>
      <c r="C22" s="896"/>
      <c r="D22" s="897"/>
      <c r="E22" s="898"/>
      <c r="F22" s="896">
        <v>71948</v>
      </c>
      <c r="G22" s="897">
        <v>71948</v>
      </c>
      <c r="H22" s="1358">
        <v>71948</v>
      </c>
      <c r="I22" s="896"/>
      <c r="J22" s="898"/>
      <c r="K22" s="1383">
        <f t="shared" si="0"/>
        <v>71948</v>
      </c>
      <c r="L22" s="908">
        <f t="shared" si="1"/>
        <v>143896</v>
      </c>
      <c r="M22" s="907">
        <f t="shared" si="2"/>
        <v>71948</v>
      </c>
    </row>
    <row r="23" spans="1:13">
      <c r="A23" s="892"/>
      <c r="B23" s="893" t="s">
        <v>225</v>
      </c>
      <c r="C23" s="902"/>
      <c r="D23" s="903"/>
      <c r="E23" s="904"/>
      <c r="F23" s="902">
        <v>402</v>
      </c>
      <c r="G23" s="903">
        <v>402</v>
      </c>
      <c r="H23" s="1360">
        <v>402</v>
      </c>
      <c r="I23" s="896">
        <v>19478</v>
      </c>
      <c r="J23" s="898">
        <v>19478</v>
      </c>
      <c r="K23" s="1385">
        <f t="shared" si="0"/>
        <v>402</v>
      </c>
      <c r="L23" s="910">
        <f t="shared" si="1"/>
        <v>804</v>
      </c>
      <c r="M23" s="907">
        <f t="shared" si="2"/>
        <v>19880</v>
      </c>
    </row>
    <row r="24" spans="1:13">
      <c r="A24" s="1982" t="s">
        <v>884</v>
      </c>
      <c r="B24" s="1983"/>
      <c r="C24" s="640"/>
      <c r="D24" s="905"/>
      <c r="E24" s="641"/>
      <c r="F24" s="640"/>
      <c r="G24" s="905"/>
      <c r="H24" s="1361"/>
      <c r="I24" s="1363">
        <v>543251</v>
      </c>
      <c r="J24" s="1364">
        <v>543251</v>
      </c>
      <c r="K24" s="640"/>
      <c r="L24" s="905">
        <f t="shared" si="1"/>
        <v>0</v>
      </c>
      <c r="M24" s="907">
        <f t="shared" si="2"/>
        <v>543251</v>
      </c>
    </row>
    <row r="25" spans="1:13">
      <c r="A25" s="640"/>
      <c r="B25" s="641" t="s">
        <v>224</v>
      </c>
      <c r="C25" s="640"/>
      <c r="D25" s="905"/>
      <c r="E25" s="641"/>
      <c r="F25" s="640"/>
      <c r="G25" s="905"/>
      <c r="H25" s="1361"/>
      <c r="I25" s="1363">
        <v>108650</v>
      </c>
      <c r="J25" s="1364">
        <v>108650</v>
      </c>
      <c r="K25" s="640"/>
      <c r="L25" s="905">
        <f t="shared" ref="L25:L38" si="4">D25+G25+H25</f>
        <v>0</v>
      </c>
      <c r="M25" s="907">
        <f t="shared" si="2"/>
        <v>108650</v>
      </c>
    </row>
    <row r="26" spans="1:13">
      <c r="A26" s="640"/>
      <c r="B26" s="893" t="s">
        <v>225</v>
      </c>
      <c r="C26" s="640"/>
      <c r="D26" s="905"/>
      <c r="E26" s="641"/>
      <c r="F26" s="640"/>
      <c r="G26" s="905"/>
      <c r="H26" s="1361"/>
      <c r="I26" s="1363">
        <v>12633</v>
      </c>
      <c r="J26" s="1364">
        <v>12633</v>
      </c>
      <c r="K26" s="640"/>
      <c r="L26" s="905">
        <f t="shared" si="4"/>
        <v>0</v>
      </c>
      <c r="M26" s="907">
        <f t="shared" si="2"/>
        <v>12633</v>
      </c>
    </row>
    <row r="27" spans="1:13">
      <c r="A27" s="1982" t="s">
        <v>885</v>
      </c>
      <c r="B27" s="1983"/>
      <c r="C27" s="640"/>
      <c r="D27" s="905"/>
      <c r="E27" s="641"/>
      <c r="F27" s="640"/>
      <c r="G27" s="905"/>
      <c r="H27" s="1361"/>
      <c r="I27" s="1363">
        <v>434601</v>
      </c>
      <c r="J27" s="1364">
        <v>434601</v>
      </c>
      <c r="K27" s="640"/>
      <c r="L27" s="905">
        <f t="shared" si="4"/>
        <v>0</v>
      </c>
      <c r="M27" s="907">
        <f t="shared" si="2"/>
        <v>434601</v>
      </c>
    </row>
    <row r="28" spans="1:13">
      <c r="A28" s="640"/>
      <c r="B28" s="641" t="s">
        <v>224</v>
      </c>
      <c r="C28" s="640"/>
      <c r="D28" s="905"/>
      <c r="E28" s="641"/>
      <c r="F28" s="640"/>
      <c r="G28" s="905"/>
      <c r="H28" s="1361"/>
      <c r="I28" s="1363">
        <v>108650</v>
      </c>
      <c r="J28" s="1364">
        <v>108650</v>
      </c>
      <c r="K28" s="640"/>
      <c r="L28" s="905">
        <f t="shared" si="4"/>
        <v>0</v>
      </c>
      <c r="M28" s="907">
        <f t="shared" si="2"/>
        <v>108650</v>
      </c>
    </row>
    <row r="29" spans="1:13">
      <c r="A29" s="640"/>
      <c r="B29" s="641" t="s">
        <v>225</v>
      </c>
      <c r="C29" s="640"/>
      <c r="D29" s="905"/>
      <c r="E29" s="641"/>
      <c r="F29" s="640"/>
      <c r="G29" s="905"/>
      <c r="H29" s="1361"/>
      <c r="I29" s="1363">
        <v>9824</v>
      </c>
      <c r="J29" s="1364">
        <v>9824</v>
      </c>
      <c r="K29" s="640"/>
      <c r="L29" s="905">
        <f t="shared" si="4"/>
        <v>0</v>
      </c>
      <c r="M29" s="907">
        <f t="shared" si="2"/>
        <v>9824</v>
      </c>
    </row>
    <row r="30" spans="1:13">
      <c r="A30" s="1982" t="s">
        <v>886</v>
      </c>
      <c r="B30" s="1983"/>
      <c r="C30" s="640"/>
      <c r="D30" s="905"/>
      <c r="E30" s="641"/>
      <c r="F30" s="640"/>
      <c r="G30" s="905"/>
      <c r="H30" s="1361"/>
      <c r="I30" s="1363">
        <v>325951</v>
      </c>
      <c r="J30" s="1364">
        <v>325951</v>
      </c>
      <c r="K30" s="640"/>
      <c r="L30" s="905">
        <f t="shared" si="4"/>
        <v>0</v>
      </c>
      <c r="M30" s="907">
        <f t="shared" si="2"/>
        <v>325951</v>
      </c>
    </row>
    <row r="31" spans="1:13">
      <c r="A31" s="640"/>
      <c r="B31" s="641" t="s">
        <v>224</v>
      </c>
      <c r="C31" s="640"/>
      <c r="D31" s="905"/>
      <c r="E31" s="641"/>
      <c r="F31" s="640"/>
      <c r="G31" s="905"/>
      <c r="H31" s="1361"/>
      <c r="I31" s="1363">
        <v>108650</v>
      </c>
      <c r="J31" s="1364">
        <v>108650</v>
      </c>
      <c r="K31" s="640"/>
      <c r="L31" s="905">
        <f t="shared" si="4"/>
        <v>0</v>
      </c>
      <c r="M31" s="907">
        <f t="shared" si="2"/>
        <v>108650</v>
      </c>
    </row>
    <row r="32" spans="1:13">
      <c r="A32" s="640"/>
      <c r="B32" s="641" t="s">
        <v>225</v>
      </c>
      <c r="C32" s="640"/>
      <c r="D32" s="905"/>
      <c r="E32" s="641"/>
      <c r="F32" s="640"/>
      <c r="G32" s="905"/>
      <c r="H32" s="1361"/>
      <c r="I32" s="1363">
        <v>7015</v>
      </c>
      <c r="J32" s="1364">
        <v>7015</v>
      </c>
      <c r="K32" s="640"/>
      <c r="L32" s="905">
        <f t="shared" si="4"/>
        <v>0</v>
      </c>
      <c r="M32" s="907">
        <f t="shared" si="2"/>
        <v>7015</v>
      </c>
    </row>
    <row r="33" spans="1:13">
      <c r="A33" s="1982" t="s">
        <v>887</v>
      </c>
      <c r="B33" s="1983"/>
      <c r="C33" s="640"/>
      <c r="D33" s="905"/>
      <c r="E33" s="641"/>
      <c r="F33" s="640"/>
      <c r="G33" s="905"/>
      <c r="H33" s="1361"/>
      <c r="I33" s="1363">
        <v>217301</v>
      </c>
      <c r="J33" s="1364">
        <v>217301</v>
      </c>
      <c r="K33" s="640"/>
      <c r="L33" s="905">
        <f t="shared" si="4"/>
        <v>0</v>
      </c>
      <c r="M33" s="907">
        <f t="shared" si="2"/>
        <v>217301</v>
      </c>
    </row>
    <row r="34" spans="1:13">
      <c r="A34" s="640"/>
      <c r="B34" s="641" t="s">
        <v>224</v>
      </c>
      <c r="C34" s="640"/>
      <c r="D34" s="905"/>
      <c r="E34" s="641"/>
      <c r="F34" s="640"/>
      <c r="G34" s="905"/>
      <c r="H34" s="1361"/>
      <c r="I34" s="1363">
        <v>108650</v>
      </c>
      <c r="J34" s="1364">
        <v>108650</v>
      </c>
      <c r="K34" s="640"/>
      <c r="L34" s="905">
        <f t="shared" si="4"/>
        <v>0</v>
      </c>
      <c r="M34" s="907">
        <f t="shared" si="2"/>
        <v>108650</v>
      </c>
    </row>
    <row r="35" spans="1:13">
      <c r="A35" s="640"/>
      <c r="B35" s="641" t="s">
        <v>225</v>
      </c>
      <c r="C35" s="640"/>
      <c r="D35" s="905"/>
      <c r="E35" s="641"/>
      <c r="F35" s="640"/>
      <c r="G35" s="905"/>
      <c r="H35" s="1361"/>
      <c r="I35" s="1363">
        <v>4222</v>
      </c>
      <c r="J35" s="1364">
        <v>4222</v>
      </c>
      <c r="K35" s="640"/>
      <c r="L35" s="905">
        <f t="shared" si="4"/>
        <v>0</v>
      </c>
      <c r="M35" s="907">
        <f t="shared" si="2"/>
        <v>4222</v>
      </c>
    </row>
    <row r="36" spans="1:13">
      <c r="A36" s="1982" t="s">
        <v>888</v>
      </c>
      <c r="B36" s="1983"/>
      <c r="C36" s="640"/>
      <c r="D36" s="905"/>
      <c r="E36" s="641"/>
      <c r="F36" s="640"/>
      <c r="G36" s="905"/>
      <c r="H36" s="1361"/>
      <c r="I36" s="1363">
        <v>108651</v>
      </c>
      <c r="J36" s="1364">
        <v>108651</v>
      </c>
      <c r="K36" s="640"/>
      <c r="L36" s="905">
        <f t="shared" si="4"/>
        <v>0</v>
      </c>
      <c r="M36" s="907">
        <f t="shared" si="2"/>
        <v>108651</v>
      </c>
    </row>
    <row r="37" spans="1:13">
      <c r="A37" s="640"/>
      <c r="B37" s="641" t="s">
        <v>224</v>
      </c>
      <c r="C37" s="640"/>
      <c r="D37" s="905"/>
      <c r="E37" s="641"/>
      <c r="F37" s="640"/>
      <c r="G37" s="905"/>
      <c r="H37" s="1361"/>
      <c r="I37" s="1363">
        <v>108651</v>
      </c>
      <c r="J37" s="1364">
        <v>108651</v>
      </c>
      <c r="K37" s="640"/>
      <c r="L37" s="905">
        <f t="shared" si="4"/>
        <v>0</v>
      </c>
      <c r="M37" s="907">
        <f t="shared" si="2"/>
        <v>108651</v>
      </c>
    </row>
    <row r="38" spans="1:13" ht="15.75" thickBot="1">
      <c r="A38" s="659"/>
      <c r="B38" s="661" t="s">
        <v>225</v>
      </c>
      <c r="C38" s="659"/>
      <c r="D38" s="660"/>
      <c r="E38" s="661"/>
      <c r="F38" s="659"/>
      <c r="G38" s="660"/>
      <c r="H38" s="1362"/>
      <c r="I38" s="1365">
        <v>1396</v>
      </c>
      <c r="J38" s="1366">
        <v>1396</v>
      </c>
      <c r="K38" s="659"/>
      <c r="L38" s="1386">
        <f t="shared" si="4"/>
        <v>0</v>
      </c>
      <c r="M38" s="1387">
        <f t="shared" si="2"/>
        <v>1396</v>
      </c>
    </row>
    <row r="52" spans="2:2">
      <c r="B52" s="208"/>
    </row>
  </sheetData>
  <mergeCells count="19">
    <mergeCell ref="A24:B24"/>
    <mergeCell ref="A27:B27"/>
    <mergeCell ref="A30:B30"/>
    <mergeCell ref="A33:B33"/>
    <mergeCell ref="A36:B36"/>
    <mergeCell ref="A9:B9"/>
    <mergeCell ref="A12:B12"/>
    <mergeCell ref="A15:B15"/>
    <mergeCell ref="A18:B18"/>
    <mergeCell ref="A21:B21"/>
    <mergeCell ref="A3:K3"/>
    <mergeCell ref="A4:B5"/>
    <mergeCell ref="A6:B6"/>
    <mergeCell ref="A1:M1"/>
    <mergeCell ref="A2:M2"/>
    <mergeCell ref="C4:E4"/>
    <mergeCell ref="F4:H4"/>
    <mergeCell ref="K4:M4"/>
    <mergeCell ref="I4:J4"/>
  </mergeCells>
  <printOptions horizontalCentered="1"/>
  <pageMargins left="0.70866141732283472" right="0.70866141732283472" top="0.74803149606299213" bottom="0.74803149606299213" header="0.31496062992125984" footer="0.31496062992125984"/>
  <pageSetup paperSize="9" scale="58" orientation="landscape" r:id="rId1"/>
  <headerFooter>
    <oddHeader>&amp;L&amp;"Times New Roman,Normál"&amp;8 13. melléklet 1, 2, 3</oddHeader>
    <oddFooter>&amp;L1. Mód.: 3/2019 (II.27.) önk. rend. 2.§. Hat.: 2019.03.01. napjától
2. Mód.: 9/2019 (IV.24.) önk. rend. 2.§ Hat.: 2019.04.25. napjától
3. Mód.: 18/2019 (IX.11.) önk. rend. 2.§ Hat.:2019.09.12. napjától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Layout" topLeftCell="A52" zoomScaleNormal="100" workbookViewId="0">
      <selection activeCell="C7" sqref="C7"/>
    </sheetView>
  </sheetViews>
  <sheetFormatPr defaultRowHeight="15"/>
  <cols>
    <col min="1" max="1" width="23.28515625" style="1394" customWidth="1"/>
    <col min="2" max="5" width="13.7109375" style="41" customWidth="1"/>
    <col min="6" max="6" width="13.28515625" style="41" customWidth="1"/>
    <col min="7" max="7" width="11.5703125" style="41" customWidth="1"/>
    <col min="8" max="8" width="12" style="41" customWidth="1"/>
    <col min="9" max="9" width="12.140625" style="41" customWidth="1"/>
    <col min="10" max="10" width="12.7109375" style="41" customWidth="1"/>
    <col min="11" max="11" width="12.85546875" style="41" customWidth="1"/>
    <col min="12" max="12" width="13.28515625" style="41" customWidth="1"/>
    <col min="13" max="16384" width="9.140625" style="41"/>
  </cols>
  <sheetData>
    <row r="1" spans="1:12" ht="42.75" customHeight="1">
      <c r="A1" s="1984" t="s">
        <v>627</v>
      </c>
      <c r="B1" s="1985"/>
      <c r="C1" s="1985"/>
      <c r="D1" s="1985"/>
      <c r="E1" s="1985"/>
      <c r="F1" s="1986"/>
      <c r="G1" s="1986"/>
      <c r="H1" s="1986"/>
      <c r="I1" s="1986"/>
      <c r="J1" s="1986"/>
      <c r="K1" s="1986"/>
      <c r="L1" s="1986"/>
    </row>
    <row r="2" spans="1:12" ht="15.75" thickBot="1">
      <c r="A2" s="1388"/>
      <c r="B2" s="68"/>
      <c r="C2" s="68"/>
      <c r="D2" s="68"/>
      <c r="E2" s="68"/>
    </row>
    <row r="3" spans="1:12" ht="29.25" thickBot="1">
      <c r="A3" s="1498" t="s">
        <v>2</v>
      </c>
      <c r="B3" s="1497" t="s">
        <v>624</v>
      </c>
      <c r="C3" s="69" t="s">
        <v>232</v>
      </c>
      <c r="D3" s="69" t="s">
        <v>233</v>
      </c>
      <c r="E3" s="69" t="s">
        <v>234</v>
      </c>
      <c r="F3" s="1499" t="s">
        <v>235</v>
      </c>
      <c r="G3" s="1499" t="s">
        <v>625</v>
      </c>
      <c r="H3" s="1499" t="s">
        <v>896</v>
      </c>
      <c r="I3" s="1499" t="s">
        <v>897</v>
      </c>
      <c r="J3" s="1499" t="s">
        <v>898</v>
      </c>
      <c r="K3" s="1499" t="s">
        <v>899</v>
      </c>
      <c r="L3" s="1500" t="s">
        <v>900</v>
      </c>
    </row>
    <row r="4" spans="1:12">
      <c r="A4" s="1389" t="s">
        <v>904</v>
      </c>
      <c r="B4" s="1032">
        <v>2200000</v>
      </c>
      <c r="C4" s="219">
        <v>2017000</v>
      </c>
      <c r="D4" s="219">
        <v>2025000</v>
      </c>
      <c r="E4" s="219">
        <v>2025000</v>
      </c>
      <c r="F4" s="220">
        <v>2025000</v>
      </c>
      <c r="G4" s="220">
        <v>2025000</v>
      </c>
      <c r="H4" s="220"/>
      <c r="I4" s="220"/>
      <c r="J4" s="220"/>
      <c r="K4" s="220"/>
      <c r="L4" s="1025"/>
    </row>
    <row r="5" spans="1:12">
      <c r="A5" s="1390" t="s">
        <v>882</v>
      </c>
      <c r="B5" s="1032">
        <v>2240370</v>
      </c>
      <c r="C5" s="219">
        <v>2017000</v>
      </c>
      <c r="D5" s="219">
        <v>2025000</v>
      </c>
      <c r="E5" s="219">
        <v>2025000</v>
      </c>
      <c r="F5" s="220">
        <v>2100000</v>
      </c>
      <c r="G5" s="220">
        <v>2150000</v>
      </c>
      <c r="H5" s="220">
        <v>2200000</v>
      </c>
      <c r="I5" s="220">
        <v>2250000</v>
      </c>
      <c r="J5" s="220">
        <v>2300000</v>
      </c>
      <c r="K5" s="220">
        <v>2350000</v>
      </c>
      <c r="L5" s="1025">
        <v>2400000</v>
      </c>
    </row>
    <row r="6" spans="1:12" ht="15.75" thickBot="1">
      <c r="A6" s="1355" t="s">
        <v>981</v>
      </c>
      <c r="B6" s="1175">
        <v>2240370</v>
      </c>
      <c r="C6" s="1176">
        <v>2017000</v>
      </c>
      <c r="D6" s="1176">
        <v>2025000</v>
      </c>
      <c r="E6" s="1176">
        <v>2025000</v>
      </c>
      <c r="F6" s="1177">
        <v>2100000</v>
      </c>
      <c r="G6" s="1177">
        <v>2150000</v>
      </c>
      <c r="H6" s="1177">
        <v>2200000</v>
      </c>
      <c r="I6" s="1177">
        <v>2250000</v>
      </c>
      <c r="J6" s="1177">
        <v>2300000</v>
      </c>
      <c r="K6" s="1177">
        <v>2350000</v>
      </c>
      <c r="L6" s="1178">
        <v>2400000</v>
      </c>
    </row>
    <row r="7" spans="1:12" ht="57">
      <c r="A7" s="1389" t="s">
        <v>905</v>
      </c>
      <c r="B7" s="1171"/>
      <c r="C7" s="1172">
        <v>3800</v>
      </c>
      <c r="D7" s="1172">
        <v>3800</v>
      </c>
      <c r="E7" s="1172">
        <v>3800</v>
      </c>
      <c r="F7" s="1173">
        <v>3800</v>
      </c>
      <c r="G7" s="1173">
        <v>3800</v>
      </c>
      <c r="H7" s="1173"/>
      <c r="I7" s="1173"/>
      <c r="J7" s="1173"/>
      <c r="K7" s="1173"/>
      <c r="L7" s="1174"/>
    </row>
    <row r="8" spans="1:12">
      <c r="A8" s="1390" t="s">
        <v>882</v>
      </c>
      <c r="B8" s="1033"/>
      <c r="C8" s="236"/>
      <c r="D8" s="236"/>
      <c r="E8" s="236"/>
      <c r="F8" s="237"/>
      <c r="G8" s="237"/>
      <c r="H8" s="237"/>
      <c r="I8" s="237"/>
      <c r="J8" s="237"/>
      <c r="K8" s="237"/>
      <c r="L8" s="1026"/>
    </row>
    <row r="9" spans="1:12" ht="15.75" thickBot="1">
      <c r="A9" s="1355" t="s">
        <v>981</v>
      </c>
      <c r="B9" s="1179"/>
      <c r="C9" s="1180"/>
      <c r="D9" s="1180"/>
      <c r="E9" s="1180"/>
      <c r="F9" s="178"/>
      <c r="G9" s="178"/>
      <c r="H9" s="178"/>
      <c r="I9" s="178"/>
      <c r="J9" s="178"/>
      <c r="K9" s="178"/>
      <c r="L9" s="1181"/>
    </row>
    <row r="10" spans="1:12" ht="42.75">
      <c r="A10" s="1389" t="s">
        <v>906</v>
      </c>
      <c r="B10" s="1171">
        <f t="shared" ref="B10:L10" si="0">B13+B16+B19+B22</f>
        <v>126738</v>
      </c>
      <c r="C10" s="1172">
        <f t="shared" si="0"/>
        <v>90100</v>
      </c>
      <c r="D10" s="1172">
        <f t="shared" si="0"/>
        <v>89100</v>
      </c>
      <c r="E10" s="1172">
        <f t="shared" si="0"/>
        <v>87800</v>
      </c>
      <c r="F10" s="1172">
        <f t="shared" si="0"/>
        <v>87800</v>
      </c>
      <c r="G10" s="1172">
        <f t="shared" si="0"/>
        <v>87800</v>
      </c>
      <c r="H10" s="1172">
        <f t="shared" si="0"/>
        <v>800</v>
      </c>
      <c r="I10" s="1172">
        <f t="shared" si="0"/>
        <v>800</v>
      </c>
      <c r="J10" s="1172">
        <f t="shared" si="0"/>
        <v>800</v>
      </c>
      <c r="K10" s="1172">
        <f t="shared" si="0"/>
        <v>800</v>
      </c>
      <c r="L10" s="1182">
        <f t="shared" si="0"/>
        <v>800</v>
      </c>
    </row>
    <row r="11" spans="1:12">
      <c r="A11" s="1390" t="s">
        <v>882</v>
      </c>
      <c r="B11" s="1033">
        <f t="shared" ref="B11:L12" si="1">B14+B17+B20+B23</f>
        <v>91780</v>
      </c>
      <c r="C11" s="236">
        <f t="shared" si="1"/>
        <v>80100</v>
      </c>
      <c r="D11" s="236">
        <f t="shared" si="1"/>
        <v>79100</v>
      </c>
      <c r="E11" s="236">
        <f t="shared" si="1"/>
        <v>77800</v>
      </c>
      <c r="F11" s="236">
        <f t="shared" si="1"/>
        <v>77000</v>
      </c>
      <c r="G11" s="236">
        <f t="shared" si="1"/>
        <v>77000</v>
      </c>
      <c r="H11" s="236">
        <f t="shared" si="1"/>
        <v>77000</v>
      </c>
      <c r="I11" s="236">
        <f t="shared" si="1"/>
        <v>77000</v>
      </c>
      <c r="J11" s="236">
        <f t="shared" si="1"/>
        <v>77000</v>
      </c>
      <c r="K11" s="236">
        <f t="shared" si="1"/>
        <v>77000</v>
      </c>
      <c r="L11" s="1027">
        <f t="shared" si="1"/>
        <v>77000</v>
      </c>
    </row>
    <row r="12" spans="1:12" ht="15.75" thickBot="1">
      <c r="A12" s="1355" t="s">
        <v>981</v>
      </c>
      <c r="B12" s="1179">
        <f t="shared" si="1"/>
        <v>91780</v>
      </c>
      <c r="C12" s="1180">
        <f t="shared" si="1"/>
        <v>80100</v>
      </c>
      <c r="D12" s="1180">
        <f t="shared" si="1"/>
        <v>79100</v>
      </c>
      <c r="E12" s="1180">
        <f t="shared" si="1"/>
        <v>77800</v>
      </c>
      <c r="F12" s="1180">
        <f t="shared" si="1"/>
        <v>77000</v>
      </c>
      <c r="G12" s="1180">
        <f t="shared" si="1"/>
        <v>77000</v>
      </c>
      <c r="H12" s="1180">
        <f t="shared" si="1"/>
        <v>77000</v>
      </c>
      <c r="I12" s="1180">
        <f t="shared" si="1"/>
        <v>77000</v>
      </c>
      <c r="J12" s="1180">
        <f t="shared" si="1"/>
        <v>77000</v>
      </c>
      <c r="K12" s="1180">
        <f t="shared" si="1"/>
        <v>77000</v>
      </c>
      <c r="L12" s="1183">
        <f t="shared" si="1"/>
        <v>77000</v>
      </c>
    </row>
    <row r="13" spans="1:12">
      <c r="A13" s="1391" t="s">
        <v>88</v>
      </c>
      <c r="B13" s="1184">
        <v>2000</v>
      </c>
      <c r="C13" s="1185">
        <v>1100</v>
      </c>
      <c r="D13" s="1185">
        <v>1100</v>
      </c>
      <c r="E13" s="1185">
        <v>800</v>
      </c>
      <c r="F13" s="1186">
        <v>800</v>
      </c>
      <c r="G13" s="1186">
        <v>800</v>
      </c>
      <c r="H13" s="1186">
        <v>800</v>
      </c>
      <c r="I13" s="1186">
        <v>800</v>
      </c>
      <c r="J13" s="1186">
        <v>800</v>
      </c>
      <c r="K13" s="1186">
        <v>800</v>
      </c>
      <c r="L13" s="1187">
        <v>800</v>
      </c>
    </row>
    <row r="14" spans="1:12">
      <c r="A14" s="1392" t="s">
        <v>882</v>
      </c>
      <c r="B14" s="1034">
        <v>2000</v>
      </c>
      <c r="C14" s="238">
        <v>1100</v>
      </c>
      <c r="D14" s="238">
        <v>1100</v>
      </c>
      <c r="E14" s="238">
        <v>800</v>
      </c>
      <c r="F14" s="239"/>
      <c r="G14" s="239"/>
      <c r="H14" s="239"/>
      <c r="I14" s="239"/>
      <c r="J14" s="239"/>
      <c r="K14" s="239"/>
      <c r="L14" s="1028"/>
    </row>
    <row r="15" spans="1:12" ht="15.75" thickBot="1">
      <c r="A15" s="1356" t="s">
        <v>981</v>
      </c>
      <c r="B15" s="1188">
        <v>2000</v>
      </c>
      <c r="C15" s="1189">
        <v>1100</v>
      </c>
      <c r="D15" s="1189">
        <v>1100</v>
      </c>
      <c r="E15" s="1189">
        <v>800</v>
      </c>
      <c r="F15" s="1190"/>
      <c r="G15" s="1190"/>
      <c r="H15" s="1190"/>
      <c r="I15" s="1190"/>
      <c r="J15" s="1190"/>
      <c r="K15" s="1190"/>
      <c r="L15" s="1191"/>
    </row>
    <row r="16" spans="1:12" ht="60">
      <c r="A16" s="1391" t="s">
        <v>236</v>
      </c>
      <c r="B16" s="1184">
        <v>34958</v>
      </c>
      <c r="C16" s="1185">
        <v>10000</v>
      </c>
      <c r="D16" s="1185">
        <v>10000</v>
      </c>
      <c r="E16" s="1185">
        <v>10000</v>
      </c>
      <c r="F16" s="1186">
        <v>10000</v>
      </c>
      <c r="G16" s="1186">
        <v>10000</v>
      </c>
      <c r="H16" s="1186"/>
      <c r="I16" s="1186"/>
      <c r="J16" s="1186"/>
      <c r="K16" s="1186"/>
      <c r="L16" s="1187"/>
    </row>
    <row r="17" spans="1:12">
      <c r="A17" s="1392" t="s">
        <v>882</v>
      </c>
      <c r="B17" s="1034"/>
      <c r="C17" s="238"/>
      <c r="D17" s="238"/>
      <c r="E17" s="238"/>
      <c r="F17" s="239"/>
      <c r="G17" s="239"/>
      <c r="H17" s="239"/>
      <c r="I17" s="239"/>
      <c r="J17" s="239"/>
      <c r="K17" s="239"/>
      <c r="L17" s="1028"/>
    </row>
    <row r="18" spans="1:12" ht="15.75" thickBot="1">
      <c r="A18" s="1356" t="s">
        <v>981</v>
      </c>
      <c r="B18" s="1188"/>
      <c r="C18" s="1189"/>
      <c r="D18" s="1189"/>
      <c r="E18" s="1189"/>
      <c r="F18" s="1190"/>
      <c r="G18" s="1190"/>
      <c r="H18" s="1190"/>
      <c r="I18" s="1190"/>
      <c r="J18" s="1190"/>
      <c r="K18" s="1190"/>
      <c r="L18" s="1191"/>
    </row>
    <row r="19" spans="1:12" ht="60">
      <c r="A19" s="1391" t="s">
        <v>237</v>
      </c>
      <c r="B19" s="1184">
        <v>81780</v>
      </c>
      <c r="C19" s="1185">
        <v>69000</v>
      </c>
      <c r="D19" s="1185">
        <v>68000</v>
      </c>
      <c r="E19" s="1185">
        <v>67000</v>
      </c>
      <c r="F19" s="1186">
        <v>67000</v>
      </c>
      <c r="G19" s="1186">
        <v>67000</v>
      </c>
      <c r="H19" s="1186"/>
      <c r="I19" s="1186"/>
      <c r="J19" s="1186"/>
      <c r="K19" s="1186"/>
      <c r="L19" s="1187"/>
    </row>
    <row r="20" spans="1:12">
      <c r="A20" s="1392" t="s">
        <v>882</v>
      </c>
      <c r="B20" s="1034">
        <v>81780</v>
      </c>
      <c r="C20" s="238">
        <v>69000</v>
      </c>
      <c r="D20" s="238">
        <v>68000</v>
      </c>
      <c r="E20" s="238">
        <v>67000</v>
      </c>
      <c r="F20" s="239">
        <v>67000</v>
      </c>
      <c r="G20" s="239">
        <v>67000</v>
      </c>
      <c r="H20" s="239">
        <v>67000</v>
      </c>
      <c r="I20" s="239">
        <v>67000</v>
      </c>
      <c r="J20" s="239">
        <v>67000</v>
      </c>
      <c r="K20" s="239">
        <v>67000</v>
      </c>
      <c r="L20" s="1028">
        <v>67000</v>
      </c>
    </row>
    <row r="21" spans="1:12" ht="15.75" thickBot="1">
      <c r="A21" s="1356" t="s">
        <v>981</v>
      </c>
      <c r="B21" s="1034">
        <v>81780</v>
      </c>
      <c r="C21" s="238">
        <v>69000</v>
      </c>
      <c r="D21" s="238">
        <v>68000</v>
      </c>
      <c r="E21" s="238">
        <v>67000</v>
      </c>
      <c r="F21" s="239">
        <v>67000</v>
      </c>
      <c r="G21" s="239">
        <v>67000</v>
      </c>
      <c r="H21" s="239">
        <v>67000</v>
      </c>
      <c r="I21" s="239">
        <v>67000</v>
      </c>
      <c r="J21" s="239">
        <v>67000</v>
      </c>
      <c r="K21" s="239">
        <v>67000</v>
      </c>
      <c r="L21" s="1028">
        <v>67000</v>
      </c>
    </row>
    <row r="22" spans="1:12">
      <c r="A22" s="1391" t="s">
        <v>238</v>
      </c>
      <c r="B22" s="1184">
        <v>8000</v>
      </c>
      <c r="C22" s="1185">
        <v>10000</v>
      </c>
      <c r="D22" s="1185">
        <v>10000</v>
      </c>
      <c r="E22" s="1185">
        <v>10000</v>
      </c>
      <c r="F22" s="1186">
        <v>10000</v>
      </c>
      <c r="G22" s="1186">
        <v>10000</v>
      </c>
      <c r="H22" s="1186"/>
      <c r="I22" s="1186"/>
      <c r="J22" s="1186"/>
      <c r="K22" s="1186"/>
      <c r="L22" s="1187"/>
    </row>
    <row r="23" spans="1:12">
      <c r="A23" s="1392" t="s">
        <v>882</v>
      </c>
      <c r="B23" s="1034">
        <v>8000</v>
      </c>
      <c r="C23" s="238">
        <v>10000</v>
      </c>
      <c r="D23" s="238">
        <v>10000</v>
      </c>
      <c r="E23" s="238">
        <v>10000</v>
      </c>
      <c r="F23" s="239">
        <v>10000</v>
      </c>
      <c r="G23" s="239">
        <v>10000</v>
      </c>
      <c r="H23" s="239">
        <v>10000</v>
      </c>
      <c r="I23" s="239">
        <v>10000</v>
      </c>
      <c r="J23" s="239">
        <v>10000</v>
      </c>
      <c r="K23" s="239">
        <v>10000</v>
      </c>
      <c r="L23" s="1028">
        <v>10000</v>
      </c>
    </row>
    <row r="24" spans="1:12" ht="15.75" thickBot="1">
      <c r="A24" s="1356" t="s">
        <v>981</v>
      </c>
      <c r="B24" s="1034">
        <v>8000</v>
      </c>
      <c r="C24" s="238">
        <v>10000</v>
      </c>
      <c r="D24" s="238">
        <v>10000</v>
      </c>
      <c r="E24" s="238">
        <v>10000</v>
      </c>
      <c r="F24" s="239">
        <v>10000</v>
      </c>
      <c r="G24" s="239">
        <v>10000</v>
      </c>
      <c r="H24" s="239">
        <v>10000</v>
      </c>
      <c r="I24" s="239">
        <v>10000</v>
      </c>
      <c r="J24" s="239">
        <v>10000</v>
      </c>
      <c r="K24" s="239">
        <v>10000</v>
      </c>
      <c r="L24" s="1028">
        <v>10000</v>
      </c>
    </row>
    <row r="25" spans="1:12" ht="99.75">
      <c r="A25" s="1389" t="s">
        <v>239</v>
      </c>
      <c r="B25" s="1171">
        <v>1467214</v>
      </c>
      <c r="C25" s="1172">
        <v>67000</v>
      </c>
      <c r="D25" s="1172">
        <v>66000</v>
      </c>
      <c r="E25" s="1172">
        <v>66000</v>
      </c>
      <c r="F25" s="1173">
        <v>66000</v>
      </c>
      <c r="G25" s="1173">
        <v>66000</v>
      </c>
      <c r="H25" s="1173"/>
      <c r="I25" s="1173"/>
      <c r="J25" s="1173"/>
      <c r="K25" s="1173"/>
      <c r="L25" s="1174"/>
    </row>
    <row r="26" spans="1:12">
      <c r="A26" s="1390" t="s">
        <v>882</v>
      </c>
      <c r="B26" s="1033">
        <v>1492209</v>
      </c>
      <c r="C26" s="236">
        <v>67000</v>
      </c>
      <c r="D26" s="236">
        <v>66000</v>
      </c>
      <c r="E26" s="236">
        <v>66000</v>
      </c>
      <c r="F26" s="237">
        <v>66000</v>
      </c>
      <c r="G26" s="237">
        <v>66000</v>
      </c>
      <c r="H26" s="237">
        <v>66000</v>
      </c>
      <c r="I26" s="237">
        <v>66000</v>
      </c>
      <c r="J26" s="237">
        <v>66000</v>
      </c>
      <c r="K26" s="237">
        <v>66000</v>
      </c>
      <c r="L26" s="1026">
        <v>66000</v>
      </c>
    </row>
    <row r="27" spans="1:12" ht="15.75" thickBot="1">
      <c r="A27" s="1355" t="s">
        <v>981</v>
      </c>
      <c r="B27" s="1033">
        <v>1492209</v>
      </c>
      <c r="C27" s="236">
        <v>67000</v>
      </c>
      <c r="D27" s="236">
        <v>66000</v>
      </c>
      <c r="E27" s="236">
        <v>66000</v>
      </c>
      <c r="F27" s="237">
        <v>66000</v>
      </c>
      <c r="G27" s="237">
        <v>66000</v>
      </c>
      <c r="H27" s="237">
        <v>66000</v>
      </c>
      <c r="I27" s="237">
        <v>66000</v>
      </c>
      <c r="J27" s="237">
        <v>66000</v>
      </c>
      <c r="K27" s="237">
        <v>66000</v>
      </c>
      <c r="L27" s="1026">
        <v>66000</v>
      </c>
    </row>
    <row r="28" spans="1:12">
      <c r="A28" s="1389" t="s">
        <v>240</v>
      </c>
      <c r="B28" s="1171">
        <f t="shared" ref="B28:G28" si="2">B4+B10+B7+B25</f>
        <v>3793952</v>
      </c>
      <c r="C28" s="1172">
        <f t="shared" si="2"/>
        <v>2177900</v>
      </c>
      <c r="D28" s="1172">
        <f t="shared" si="2"/>
        <v>2183900</v>
      </c>
      <c r="E28" s="1172">
        <f t="shared" si="2"/>
        <v>2182600</v>
      </c>
      <c r="F28" s="1172">
        <f t="shared" si="2"/>
        <v>2182600</v>
      </c>
      <c r="G28" s="1172">
        <f t="shared" si="2"/>
        <v>2182600</v>
      </c>
      <c r="H28" s="1172">
        <f>H4+H7+H10+H25</f>
        <v>800</v>
      </c>
      <c r="I28" s="1172">
        <f t="shared" ref="I28:L30" si="3">I4+I10+I7+I25</f>
        <v>800</v>
      </c>
      <c r="J28" s="1172">
        <f t="shared" si="3"/>
        <v>800</v>
      </c>
      <c r="K28" s="1172">
        <f t="shared" si="3"/>
        <v>800</v>
      </c>
      <c r="L28" s="1182">
        <f t="shared" si="3"/>
        <v>800</v>
      </c>
    </row>
    <row r="29" spans="1:12">
      <c r="A29" s="1390" t="s">
        <v>882</v>
      </c>
      <c r="B29" s="1033">
        <f t="shared" ref="B29:G30" si="4">B5+B11+B8+B26</f>
        <v>3824359</v>
      </c>
      <c r="C29" s="236">
        <f t="shared" si="4"/>
        <v>2164100</v>
      </c>
      <c r="D29" s="236">
        <f t="shared" si="4"/>
        <v>2170100</v>
      </c>
      <c r="E29" s="236">
        <f t="shared" si="4"/>
        <v>2168800</v>
      </c>
      <c r="F29" s="236">
        <f t="shared" si="4"/>
        <v>2243000</v>
      </c>
      <c r="G29" s="236">
        <f t="shared" si="4"/>
        <v>2293000</v>
      </c>
      <c r="H29" s="236">
        <f>H5+H8+H11+H26</f>
        <v>2343000</v>
      </c>
      <c r="I29" s="236">
        <f t="shared" si="3"/>
        <v>2393000</v>
      </c>
      <c r="J29" s="236">
        <f t="shared" si="3"/>
        <v>2443000</v>
      </c>
      <c r="K29" s="236">
        <f t="shared" si="3"/>
        <v>2493000</v>
      </c>
      <c r="L29" s="1027">
        <f t="shared" si="3"/>
        <v>2543000</v>
      </c>
    </row>
    <row r="30" spans="1:12" ht="15.75" thickBot="1">
      <c r="A30" s="1355" t="s">
        <v>981</v>
      </c>
      <c r="B30" s="1179">
        <f t="shared" si="4"/>
        <v>3824359</v>
      </c>
      <c r="C30" s="1180">
        <f t="shared" si="4"/>
        <v>2164100</v>
      </c>
      <c r="D30" s="1180">
        <f t="shared" si="4"/>
        <v>2170100</v>
      </c>
      <c r="E30" s="1180">
        <f t="shared" si="4"/>
        <v>2168800</v>
      </c>
      <c r="F30" s="1180">
        <f t="shared" si="4"/>
        <v>2243000</v>
      </c>
      <c r="G30" s="1180">
        <f t="shared" si="4"/>
        <v>2293000</v>
      </c>
      <c r="H30" s="1180">
        <f>H6+H9+H12+H27</f>
        <v>2343000</v>
      </c>
      <c r="I30" s="1180">
        <f t="shared" si="3"/>
        <v>2393000</v>
      </c>
      <c r="J30" s="1180">
        <f t="shared" si="3"/>
        <v>2443000</v>
      </c>
      <c r="K30" s="1180">
        <f t="shared" si="3"/>
        <v>2493000</v>
      </c>
      <c r="L30" s="1183">
        <f t="shared" si="3"/>
        <v>2543000</v>
      </c>
    </row>
    <row r="31" spans="1:12">
      <c r="A31" s="1389" t="s">
        <v>241</v>
      </c>
      <c r="B31" s="1171">
        <f t="shared" ref="B31:L31" si="5">B28/2</f>
        <v>1896976</v>
      </c>
      <c r="C31" s="1172">
        <f t="shared" si="5"/>
        <v>1088950</v>
      </c>
      <c r="D31" s="1172">
        <f t="shared" si="5"/>
        <v>1091950</v>
      </c>
      <c r="E31" s="1172">
        <f t="shared" si="5"/>
        <v>1091300</v>
      </c>
      <c r="F31" s="1172">
        <f t="shared" si="5"/>
        <v>1091300</v>
      </c>
      <c r="G31" s="1172">
        <f t="shared" si="5"/>
        <v>1091300</v>
      </c>
      <c r="H31" s="1172">
        <f t="shared" si="5"/>
        <v>400</v>
      </c>
      <c r="I31" s="1172">
        <f t="shared" si="5"/>
        <v>400</v>
      </c>
      <c r="J31" s="1172">
        <f t="shared" si="5"/>
        <v>400</v>
      </c>
      <c r="K31" s="1172">
        <f t="shared" si="5"/>
        <v>400</v>
      </c>
      <c r="L31" s="1182">
        <f t="shared" si="5"/>
        <v>400</v>
      </c>
    </row>
    <row r="32" spans="1:12">
      <c r="A32" s="1390" t="s">
        <v>882</v>
      </c>
      <c r="B32" s="1033">
        <f>B29/2</f>
        <v>1912179.5</v>
      </c>
      <c r="C32" s="236">
        <f t="shared" ref="C32:K33" si="6">C29/2</f>
        <v>1082050</v>
      </c>
      <c r="D32" s="236">
        <f t="shared" si="6"/>
        <v>1085050</v>
      </c>
      <c r="E32" s="236">
        <f t="shared" si="6"/>
        <v>1084400</v>
      </c>
      <c r="F32" s="236">
        <f t="shared" si="6"/>
        <v>1121500</v>
      </c>
      <c r="G32" s="236">
        <f t="shared" si="6"/>
        <v>1146500</v>
      </c>
      <c r="H32" s="236">
        <f t="shared" si="6"/>
        <v>1171500</v>
      </c>
      <c r="I32" s="236">
        <f t="shared" si="6"/>
        <v>1196500</v>
      </c>
      <c r="J32" s="236">
        <f t="shared" si="6"/>
        <v>1221500</v>
      </c>
      <c r="K32" s="236">
        <f t="shared" si="6"/>
        <v>1246500</v>
      </c>
      <c r="L32" s="1027">
        <f>L29/2</f>
        <v>1271500</v>
      </c>
    </row>
    <row r="33" spans="1:12" ht="15.75" thickBot="1">
      <c r="A33" s="1355" t="s">
        <v>981</v>
      </c>
      <c r="B33" s="1179">
        <f>B30/2</f>
        <v>1912179.5</v>
      </c>
      <c r="C33" s="1180">
        <f t="shared" si="6"/>
        <v>1082050</v>
      </c>
      <c r="D33" s="1180">
        <f t="shared" si="6"/>
        <v>1085050</v>
      </c>
      <c r="E33" s="1180">
        <f t="shared" si="6"/>
        <v>1084400</v>
      </c>
      <c r="F33" s="1180">
        <f t="shared" si="6"/>
        <v>1121500</v>
      </c>
      <c r="G33" s="1180">
        <f t="shared" si="6"/>
        <v>1146500</v>
      </c>
      <c r="H33" s="1180">
        <f t="shared" si="6"/>
        <v>1171500</v>
      </c>
      <c r="I33" s="1180">
        <f t="shared" si="6"/>
        <v>1196500</v>
      </c>
      <c r="J33" s="1180">
        <f t="shared" si="6"/>
        <v>1221500</v>
      </c>
      <c r="K33" s="1180">
        <f t="shared" si="6"/>
        <v>1246500</v>
      </c>
      <c r="L33" s="1183">
        <f>L30/2</f>
        <v>1271500</v>
      </c>
    </row>
    <row r="34" spans="1:12" ht="57">
      <c r="A34" s="1389" t="s">
        <v>242</v>
      </c>
      <c r="B34" s="1171">
        <f>B37</f>
        <v>157416</v>
      </c>
      <c r="C34" s="1172">
        <f>C37</f>
        <v>101546</v>
      </c>
      <c r="D34" s="1172">
        <f>D37</f>
        <v>74313</v>
      </c>
      <c r="E34" s="1172">
        <f>E37</f>
        <v>73516</v>
      </c>
      <c r="F34" s="1173">
        <v>72718</v>
      </c>
      <c r="G34" s="1173">
        <v>72350</v>
      </c>
      <c r="H34" s="1173">
        <f>H37</f>
        <v>0</v>
      </c>
      <c r="I34" s="1173">
        <f>I37</f>
        <v>0</v>
      </c>
      <c r="J34" s="1173">
        <f>J37</f>
        <v>0</v>
      </c>
      <c r="K34" s="1173">
        <f>K37</f>
        <v>0</v>
      </c>
      <c r="L34" s="1174">
        <f>L37</f>
        <v>0</v>
      </c>
    </row>
    <row r="35" spans="1:12">
      <c r="A35" s="1390" t="s">
        <v>882</v>
      </c>
      <c r="B35" s="1033">
        <f>B38</f>
        <v>157416</v>
      </c>
      <c r="C35" s="236">
        <f t="shared" ref="C35:E36" si="7">C38</f>
        <v>101546</v>
      </c>
      <c r="D35" s="236">
        <f t="shared" si="7"/>
        <v>74313</v>
      </c>
      <c r="E35" s="236">
        <f t="shared" si="7"/>
        <v>73516</v>
      </c>
      <c r="F35" s="237">
        <v>72718</v>
      </c>
      <c r="G35" s="237">
        <v>72350</v>
      </c>
      <c r="H35" s="239">
        <f t="shared" ref="H35:L36" si="8">H38</f>
        <v>0</v>
      </c>
      <c r="I35" s="239">
        <f t="shared" si="8"/>
        <v>0</v>
      </c>
      <c r="J35" s="239">
        <f t="shared" si="8"/>
        <v>0</v>
      </c>
      <c r="K35" s="239">
        <f t="shared" si="8"/>
        <v>0</v>
      </c>
      <c r="L35" s="1028">
        <f t="shared" si="8"/>
        <v>0</v>
      </c>
    </row>
    <row r="36" spans="1:12" ht="15.75" thickBot="1">
      <c r="A36" s="1355" t="s">
        <v>981</v>
      </c>
      <c r="B36" s="1179">
        <f>B39</f>
        <v>157416</v>
      </c>
      <c r="C36" s="1180">
        <f t="shared" si="7"/>
        <v>101546</v>
      </c>
      <c r="D36" s="1180">
        <f t="shared" si="7"/>
        <v>74313</v>
      </c>
      <c r="E36" s="1180">
        <f t="shared" si="7"/>
        <v>73516</v>
      </c>
      <c r="F36" s="178">
        <v>72718</v>
      </c>
      <c r="G36" s="178">
        <v>72350</v>
      </c>
      <c r="H36" s="1190">
        <f t="shared" si="8"/>
        <v>0</v>
      </c>
      <c r="I36" s="1190">
        <f t="shared" si="8"/>
        <v>0</v>
      </c>
      <c r="J36" s="1190">
        <f t="shared" si="8"/>
        <v>0</v>
      </c>
      <c r="K36" s="1190">
        <f t="shared" si="8"/>
        <v>0</v>
      </c>
      <c r="L36" s="1191">
        <f t="shared" si="8"/>
        <v>0</v>
      </c>
    </row>
    <row r="37" spans="1:12" ht="45">
      <c r="A37" s="1391" t="s">
        <v>243</v>
      </c>
      <c r="B37" s="1184">
        <v>157416</v>
      </c>
      <c r="C37" s="1185">
        <v>101546</v>
      </c>
      <c r="D37" s="1185">
        <v>74313</v>
      </c>
      <c r="E37" s="1185">
        <v>73516</v>
      </c>
      <c r="F37" s="1186">
        <v>72718</v>
      </c>
      <c r="G37" s="1186">
        <v>72350</v>
      </c>
      <c r="H37" s="1186">
        <v>0</v>
      </c>
      <c r="I37" s="1186">
        <v>0</v>
      </c>
      <c r="J37" s="1186">
        <v>0</v>
      </c>
      <c r="K37" s="1186">
        <v>0</v>
      </c>
      <c r="L37" s="1187">
        <v>0</v>
      </c>
    </row>
    <row r="38" spans="1:12">
      <c r="A38" s="1392" t="s">
        <v>882</v>
      </c>
      <c r="B38" s="1034">
        <v>157416</v>
      </c>
      <c r="C38" s="238">
        <v>101546</v>
      </c>
      <c r="D38" s="238">
        <v>74313</v>
      </c>
      <c r="E38" s="238">
        <v>73516</v>
      </c>
      <c r="F38" s="239">
        <v>72718</v>
      </c>
      <c r="G38" s="239">
        <v>72350</v>
      </c>
      <c r="H38" s="239">
        <v>0</v>
      </c>
      <c r="I38" s="239">
        <v>0</v>
      </c>
      <c r="J38" s="239">
        <v>0</v>
      </c>
      <c r="K38" s="239">
        <v>0</v>
      </c>
      <c r="L38" s="1028">
        <v>0</v>
      </c>
    </row>
    <row r="39" spans="1:12" ht="15.75" thickBot="1">
      <c r="A39" s="1356" t="s">
        <v>981</v>
      </c>
      <c r="B39" s="1188">
        <v>157416</v>
      </c>
      <c r="C39" s="1189">
        <v>101546</v>
      </c>
      <c r="D39" s="1189">
        <v>74313</v>
      </c>
      <c r="E39" s="1189">
        <v>73516</v>
      </c>
      <c r="F39" s="1190">
        <v>72718</v>
      </c>
      <c r="G39" s="1190">
        <v>72350</v>
      </c>
      <c r="H39" s="1190">
        <v>0</v>
      </c>
      <c r="I39" s="1190">
        <v>0</v>
      </c>
      <c r="J39" s="1190">
        <v>0</v>
      </c>
      <c r="K39" s="1190">
        <v>0</v>
      </c>
      <c r="L39" s="1191">
        <v>0</v>
      </c>
    </row>
    <row r="40" spans="1:12" ht="71.25">
      <c r="A40" s="1389" t="s">
        <v>244</v>
      </c>
      <c r="B40" s="1171">
        <v>0</v>
      </c>
      <c r="C40" s="1172">
        <v>0</v>
      </c>
      <c r="D40" s="1172">
        <v>0</v>
      </c>
      <c r="E40" s="1172">
        <v>0</v>
      </c>
      <c r="F40" s="1186">
        <v>0</v>
      </c>
      <c r="G40" s="1186">
        <v>0</v>
      </c>
      <c r="H40" s="1186"/>
      <c r="I40" s="1186"/>
      <c r="J40" s="1186"/>
      <c r="K40" s="1186"/>
      <c r="L40" s="1187"/>
    </row>
    <row r="41" spans="1:12">
      <c r="A41" s="1390" t="s">
        <v>882</v>
      </c>
      <c r="B41" s="1033">
        <v>17402</v>
      </c>
      <c r="C41" s="236">
        <v>19516</v>
      </c>
      <c r="D41" s="236">
        <v>19478</v>
      </c>
      <c r="E41" s="236">
        <v>19478</v>
      </c>
      <c r="F41" s="239">
        <v>19478</v>
      </c>
      <c r="G41" s="239">
        <v>19516</v>
      </c>
      <c r="H41" s="239">
        <v>121283</v>
      </c>
      <c r="I41" s="239">
        <v>118474</v>
      </c>
      <c r="J41" s="239">
        <v>115665</v>
      </c>
      <c r="K41" s="239">
        <v>112872</v>
      </c>
      <c r="L41" s="1028">
        <v>110047</v>
      </c>
    </row>
    <row r="42" spans="1:12" ht="15.75" thickBot="1">
      <c r="A42" s="1355" t="s">
        <v>981</v>
      </c>
      <c r="B42" s="1179">
        <v>17402</v>
      </c>
      <c r="C42" s="1180">
        <v>19516</v>
      </c>
      <c r="D42" s="1180">
        <v>19478</v>
      </c>
      <c r="E42" s="1180">
        <v>19478</v>
      </c>
      <c r="F42" s="178">
        <v>19478</v>
      </c>
      <c r="G42" s="178">
        <v>19516</v>
      </c>
      <c r="H42" s="178">
        <v>121283</v>
      </c>
      <c r="I42" s="178">
        <v>118474</v>
      </c>
      <c r="J42" s="178">
        <v>115665</v>
      </c>
      <c r="K42" s="178">
        <v>112872</v>
      </c>
      <c r="L42" s="1181">
        <v>110047</v>
      </c>
    </row>
    <row r="43" spans="1:12" ht="42.75">
      <c r="A43" s="1389" t="s">
        <v>245</v>
      </c>
      <c r="B43" s="1171">
        <f t="shared" ref="B43:L43" si="9">B34+B40</f>
        <v>157416</v>
      </c>
      <c r="C43" s="1172">
        <f t="shared" si="9"/>
        <v>101546</v>
      </c>
      <c r="D43" s="1172">
        <f t="shared" si="9"/>
        <v>74313</v>
      </c>
      <c r="E43" s="1172">
        <f t="shared" si="9"/>
        <v>73516</v>
      </c>
      <c r="F43" s="1172">
        <f t="shared" si="9"/>
        <v>72718</v>
      </c>
      <c r="G43" s="1172">
        <f t="shared" si="9"/>
        <v>72350</v>
      </c>
      <c r="H43" s="1172">
        <f t="shared" si="9"/>
        <v>0</v>
      </c>
      <c r="I43" s="1172">
        <f t="shared" si="9"/>
        <v>0</v>
      </c>
      <c r="J43" s="1172">
        <f t="shared" si="9"/>
        <v>0</v>
      </c>
      <c r="K43" s="1172">
        <f t="shared" si="9"/>
        <v>0</v>
      </c>
      <c r="L43" s="1182">
        <f t="shared" si="9"/>
        <v>0</v>
      </c>
    </row>
    <row r="44" spans="1:12">
      <c r="A44" s="1390" t="s">
        <v>882</v>
      </c>
      <c r="B44" s="1033">
        <f t="shared" ref="B44:L45" si="10">B35+B41</f>
        <v>174818</v>
      </c>
      <c r="C44" s="236">
        <f t="shared" si="10"/>
        <v>121062</v>
      </c>
      <c r="D44" s="236">
        <f t="shared" si="10"/>
        <v>93791</v>
      </c>
      <c r="E44" s="236">
        <f t="shared" si="10"/>
        <v>92994</v>
      </c>
      <c r="F44" s="236">
        <f t="shared" si="10"/>
        <v>92196</v>
      </c>
      <c r="G44" s="236">
        <f t="shared" si="10"/>
        <v>91866</v>
      </c>
      <c r="H44" s="236">
        <f t="shared" si="10"/>
        <v>121283</v>
      </c>
      <c r="I44" s="236">
        <f t="shared" si="10"/>
        <v>118474</v>
      </c>
      <c r="J44" s="236">
        <f t="shared" si="10"/>
        <v>115665</v>
      </c>
      <c r="K44" s="236">
        <f t="shared" si="10"/>
        <v>112872</v>
      </c>
      <c r="L44" s="1027">
        <f t="shared" si="10"/>
        <v>110047</v>
      </c>
    </row>
    <row r="45" spans="1:12" ht="15.75" thickBot="1">
      <c r="A45" s="1355" t="s">
        <v>981</v>
      </c>
      <c r="B45" s="1179">
        <f t="shared" si="10"/>
        <v>174818</v>
      </c>
      <c r="C45" s="1180">
        <f t="shared" si="10"/>
        <v>121062</v>
      </c>
      <c r="D45" s="1180">
        <f t="shared" si="10"/>
        <v>93791</v>
      </c>
      <c r="E45" s="1180">
        <f t="shared" si="10"/>
        <v>92994</v>
      </c>
      <c r="F45" s="1180">
        <f t="shared" si="10"/>
        <v>92196</v>
      </c>
      <c r="G45" s="1180">
        <f t="shared" si="10"/>
        <v>91866</v>
      </c>
      <c r="H45" s="1180">
        <f t="shared" si="10"/>
        <v>121283</v>
      </c>
      <c r="I45" s="1180">
        <f t="shared" si="10"/>
        <v>118474</v>
      </c>
      <c r="J45" s="1180">
        <f t="shared" si="10"/>
        <v>115665</v>
      </c>
      <c r="K45" s="1180">
        <f t="shared" si="10"/>
        <v>112872</v>
      </c>
      <c r="L45" s="1183">
        <f t="shared" si="10"/>
        <v>110047</v>
      </c>
    </row>
    <row r="46" spans="1:12" ht="42.75">
      <c r="A46" s="1390" t="s">
        <v>246</v>
      </c>
      <c r="B46" s="1192">
        <f t="shared" ref="B46:L46" si="11">B31-B43</f>
        <v>1739560</v>
      </c>
      <c r="C46" s="1193">
        <f t="shared" si="11"/>
        <v>987404</v>
      </c>
      <c r="D46" s="1193">
        <f t="shared" si="11"/>
        <v>1017637</v>
      </c>
      <c r="E46" s="1193">
        <f t="shared" si="11"/>
        <v>1017784</v>
      </c>
      <c r="F46" s="1193">
        <f t="shared" si="11"/>
        <v>1018582</v>
      </c>
      <c r="G46" s="1193">
        <f t="shared" si="11"/>
        <v>1018950</v>
      </c>
      <c r="H46" s="1193">
        <f t="shared" si="11"/>
        <v>400</v>
      </c>
      <c r="I46" s="1193">
        <f t="shared" si="11"/>
        <v>400</v>
      </c>
      <c r="J46" s="1193">
        <f t="shared" si="11"/>
        <v>400</v>
      </c>
      <c r="K46" s="1193">
        <f t="shared" si="11"/>
        <v>400</v>
      </c>
      <c r="L46" s="1194">
        <f t="shared" si="11"/>
        <v>400</v>
      </c>
    </row>
    <row r="47" spans="1:12">
      <c r="A47" s="1390" t="s">
        <v>882</v>
      </c>
      <c r="B47" s="1035">
        <f t="shared" ref="B47:L48" si="12">B32-B44</f>
        <v>1737361.5</v>
      </c>
      <c r="C47" s="1029">
        <f t="shared" si="12"/>
        <v>960988</v>
      </c>
      <c r="D47" s="1029">
        <f t="shared" si="12"/>
        <v>991259</v>
      </c>
      <c r="E47" s="1029">
        <f t="shared" si="12"/>
        <v>991406</v>
      </c>
      <c r="F47" s="1029">
        <f t="shared" si="12"/>
        <v>1029304</v>
      </c>
      <c r="G47" s="1029">
        <f t="shared" si="12"/>
        <v>1054634</v>
      </c>
      <c r="H47" s="1029">
        <f t="shared" si="12"/>
        <v>1050217</v>
      </c>
      <c r="I47" s="1029">
        <f t="shared" si="12"/>
        <v>1078026</v>
      </c>
      <c r="J47" s="1029">
        <f t="shared" si="12"/>
        <v>1105835</v>
      </c>
      <c r="K47" s="1029">
        <f t="shared" si="12"/>
        <v>1133628</v>
      </c>
      <c r="L47" s="1030">
        <f t="shared" si="12"/>
        <v>1161453</v>
      </c>
    </row>
    <row r="48" spans="1:12" ht="15.75" thickBot="1">
      <c r="A48" s="1393" t="s">
        <v>981</v>
      </c>
      <c r="B48" s="1036">
        <f t="shared" si="12"/>
        <v>1737361.5</v>
      </c>
      <c r="C48" s="218">
        <f t="shared" si="12"/>
        <v>960988</v>
      </c>
      <c r="D48" s="218">
        <f t="shared" si="12"/>
        <v>991259</v>
      </c>
      <c r="E48" s="218">
        <f t="shared" si="12"/>
        <v>991406</v>
      </c>
      <c r="F48" s="218">
        <f t="shared" si="12"/>
        <v>1029304</v>
      </c>
      <c r="G48" s="218">
        <f t="shared" si="12"/>
        <v>1054634</v>
      </c>
      <c r="H48" s="218">
        <f t="shared" si="12"/>
        <v>1050217</v>
      </c>
      <c r="I48" s="218">
        <f t="shared" si="12"/>
        <v>1078026</v>
      </c>
      <c r="J48" s="218">
        <f t="shared" si="12"/>
        <v>1105835</v>
      </c>
      <c r="K48" s="218">
        <f t="shared" si="12"/>
        <v>1133628</v>
      </c>
      <c r="L48" s="1031">
        <f t="shared" si="12"/>
        <v>1161453</v>
      </c>
    </row>
  </sheetData>
  <mergeCells count="1">
    <mergeCell ref="A1:L1"/>
  </mergeCells>
  <pageMargins left="0.70866141732283472" right="0.70866141732283472" top="0.74803149606299213" bottom="0.74803149606299213" header="0.31496062992125984" footer="0.31496062992125984"/>
  <pageSetup paperSize="9" scale="52" orientation="portrait" r:id="rId1"/>
  <headerFooter>
    <oddHeader>&amp;L&amp;"Times New Roman,Normál"13. melléklet 1, 2, 3</oddHeader>
    <oddFooter>&amp;L1. Mód.: 3/2019 (II.27.) önk. rend. 2.§. Hat.: 2019.03.01. napjától
2. Mód.: 9/2019 (IV.24.) önk. rend. 2.§ Hat.: 2019.04.25. napjától
3. Mód.: 18/2019 (IX.11.) önk. rend. 2.§ Hat.:2019.09.12. napjától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Layout" topLeftCell="A10" zoomScaleNormal="100" workbookViewId="0">
      <selection sqref="A1:D1"/>
    </sheetView>
  </sheetViews>
  <sheetFormatPr defaultRowHeight="15"/>
  <cols>
    <col min="1" max="1" width="50.85546875" style="1676" customWidth="1"/>
    <col min="2" max="2" width="12.140625" customWidth="1"/>
    <col min="3" max="4" width="14" bestFit="1" customWidth="1"/>
    <col min="5" max="5" width="17.5703125" customWidth="1"/>
    <col min="6" max="6" width="19.5703125" customWidth="1"/>
    <col min="7" max="7" width="21.5703125" customWidth="1"/>
    <col min="8" max="8" width="15.140625" customWidth="1"/>
    <col min="9" max="9" width="17" customWidth="1"/>
  </cols>
  <sheetData>
    <row r="1" spans="1:11" ht="34.5" customHeight="1">
      <c r="A1" s="1987" t="s">
        <v>628</v>
      </c>
      <c r="B1" s="1987"/>
      <c r="C1" s="1987"/>
      <c r="D1" s="1987"/>
    </row>
    <row r="2" spans="1:11" ht="15.75" thickBot="1"/>
    <row r="3" spans="1:11" ht="15.75" thickBot="1">
      <c r="A3" s="920" t="s">
        <v>2</v>
      </c>
      <c r="B3" s="1674" t="s">
        <v>3</v>
      </c>
      <c r="C3" s="1675" t="s">
        <v>882</v>
      </c>
      <c r="D3" s="1262" t="s">
        <v>981</v>
      </c>
      <c r="E3" s="1197"/>
      <c r="F3" s="1197"/>
      <c r="G3" s="1197"/>
      <c r="H3" s="1197"/>
      <c r="I3" s="1197"/>
      <c r="J3" s="1197"/>
      <c r="K3" s="1197"/>
    </row>
    <row r="4" spans="1:11" ht="28.5">
      <c r="A4" s="1677" t="s">
        <v>675</v>
      </c>
      <c r="B4" s="1671">
        <v>8551</v>
      </c>
      <c r="C4" s="1672">
        <v>0</v>
      </c>
      <c r="D4" s="1673">
        <v>0</v>
      </c>
      <c r="E4" s="1197"/>
      <c r="F4" s="1197"/>
      <c r="G4" s="1197"/>
      <c r="H4" s="1197"/>
      <c r="I4" s="1197"/>
      <c r="J4" s="1197"/>
      <c r="K4" s="1197"/>
    </row>
    <row r="5" spans="1:11" ht="28.5">
      <c r="A5" s="1678" t="s">
        <v>688</v>
      </c>
      <c r="B5" s="913">
        <v>4914</v>
      </c>
      <c r="C5" s="911">
        <v>0</v>
      </c>
      <c r="D5" s="914">
        <v>0</v>
      </c>
      <c r="E5" s="1197"/>
      <c r="F5" s="1197"/>
      <c r="G5" s="1197"/>
      <c r="H5" s="1197"/>
      <c r="I5" s="1197"/>
      <c r="J5" s="1197"/>
      <c r="K5" s="1197"/>
    </row>
    <row r="6" spans="1:11" ht="28.5">
      <c r="A6" s="1678" t="s">
        <v>675</v>
      </c>
      <c r="B6" s="913">
        <v>96630</v>
      </c>
      <c r="C6" s="911">
        <v>105181</v>
      </c>
      <c r="D6" s="914">
        <v>0</v>
      </c>
      <c r="E6" s="1197"/>
      <c r="F6" s="1197"/>
      <c r="G6" s="1197"/>
      <c r="H6" s="1197"/>
      <c r="I6" s="1197"/>
      <c r="J6" s="1197"/>
      <c r="K6" s="1197"/>
    </row>
    <row r="7" spans="1:11" ht="28.5">
      <c r="A7" s="1678" t="s">
        <v>847</v>
      </c>
      <c r="B7" s="913">
        <v>24174</v>
      </c>
      <c r="C7" s="911">
        <v>24174</v>
      </c>
      <c r="D7" s="914">
        <v>24174</v>
      </c>
      <c r="E7" s="1197"/>
      <c r="F7" s="1197"/>
      <c r="G7" s="1197"/>
      <c r="H7" s="1197"/>
      <c r="I7" s="1197"/>
      <c r="J7" s="1197"/>
      <c r="K7" s="1197"/>
    </row>
    <row r="8" spans="1:11" ht="42.75">
      <c r="A8" s="1678" t="s">
        <v>686</v>
      </c>
      <c r="B8" s="913">
        <v>89665</v>
      </c>
      <c r="C8" s="911">
        <v>89665</v>
      </c>
      <c r="D8" s="914">
        <v>193544</v>
      </c>
      <c r="E8" s="1197"/>
      <c r="F8" s="1197"/>
      <c r="G8" s="1197"/>
      <c r="H8" s="1197"/>
      <c r="I8" s="1197"/>
      <c r="J8" s="1197"/>
      <c r="K8" s="1197"/>
    </row>
    <row r="9" spans="1:11" ht="28.5">
      <c r="A9" s="1678" t="s">
        <v>848</v>
      </c>
      <c r="B9" s="913">
        <v>49000</v>
      </c>
      <c r="C9" s="911">
        <v>49000</v>
      </c>
      <c r="D9" s="914">
        <v>79000</v>
      </c>
      <c r="E9" s="1197"/>
      <c r="F9" s="1197"/>
      <c r="G9" s="1197"/>
      <c r="H9" s="1197"/>
      <c r="I9" s="1197"/>
      <c r="J9" s="1197"/>
      <c r="K9" s="1197"/>
    </row>
    <row r="10" spans="1:11" ht="28.5">
      <c r="A10" s="1678" t="s">
        <v>688</v>
      </c>
      <c r="B10" s="913">
        <v>84820</v>
      </c>
      <c r="C10" s="911">
        <v>89734</v>
      </c>
      <c r="D10" s="914">
        <v>89734</v>
      </c>
      <c r="E10" s="1197"/>
      <c r="F10" s="1197"/>
      <c r="G10" s="1197"/>
      <c r="H10" s="1197"/>
      <c r="I10" s="1197"/>
      <c r="J10" s="1197"/>
      <c r="K10" s="1197"/>
    </row>
    <row r="11" spans="1:11" ht="28.5">
      <c r="A11" s="1678" t="s">
        <v>619</v>
      </c>
      <c r="B11" s="913">
        <v>53779</v>
      </c>
      <c r="C11" s="911">
        <v>53779</v>
      </c>
      <c r="D11" s="914">
        <v>0</v>
      </c>
      <c r="E11" s="1197"/>
      <c r="F11" s="1197"/>
      <c r="G11" s="1197"/>
      <c r="H11" s="1197"/>
      <c r="I11" s="1197"/>
      <c r="J11" s="1197"/>
      <c r="K11" s="1197"/>
    </row>
    <row r="12" spans="1:11" ht="28.5">
      <c r="A12" s="1678" t="s">
        <v>689</v>
      </c>
      <c r="B12" s="913">
        <v>31000</v>
      </c>
      <c r="C12" s="911">
        <v>31000</v>
      </c>
      <c r="D12" s="914">
        <v>37684</v>
      </c>
      <c r="E12" s="1197"/>
      <c r="F12" s="1197"/>
      <c r="G12" s="1197"/>
      <c r="H12" s="1197"/>
      <c r="I12" s="1197"/>
      <c r="J12" s="1197"/>
      <c r="K12" s="1197"/>
    </row>
    <row r="13" spans="1:11" ht="28.5">
      <c r="A13" s="1678" t="s">
        <v>678</v>
      </c>
      <c r="B13" s="913">
        <v>3497</v>
      </c>
      <c r="C13" s="911">
        <v>3497</v>
      </c>
      <c r="D13" s="914">
        <v>31860</v>
      </c>
      <c r="E13" s="1197"/>
      <c r="F13" s="1197"/>
      <c r="G13" s="1197"/>
      <c r="H13" s="1197"/>
      <c r="I13" s="1197"/>
      <c r="J13" s="1197"/>
      <c r="K13" s="1197"/>
    </row>
    <row r="14" spans="1:11" ht="28.5">
      <c r="A14" s="1678" t="s">
        <v>677</v>
      </c>
      <c r="B14" s="913">
        <v>2782</v>
      </c>
      <c r="C14" s="911">
        <v>2782</v>
      </c>
      <c r="D14" s="914">
        <v>12147</v>
      </c>
      <c r="E14" s="1197"/>
      <c r="F14" s="1197"/>
      <c r="G14" s="1197"/>
      <c r="H14" s="1197"/>
      <c r="I14" s="1197"/>
      <c r="J14" s="1197"/>
      <c r="K14" s="1197"/>
    </row>
    <row r="15" spans="1:11" ht="28.5">
      <c r="A15" s="1678" t="s">
        <v>849</v>
      </c>
      <c r="B15" s="913">
        <v>9000</v>
      </c>
      <c r="C15" s="911">
        <v>9000</v>
      </c>
      <c r="D15" s="914">
        <v>9000</v>
      </c>
      <c r="E15" s="1197"/>
      <c r="F15" s="1197"/>
      <c r="G15" s="1197"/>
      <c r="H15" s="1197"/>
      <c r="I15" s="1197"/>
      <c r="J15" s="1197"/>
      <c r="K15" s="1197"/>
    </row>
    <row r="16" spans="1:11" ht="28.5">
      <c r="A16" s="1679" t="s">
        <v>850</v>
      </c>
      <c r="B16" s="913">
        <v>36311</v>
      </c>
      <c r="C16" s="911">
        <v>36311</v>
      </c>
      <c r="D16" s="914">
        <v>21108</v>
      </c>
      <c r="E16" s="1197"/>
      <c r="F16" s="1197"/>
      <c r="G16" s="1197"/>
      <c r="H16" s="1197"/>
      <c r="I16" s="1197"/>
      <c r="J16" s="1197"/>
      <c r="K16" s="1197"/>
    </row>
    <row r="17" spans="1:11">
      <c r="A17" s="1679" t="s">
        <v>851</v>
      </c>
      <c r="B17" s="913">
        <v>4128</v>
      </c>
      <c r="C17" s="911">
        <v>4128</v>
      </c>
      <c r="D17" s="914">
        <v>0</v>
      </c>
      <c r="E17" s="1197"/>
      <c r="F17" s="1197"/>
      <c r="G17" s="1197"/>
      <c r="H17" s="1197"/>
      <c r="I17" s="1197"/>
      <c r="J17" s="1197"/>
      <c r="K17" s="1197"/>
    </row>
    <row r="18" spans="1:11" ht="29.25" thickBot="1">
      <c r="A18" s="1679" t="s">
        <v>852</v>
      </c>
      <c r="B18" s="915">
        <v>45000</v>
      </c>
      <c r="C18" s="916">
        <v>45000</v>
      </c>
      <c r="D18" s="917">
        <v>45000</v>
      </c>
      <c r="E18" s="1197"/>
      <c r="F18" s="1197"/>
      <c r="G18" s="1197"/>
      <c r="H18" s="1197"/>
      <c r="I18" s="1197"/>
      <c r="J18" s="1197"/>
      <c r="K18" s="1197"/>
    </row>
    <row r="19" spans="1:11" ht="15.75" thickBot="1">
      <c r="A19" s="912" t="s">
        <v>72</v>
      </c>
      <c r="B19" s="918">
        <f>SUM(B4:B18)</f>
        <v>543251</v>
      </c>
      <c r="C19" s="919">
        <f>SUM(C4:C18)</f>
        <v>543251</v>
      </c>
      <c r="D19" s="111">
        <f>SUM(D4:D18)</f>
        <v>543251</v>
      </c>
      <c r="E19" s="1197"/>
      <c r="F19" s="1197"/>
      <c r="G19" s="1197"/>
      <c r="H19" s="1197"/>
      <c r="I19" s="1197"/>
      <c r="J19" s="1197"/>
      <c r="K19" s="1197"/>
    </row>
    <row r="20" spans="1:11">
      <c r="I20" s="1198"/>
    </row>
    <row r="22" spans="1:11">
      <c r="A22" s="1680"/>
    </row>
    <row r="23" spans="1:11">
      <c r="A23" s="1680"/>
    </row>
  </sheetData>
  <mergeCells count="1">
    <mergeCell ref="A1:D1"/>
  </mergeCells>
  <pageMargins left="0.7" right="0.7" top="0.75" bottom="0.75" header="0.3" footer="0.3"/>
  <pageSetup paperSize="9" scale="98" orientation="landscape" r:id="rId1"/>
  <headerFooter>
    <oddHeader>&amp;L&amp;"Times New Roman,Normál"&amp;8 13. melléklet 1, 2, 3</oddHeader>
    <oddFooter>&amp;L&amp;8 1. Mód.: 3/2019 (II.27.) önk. rend. 2.§. Hat.: 2019.03.01. napjától
2. Mód.: 9/2019 (IV.24.) önk. rend. 2.§ Hat.: 2019.04.25. napjától
3. Mód.: 18/2019 (IX.11.) önk. rend. 2.§ Hat.:2019.09.12. napjától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view="pageLayout" topLeftCell="A31" zoomScaleNormal="100" workbookViewId="0">
      <selection activeCell="E4" sqref="E4:E5"/>
    </sheetView>
  </sheetViews>
  <sheetFormatPr defaultRowHeight="15"/>
  <cols>
    <col min="1" max="1" width="42.28515625" style="71" customWidth="1"/>
    <col min="2" max="4" width="10.140625" style="72" customWidth="1"/>
    <col min="5" max="5" width="42.28515625" style="71" customWidth="1"/>
    <col min="6" max="14" width="10.140625" style="72" customWidth="1"/>
    <col min="15" max="17" width="10.140625" style="73" customWidth="1"/>
    <col min="18" max="16384" width="9.140625" style="71"/>
  </cols>
  <sheetData>
    <row r="1" spans="1:17">
      <c r="A1" s="1988" t="s">
        <v>698</v>
      </c>
      <c r="B1" s="1988"/>
      <c r="C1" s="1988"/>
      <c r="D1" s="1988"/>
      <c r="E1" s="1988"/>
      <c r="F1" s="1988"/>
      <c r="G1" s="1988"/>
      <c r="H1" s="1988"/>
      <c r="I1" s="1988"/>
      <c r="J1" s="1988"/>
      <c r="K1" s="1988"/>
      <c r="L1" s="1988"/>
      <c r="M1" s="1988"/>
      <c r="N1" s="1988"/>
      <c r="O1" s="1988"/>
      <c r="P1" s="1988"/>
      <c r="Q1" s="1988"/>
    </row>
    <row r="2" spans="1:17" ht="15.75" thickBot="1"/>
    <row r="3" spans="1:17" ht="15.75" thickBot="1">
      <c r="A3" s="1992" t="s">
        <v>101</v>
      </c>
      <c r="B3" s="2013"/>
      <c r="C3" s="2013"/>
      <c r="D3" s="2014"/>
      <c r="E3" s="1992" t="s">
        <v>701</v>
      </c>
      <c r="F3" s="1993"/>
      <c r="G3" s="1993"/>
      <c r="H3" s="1993"/>
      <c r="I3" s="1993"/>
      <c r="J3" s="1993"/>
      <c r="K3" s="1993"/>
      <c r="L3" s="1993"/>
      <c r="M3" s="1993"/>
      <c r="N3" s="1993"/>
      <c r="O3" s="1993"/>
      <c r="P3" s="1993"/>
      <c r="Q3" s="1994"/>
    </row>
    <row r="4" spans="1:17" s="76" customFormat="1" ht="30.75" customHeight="1" thickBot="1">
      <c r="A4" s="1999" t="s">
        <v>427</v>
      </c>
      <c r="B4" s="2001" t="s">
        <v>3</v>
      </c>
      <c r="C4" s="2009" t="s">
        <v>893</v>
      </c>
      <c r="D4" s="2007" t="s">
        <v>1030</v>
      </c>
      <c r="E4" s="2003" t="s">
        <v>427</v>
      </c>
      <c r="F4" s="2015" t="s">
        <v>419</v>
      </c>
      <c r="G4" s="2016"/>
      <c r="H4" s="2017"/>
      <c r="I4" s="2015" t="s">
        <v>60</v>
      </c>
      <c r="J4" s="2016"/>
      <c r="K4" s="2017"/>
      <c r="L4" s="1989" t="s">
        <v>61</v>
      </c>
      <c r="M4" s="1990"/>
      <c r="N4" s="1991"/>
      <c r="O4" s="1989" t="s">
        <v>72</v>
      </c>
      <c r="P4" s="1990"/>
      <c r="Q4" s="1991"/>
    </row>
    <row r="5" spans="1:17" s="76" customFormat="1" ht="29.25" thickBot="1">
      <c r="A5" s="2000"/>
      <c r="B5" s="2002"/>
      <c r="C5" s="2010"/>
      <c r="D5" s="2008"/>
      <c r="E5" s="2004"/>
      <c r="F5" s="947" t="s">
        <v>3</v>
      </c>
      <c r="G5" s="948" t="s">
        <v>893</v>
      </c>
      <c r="H5" s="1395" t="s">
        <v>1030</v>
      </c>
      <c r="I5" s="1396" t="s">
        <v>3</v>
      </c>
      <c r="J5" s="1397" t="s">
        <v>892</v>
      </c>
      <c r="K5" s="1395" t="s">
        <v>1030</v>
      </c>
      <c r="L5" s="1396" t="s">
        <v>3</v>
      </c>
      <c r="M5" s="1397" t="s">
        <v>892</v>
      </c>
      <c r="N5" s="1395" t="s">
        <v>985</v>
      </c>
      <c r="O5" s="1396" t="s">
        <v>3</v>
      </c>
      <c r="P5" s="1397" t="s">
        <v>892</v>
      </c>
      <c r="Q5" s="1398" t="s">
        <v>1030</v>
      </c>
    </row>
    <row r="6" spans="1:17" s="76" customFormat="1" ht="30">
      <c r="A6" s="115" t="s">
        <v>616</v>
      </c>
      <c r="B6" s="929">
        <v>10000</v>
      </c>
      <c r="C6" s="930">
        <v>10000</v>
      </c>
      <c r="D6" s="213">
        <v>10000</v>
      </c>
      <c r="E6" s="921" t="s">
        <v>616</v>
      </c>
      <c r="F6" s="945"/>
      <c r="G6" s="946"/>
      <c r="H6" s="949"/>
      <c r="I6" s="945"/>
      <c r="J6" s="946"/>
      <c r="K6" s="949"/>
      <c r="L6" s="945">
        <v>10000</v>
      </c>
      <c r="M6" s="946">
        <v>10000</v>
      </c>
      <c r="N6" s="949">
        <v>10000</v>
      </c>
      <c r="O6" s="967">
        <f>F6+L6+I6</f>
        <v>10000</v>
      </c>
      <c r="P6" s="968">
        <f>G6+M6+J6</f>
        <v>10000</v>
      </c>
      <c r="Q6" s="969">
        <f>H6+N6+K6</f>
        <v>10000</v>
      </c>
    </row>
    <row r="7" spans="1:17" s="76" customFormat="1" ht="30">
      <c r="A7" s="928" t="s">
        <v>694</v>
      </c>
      <c r="B7" s="931">
        <v>102500</v>
      </c>
      <c r="C7" s="927">
        <v>157514</v>
      </c>
      <c r="D7" s="216">
        <v>157487</v>
      </c>
      <c r="E7" s="922" t="s">
        <v>694</v>
      </c>
      <c r="F7" s="931"/>
      <c r="G7" s="927"/>
      <c r="H7" s="950"/>
      <c r="I7" s="931"/>
      <c r="J7" s="927"/>
      <c r="K7" s="950"/>
      <c r="L7" s="931">
        <v>102500</v>
      </c>
      <c r="M7" s="927">
        <v>157514</v>
      </c>
      <c r="N7" s="950">
        <v>157487</v>
      </c>
      <c r="O7" s="963">
        <f t="shared" ref="O7:O19" si="0">F7+L7+I7</f>
        <v>102500</v>
      </c>
      <c r="P7" s="962">
        <f t="shared" ref="P7:Q20" si="1">G7+M7+J7</f>
        <v>157514</v>
      </c>
      <c r="Q7" s="964">
        <f t="shared" si="1"/>
        <v>157487</v>
      </c>
    </row>
    <row r="8" spans="1:17" s="76" customFormat="1" ht="30">
      <c r="A8" s="217" t="s">
        <v>690</v>
      </c>
      <c r="B8" s="931">
        <v>1363</v>
      </c>
      <c r="C8" s="927">
        <v>1363</v>
      </c>
      <c r="D8" s="216">
        <v>588</v>
      </c>
      <c r="E8" s="923" t="s">
        <v>690</v>
      </c>
      <c r="F8" s="941"/>
      <c r="G8" s="937"/>
      <c r="H8" s="951"/>
      <c r="I8" s="941">
        <v>1363</v>
      </c>
      <c r="J8" s="937">
        <v>1363</v>
      </c>
      <c r="K8" s="951">
        <v>588</v>
      </c>
      <c r="L8" s="957"/>
      <c r="M8" s="956"/>
      <c r="N8" s="959"/>
      <c r="O8" s="963">
        <f t="shared" si="0"/>
        <v>1363</v>
      </c>
      <c r="P8" s="962">
        <f t="shared" si="1"/>
        <v>1363</v>
      </c>
      <c r="Q8" s="964">
        <f t="shared" si="1"/>
        <v>588</v>
      </c>
    </row>
    <row r="9" spans="1:17" s="76" customFormat="1" ht="30">
      <c r="A9" s="928" t="s">
        <v>691</v>
      </c>
      <c r="B9" s="931">
        <v>4994</v>
      </c>
      <c r="C9" s="927">
        <v>4994</v>
      </c>
      <c r="D9" s="216">
        <v>4165</v>
      </c>
      <c r="E9" s="922" t="s">
        <v>691</v>
      </c>
      <c r="F9" s="941"/>
      <c r="G9" s="937"/>
      <c r="H9" s="951"/>
      <c r="I9" s="941">
        <v>4994</v>
      </c>
      <c r="J9" s="937">
        <v>4994</v>
      </c>
      <c r="K9" s="951">
        <v>4165</v>
      </c>
      <c r="L9" s="957"/>
      <c r="M9" s="956"/>
      <c r="N9" s="959"/>
      <c r="O9" s="963">
        <f t="shared" si="0"/>
        <v>4994</v>
      </c>
      <c r="P9" s="962">
        <f t="shared" si="1"/>
        <v>4994</v>
      </c>
      <c r="Q9" s="964">
        <f t="shared" si="1"/>
        <v>4165</v>
      </c>
    </row>
    <row r="10" spans="1:17" s="76" customFormat="1" ht="30">
      <c r="A10" s="217" t="s">
        <v>692</v>
      </c>
      <c r="B10" s="931">
        <v>84099</v>
      </c>
      <c r="C10" s="927">
        <v>84099</v>
      </c>
      <c r="D10" s="216">
        <v>53481</v>
      </c>
      <c r="E10" s="923" t="s">
        <v>692</v>
      </c>
      <c r="F10" s="941"/>
      <c r="G10" s="937"/>
      <c r="H10" s="951"/>
      <c r="I10" s="941">
        <v>84099</v>
      </c>
      <c r="J10" s="937">
        <v>84099</v>
      </c>
      <c r="K10" s="951">
        <v>53481</v>
      </c>
      <c r="L10" s="957"/>
      <c r="M10" s="956"/>
      <c r="N10" s="959"/>
      <c r="O10" s="963">
        <f t="shared" si="0"/>
        <v>84099</v>
      </c>
      <c r="P10" s="962">
        <f t="shared" si="1"/>
        <v>84099</v>
      </c>
      <c r="Q10" s="964">
        <f t="shared" si="1"/>
        <v>53481</v>
      </c>
    </row>
    <row r="11" spans="1:17" s="76" customFormat="1" ht="30">
      <c r="A11" s="928" t="s">
        <v>693</v>
      </c>
      <c r="B11" s="931">
        <v>10604</v>
      </c>
      <c r="C11" s="927">
        <v>10604</v>
      </c>
      <c r="D11" s="216">
        <v>33474</v>
      </c>
      <c r="E11" s="922" t="s">
        <v>693</v>
      </c>
      <c r="F11" s="941"/>
      <c r="G11" s="937"/>
      <c r="H11" s="951"/>
      <c r="I11" s="941">
        <v>10604</v>
      </c>
      <c r="J11" s="937">
        <v>10604</v>
      </c>
      <c r="K11" s="951">
        <v>33474</v>
      </c>
      <c r="L11" s="957"/>
      <c r="M11" s="956"/>
      <c r="N11" s="959"/>
      <c r="O11" s="963">
        <f t="shared" si="0"/>
        <v>10604</v>
      </c>
      <c r="P11" s="962">
        <f t="shared" si="1"/>
        <v>10604</v>
      </c>
      <c r="Q11" s="964">
        <f t="shared" si="1"/>
        <v>33474</v>
      </c>
    </row>
    <row r="12" spans="1:17" s="76" customFormat="1" ht="30">
      <c r="A12" s="217" t="s">
        <v>685</v>
      </c>
      <c r="B12" s="931">
        <v>169425</v>
      </c>
      <c r="C12" s="927">
        <v>169425</v>
      </c>
      <c r="D12" s="216">
        <v>168609</v>
      </c>
      <c r="E12" s="923" t="s">
        <v>685</v>
      </c>
      <c r="F12" s="941"/>
      <c r="G12" s="937"/>
      <c r="H12" s="951"/>
      <c r="I12" s="941">
        <v>169425</v>
      </c>
      <c r="J12" s="937">
        <v>169425</v>
      </c>
      <c r="K12" s="951">
        <v>168609</v>
      </c>
      <c r="L12" s="957"/>
      <c r="M12" s="956"/>
      <c r="N12" s="959"/>
      <c r="O12" s="963">
        <f t="shared" si="0"/>
        <v>169425</v>
      </c>
      <c r="P12" s="962">
        <f t="shared" si="1"/>
        <v>169425</v>
      </c>
      <c r="Q12" s="964">
        <f t="shared" si="1"/>
        <v>168609</v>
      </c>
    </row>
    <row r="13" spans="1:17" s="76" customFormat="1" ht="45">
      <c r="A13" s="687" t="s">
        <v>686</v>
      </c>
      <c r="B13" s="931">
        <v>210335</v>
      </c>
      <c r="C13" s="927">
        <v>210335</v>
      </c>
      <c r="D13" s="216">
        <v>227504</v>
      </c>
      <c r="E13" s="924" t="s">
        <v>686</v>
      </c>
      <c r="F13" s="942"/>
      <c r="G13" s="938"/>
      <c r="H13" s="952"/>
      <c r="I13" s="942">
        <v>210335</v>
      </c>
      <c r="J13" s="938">
        <v>210335</v>
      </c>
      <c r="K13" s="952">
        <v>227504</v>
      </c>
      <c r="L13" s="957"/>
      <c r="M13" s="956"/>
      <c r="N13" s="959"/>
      <c r="O13" s="963">
        <f t="shared" si="0"/>
        <v>210335</v>
      </c>
      <c r="P13" s="962">
        <f t="shared" si="1"/>
        <v>210335</v>
      </c>
      <c r="Q13" s="964">
        <f t="shared" si="1"/>
        <v>227504</v>
      </c>
    </row>
    <row r="14" spans="1:17" s="76" customFormat="1" ht="30">
      <c r="A14" s="688" t="s">
        <v>687</v>
      </c>
      <c r="B14" s="931">
        <v>288302</v>
      </c>
      <c r="C14" s="927">
        <v>288302</v>
      </c>
      <c r="D14" s="216">
        <v>278586</v>
      </c>
      <c r="E14" s="925" t="s">
        <v>687</v>
      </c>
      <c r="F14" s="406"/>
      <c r="G14" s="939"/>
      <c r="H14" s="953"/>
      <c r="I14" s="406">
        <v>288302</v>
      </c>
      <c r="J14" s="939">
        <v>288302</v>
      </c>
      <c r="K14" s="953">
        <v>278586</v>
      </c>
      <c r="L14" s="957"/>
      <c r="M14" s="956"/>
      <c r="N14" s="959"/>
      <c r="O14" s="963">
        <f t="shared" si="0"/>
        <v>288302</v>
      </c>
      <c r="P14" s="962">
        <f t="shared" si="1"/>
        <v>288302</v>
      </c>
      <c r="Q14" s="964">
        <f t="shared" si="1"/>
        <v>278586</v>
      </c>
    </row>
    <row r="15" spans="1:17" s="76" customFormat="1" ht="30">
      <c r="A15" s="689" t="s">
        <v>688</v>
      </c>
      <c r="B15" s="931">
        <v>314149</v>
      </c>
      <c r="C15" s="927">
        <v>314149</v>
      </c>
      <c r="D15" s="216">
        <v>301269</v>
      </c>
      <c r="E15" s="926" t="s">
        <v>688</v>
      </c>
      <c r="F15" s="943"/>
      <c r="G15" s="940"/>
      <c r="H15" s="954"/>
      <c r="I15" s="943">
        <v>314149</v>
      </c>
      <c r="J15" s="940">
        <v>314149</v>
      </c>
      <c r="K15" s="954">
        <v>301269</v>
      </c>
      <c r="L15" s="957"/>
      <c r="M15" s="956"/>
      <c r="N15" s="959"/>
      <c r="O15" s="963">
        <f t="shared" si="0"/>
        <v>314149</v>
      </c>
      <c r="P15" s="962">
        <f t="shared" si="1"/>
        <v>314149</v>
      </c>
      <c r="Q15" s="964">
        <f t="shared" si="1"/>
        <v>301269</v>
      </c>
    </row>
    <row r="16" spans="1:17" s="76" customFormat="1" ht="30">
      <c r="A16" s="217" t="s">
        <v>619</v>
      </c>
      <c r="B16" s="931">
        <v>136609</v>
      </c>
      <c r="C16" s="927">
        <v>136609</v>
      </c>
      <c r="D16" s="216">
        <v>136261</v>
      </c>
      <c r="E16" s="923" t="s">
        <v>619</v>
      </c>
      <c r="F16" s="941"/>
      <c r="G16" s="937"/>
      <c r="H16" s="951"/>
      <c r="I16" s="941"/>
      <c r="J16" s="937"/>
      <c r="K16" s="951"/>
      <c r="L16" s="957">
        <v>136609</v>
      </c>
      <c r="M16" s="956">
        <v>136609</v>
      </c>
      <c r="N16" s="959">
        <v>136261</v>
      </c>
      <c r="O16" s="963">
        <f t="shared" si="0"/>
        <v>136609</v>
      </c>
      <c r="P16" s="962">
        <f t="shared" si="1"/>
        <v>136609</v>
      </c>
      <c r="Q16" s="964">
        <f t="shared" si="1"/>
        <v>136261</v>
      </c>
    </row>
    <row r="17" spans="1:17" s="76" customFormat="1" ht="58.5" customHeight="1">
      <c r="A17" s="217" t="s">
        <v>902</v>
      </c>
      <c r="B17" s="931"/>
      <c r="C17" s="927">
        <v>5000</v>
      </c>
      <c r="D17" s="216">
        <v>772</v>
      </c>
      <c r="E17" s="923" t="s">
        <v>902</v>
      </c>
      <c r="F17" s="941"/>
      <c r="G17" s="937"/>
      <c r="H17" s="951"/>
      <c r="I17" s="941"/>
      <c r="J17" s="937">
        <v>5000</v>
      </c>
      <c r="K17" s="951">
        <v>772</v>
      </c>
      <c r="L17" s="957"/>
      <c r="M17" s="956"/>
      <c r="N17" s="959"/>
      <c r="O17" s="963">
        <f t="shared" si="0"/>
        <v>0</v>
      </c>
      <c r="P17" s="962">
        <f t="shared" si="1"/>
        <v>5000</v>
      </c>
      <c r="Q17" s="964">
        <f t="shared" si="1"/>
        <v>772</v>
      </c>
    </row>
    <row r="18" spans="1:17" s="76" customFormat="1" ht="30">
      <c r="A18" s="217" t="s">
        <v>689</v>
      </c>
      <c r="B18" s="931">
        <v>393971</v>
      </c>
      <c r="C18" s="927">
        <v>396971</v>
      </c>
      <c r="D18" s="216">
        <v>397573</v>
      </c>
      <c r="E18" s="923" t="s">
        <v>689</v>
      </c>
      <c r="F18" s="941"/>
      <c r="G18" s="937"/>
      <c r="H18" s="951"/>
      <c r="I18" s="941">
        <v>393971</v>
      </c>
      <c r="J18" s="937">
        <v>396971</v>
      </c>
      <c r="K18" s="951">
        <v>397573</v>
      </c>
      <c r="L18" s="957"/>
      <c r="M18" s="956"/>
      <c r="N18" s="959"/>
      <c r="O18" s="963">
        <f t="shared" si="0"/>
        <v>393971</v>
      </c>
      <c r="P18" s="962">
        <f t="shared" si="1"/>
        <v>396971</v>
      </c>
      <c r="Q18" s="964">
        <f t="shared" si="1"/>
        <v>397573</v>
      </c>
    </row>
    <row r="19" spans="1:17" s="76" customFormat="1" ht="60">
      <c r="A19" s="975" t="s">
        <v>976</v>
      </c>
      <c r="B19" s="931">
        <v>0</v>
      </c>
      <c r="C19" s="927">
        <v>0</v>
      </c>
      <c r="D19" s="216">
        <v>216020</v>
      </c>
      <c r="E19" s="975" t="s">
        <v>976</v>
      </c>
      <c r="F19" s="941"/>
      <c r="G19" s="937"/>
      <c r="H19" s="951"/>
      <c r="I19" s="941"/>
      <c r="J19" s="937"/>
      <c r="K19" s="951">
        <v>216020</v>
      </c>
      <c r="L19" s="957"/>
      <c r="M19" s="956"/>
      <c r="N19" s="959"/>
      <c r="O19" s="963">
        <f t="shared" si="0"/>
        <v>0</v>
      </c>
      <c r="P19" s="962">
        <f t="shared" si="1"/>
        <v>0</v>
      </c>
      <c r="Q19" s="964">
        <f t="shared" si="1"/>
        <v>216020</v>
      </c>
    </row>
    <row r="20" spans="1:17" s="76" customFormat="1" ht="30">
      <c r="A20" s="975" t="s">
        <v>697</v>
      </c>
      <c r="B20" s="1250"/>
      <c r="C20" s="1252"/>
      <c r="D20" s="1251">
        <v>33</v>
      </c>
      <c r="E20" s="975" t="s">
        <v>697</v>
      </c>
      <c r="F20" s="941"/>
      <c r="G20" s="937"/>
      <c r="H20" s="1261"/>
      <c r="I20" s="941"/>
      <c r="J20" s="937"/>
      <c r="K20" s="1261">
        <v>33</v>
      </c>
      <c r="L20" s="957"/>
      <c r="M20" s="956"/>
      <c r="N20" s="1221"/>
      <c r="O20" s="963"/>
      <c r="P20" s="962"/>
      <c r="Q20" s="964">
        <f t="shared" si="1"/>
        <v>33</v>
      </c>
    </row>
    <row r="21" spans="1:17" s="76" customFormat="1">
      <c r="A21" s="1995" t="s">
        <v>714</v>
      </c>
      <c r="B21" s="1998">
        <v>150000</v>
      </c>
      <c r="C21" s="2011">
        <v>150000</v>
      </c>
      <c r="D21" s="2005"/>
      <c r="E21" s="923" t="s">
        <v>360</v>
      </c>
      <c r="F21" s="941">
        <v>50000</v>
      </c>
      <c r="G21" s="937">
        <v>50000</v>
      </c>
      <c r="H21" s="951">
        <v>0</v>
      </c>
      <c r="I21" s="941"/>
      <c r="J21" s="937"/>
      <c r="K21" s="951"/>
      <c r="L21" s="957"/>
      <c r="M21" s="956"/>
      <c r="N21" s="959"/>
      <c r="O21" s="963">
        <f t="shared" ref="O21:O26" si="2">F21+L21+I21</f>
        <v>50000</v>
      </c>
      <c r="P21" s="962">
        <f t="shared" ref="P21:Q26" si="3">G21+M21+J21</f>
        <v>50000</v>
      </c>
      <c r="Q21" s="964">
        <f t="shared" si="3"/>
        <v>0</v>
      </c>
    </row>
    <row r="22" spans="1:17" s="76" customFormat="1">
      <c r="A22" s="1996"/>
      <c r="B22" s="1998"/>
      <c r="C22" s="2012"/>
      <c r="D22" s="2006"/>
      <c r="E22" s="923" t="s">
        <v>571</v>
      </c>
      <c r="F22" s="941"/>
      <c r="G22" s="937"/>
      <c r="H22" s="951"/>
      <c r="I22" s="941">
        <v>20000</v>
      </c>
      <c r="J22" s="937">
        <v>20000</v>
      </c>
      <c r="K22" s="951">
        <v>0</v>
      </c>
      <c r="L22" s="957"/>
      <c r="M22" s="956"/>
      <c r="N22" s="959"/>
      <c r="O22" s="963">
        <f t="shared" si="2"/>
        <v>20000</v>
      </c>
      <c r="P22" s="962">
        <f t="shared" si="3"/>
        <v>20000</v>
      </c>
      <c r="Q22" s="964">
        <f t="shared" si="3"/>
        <v>0</v>
      </c>
    </row>
    <row r="23" spans="1:17" s="76" customFormat="1" ht="30">
      <c r="A23" s="1996"/>
      <c r="B23" s="1998"/>
      <c r="C23" s="2012"/>
      <c r="D23" s="2006"/>
      <c r="E23" s="923" t="s">
        <v>570</v>
      </c>
      <c r="F23" s="941"/>
      <c r="G23" s="937"/>
      <c r="H23" s="951"/>
      <c r="I23" s="941">
        <v>55000</v>
      </c>
      <c r="J23" s="937">
        <v>55000</v>
      </c>
      <c r="K23" s="951">
        <v>0</v>
      </c>
      <c r="L23" s="957"/>
      <c r="M23" s="956"/>
      <c r="N23" s="959"/>
      <c r="O23" s="963">
        <f t="shared" si="2"/>
        <v>55000</v>
      </c>
      <c r="P23" s="962">
        <f t="shared" si="3"/>
        <v>55000</v>
      </c>
      <c r="Q23" s="964">
        <f t="shared" si="3"/>
        <v>0</v>
      </c>
    </row>
    <row r="24" spans="1:17" s="76" customFormat="1">
      <c r="A24" s="1996"/>
      <c r="B24" s="1998"/>
      <c r="C24" s="2012"/>
      <c r="D24" s="2006"/>
      <c r="E24" s="923" t="s">
        <v>572</v>
      </c>
      <c r="F24" s="941"/>
      <c r="G24" s="937"/>
      <c r="H24" s="951"/>
      <c r="I24" s="941">
        <v>870</v>
      </c>
      <c r="J24" s="937">
        <v>870</v>
      </c>
      <c r="K24" s="951">
        <v>0</v>
      </c>
      <c r="L24" s="957"/>
      <c r="M24" s="956"/>
      <c r="N24" s="959"/>
      <c r="O24" s="963">
        <f t="shared" si="2"/>
        <v>870</v>
      </c>
      <c r="P24" s="962">
        <f t="shared" si="3"/>
        <v>870</v>
      </c>
      <c r="Q24" s="964">
        <f t="shared" si="3"/>
        <v>0</v>
      </c>
    </row>
    <row r="25" spans="1:17" s="76" customFormat="1" ht="30">
      <c r="A25" s="1996"/>
      <c r="B25" s="1998"/>
      <c r="C25" s="2012"/>
      <c r="D25" s="2006"/>
      <c r="E25" s="923" t="s">
        <v>715</v>
      </c>
      <c r="F25" s="941"/>
      <c r="G25" s="937"/>
      <c r="H25" s="951"/>
      <c r="I25" s="941">
        <v>16510</v>
      </c>
      <c r="J25" s="937">
        <v>16510</v>
      </c>
      <c r="K25" s="951">
        <v>0</v>
      </c>
      <c r="L25" s="957"/>
      <c r="M25" s="956"/>
      <c r="N25" s="959"/>
      <c r="O25" s="963">
        <f t="shared" si="2"/>
        <v>16510</v>
      </c>
      <c r="P25" s="962">
        <f t="shared" si="3"/>
        <v>16510</v>
      </c>
      <c r="Q25" s="964">
        <f t="shared" si="3"/>
        <v>0</v>
      </c>
    </row>
    <row r="26" spans="1:17" s="76" customFormat="1">
      <c r="A26" s="1997"/>
      <c r="B26" s="1998"/>
      <c r="C26" s="2012"/>
      <c r="D26" s="2006"/>
      <c r="E26" s="923" t="s">
        <v>578</v>
      </c>
      <c r="F26" s="941"/>
      <c r="G26" s="937"/>
      <c r="H26" s="951"/>
      <c r="I26" s="941">
        <v>7620</v>
      </c>
      <c r="J26" s="937">
        <v>7620</v>
      </c>
      <c r="K26" s="951">
        <v>0</v>
      </c>
      <c r="L26" s="957"/>
      <c r="M26" s="956"/>
      <c r="N26" s="959"/>
      <c r="O26" s="963">
        <f t="shared" si="2"/>
        <v>7620</v>
      </c>
      <c r="P26" s="962">
        <f t="shared" si="3"/>
        <v>7620</v>
      </c>
      <c r="Q26" s="964">
        <f t="shared" si="3"/>
        <v>0</v>
      </c>
    </row>
    <row r="27" spans="1:17" s="76" customFormat="1" ht="15.75" thickBot="1">
      <c r="A27" s="689"/>
      <c r="B27" s="932"/>
      <c r="C27" s="933"/>
      <c r="D27" s="934"/>
      <c r="E27" s="926"/>
      <c r="F27" s="944"/>
      <c r="G27" s="159"/>
      <c r="H27" s="160"/>
      <c r="I27" s="944"/>
      <c r="J27" s="159"/>
      <c r="K27" s="160"/>
      <c r="L27" s="970"/>
      <c r="M27" s="971"/>
      <c r="N27" s="972"/>
      <c r="O27" s="965"/>
      <c r="P27" s="966"/>
      <c r="Q27" s="168"/>
    </row>
    <row r="28" spans="1:17" ht="15.75" thickBot="1">
      <c r="A28" s="113" t="s">
        <v>72</v>
      </c>
      <c r="B28" s="935">
        <f>SUM(B6:B27)</f>
        <v>1876351</v>
      </c>
      <c r="C28" s="81">
        <f>SUM(C6:C27)</f>
        <v>1939365</v>
      </c>
      <c r="D28" s="112">
        <f>SUM(D6:D27)</f>
        <v>1985822</v>
      </c>
      <c r="E28" s="169" t="s">
        <v>72</v>
      </c>
      <c r="F28" s="936">
        <f t="shared" ref="F28:N28" si="4">SUM(F6:F27)</f>
        <v>50000</v>
      </c>
      <c r="G28" s="936">
        <f t="shared" ref="G28" si="5">SUM(G6:G27)</f>
        <v>50000</v>
      </c>
      <c r="H28" s="936">
        <f t="shared" si="4"/>
        <v>0</v>
      </c>
      <c r="I28" s="936">
        <f t="shared" si="4"/>
        <v>1577242</v>
      </c>
      <c r="J28" s="955">
        <f t="shared" ref="J28" si="6">SUM(J6:J27)</f>
        <v>1585242</v>
      </c>
      <c r="K28" s="955">
        <f t="shared" si="4"/>
        <v>1682074</v>
      </c>
      <c r="L28" s="935">
        <f t="shared" si="4"/>
        <v>249109</v>
      </c>
      <c r="M28" s="81">
        <f t="shared" ref="M28" si="7">SUM(M6:M27)</f>
        <v>304123</v>
      </c>
      <c r="N28" s="112">
        <f t="shared" si="4"/>
        <v>303748</v>
      </c>
      <c r="O28" s="960">
        <f>F28+L28+I28</f>
        <v>1876351</v>
      </c>
      <c r="P28" s="961">
        <f>G28+M28+J28</f>
        <v>1939365</v>
      </c>
      <c r="Q28" s="961">
        <f>H28+N28+K28</f>
        <v>1985822</v>
      </c>
    </row>
    <row r="29" spans="1:17">
      <c r="A29" s="78"/>
      <c r="B29" s="79"/>
      <c r="C29" s="79"/>
      <c r="D29" s="79"/>
      <c r="E29" s="78"/>
      <c r="F29" s="80"/>
      <c r="G29" s="80"/>
      <c r="H29" s="80"/>
      <c r="I29" s="80"/>
      <c r="J29" s="80"/>
      <c r="K29" s="80"/>
      <c r="L29" s="79"/>
      <c r="M29" s="79"/>
      <c r="N29" s="79"/>
      <c r="O29" s="79"/>
      <c r="P29" s="79"/>
      <c r="Q29" s="79"/>
    </row>
    <row r="31" spans="1:17">
      <c r="A31" s="208"/>
    </row>
    <row r="32" spans="1:17">
      <c r="A32" s="208"/>
    </row>
  </sheetData>
  <sortState ref="A6:R18">
    <sortCondition ref="R6:R18"/>
  </sortState>
  <mergeCells count="16">
    <mergeCell ref="A1:Q1"/>
    <mergeCell ref="O4:Q4"/>
    <mergeCell ref="E3:Q3"/>
    <mergeCell ref="A21:A26"/>
    <mergeCell ref="B21:B26"/>
    <mergeCell ref="A4:A5"/>
    <mergeCell ref="B4:B5"/>
    <mergeCell ref="E4:E5"/>
    <mergeCell ref="D21:D26"/>
    <mergeCell ref="D4:D5"/>
    <mergeCell ref="C4:C5"/>
    <mergeCell ref="C21:C26"/>
    <mergeCell ref="A3:D3"/>
    <mergeCell ref="F4:H4"/>
    <mergeCell ref="I4:K4"/>
    <mergeCell ref="L4:N4"/>
  </mergeCells>
  <pageMargins left="0.70866141732283472" right="0.70866141732283472" top="0.74803149606299213" bottom="0.74803149606299213" header="0.31496062992125984" footer="0.31496062992125984"/>
  <pageSetup paperSize="9" scale="57" fitToHeight="2" orientation="landscape" r:id="rId1"/>
  <headerFooter>
    <oddHeader>&amp;L&amp;"Times New Roman,Normál"&amp;8 14. melléklet 1, 2, 3</oddHeader>
    <oddFooter>&amp;L1. Mód.: 3/2019 (II.27.) önk. rend. 2.§. Hat.: 2019.03.01. napjától
2. Mód.: 9/2019 (IV.24.) önk. rend. 2.§ Hat.: 2019.04.25. napjától
3. Mód.: 18/2019 (IX.11.) önk. rend. 2.§ Hat.:2019.09.12. napjától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view="pageLayout" topLeftCell="A31" zoomScale="80" zoomScaleNormal="100" zoomScalePageLayoutView="80" workbookViewId="0">
      <selection activeCell="J18" sqref="J18"/>
    </sheetView>
  </sheetViews>
  <sheetFormatPr defaultRowHeight="15"/>
  <cols>
    <col min="1" max="1" width="42.28515625" style="71" customWidth="1"/>
    <col min="2" max="2" width="10" style="71" customWidth="1"/>
    <col min="3" max="4" width="10" style="72" customWidth="1"/>
    <col min="5" max="5" width="42.28515625" style="71" customWidth="1"/>
    <col min="6" max="20" width="10" style="72" customWidth="1"/>
    <col min="21" max="23" width="10" style="73" customWidth="1"/>
    <col min="24" max="24" width="10.5703125" style="70" customWidth="1"/>
    <col min="25" max="16384" width="9.140625" style="71"/>
  </cols>
  <sheetData>
    <row r="1" spans="1:24">
      <c r="A1" s="1988" t="s">
        <v>698</v>
      </c>
      <c r="B1" s="1988"/>
      <c r="C1" s="1988"/>
      <c r="D1" s="1988"/>
      <c r="E1" s="1988"/>
      <c r="F1" s="1988"/>
      <c r="G1" s="1988"/>
      <c r="H1" s="1988"/>
      <c r="I1" s="1988"/>
      <c r="J1" s="1988"/>
      <c r="K1" s="1988"/>
      <c r="L1" s="1988"/>
      <c r="M1" s="1988"/>
      <c r="N1" s="1988"/>
      <c r="O1" s="1988"/>
      <c r="P1" s="1988"/>
      <c r="Q1" s="1988"/>
      <c r="R1" s="1988"/>
      <c r="S1" s="1988"/>
      <c r="T1" s="1988"/>
      <c r="U1" s="1988"/>
      <c r="V1" s="1988"/>
      <c r="W1" s="1988"/>
    </row>
    <row r="2" spans="1:24" ht="15.75" thickBot="1"/>
    <row r="3" spans="1:24" ht="15.75" thickBot="1">
      <c r="A3" s="2019" t="s">
        <v>101</v>
      </c>
      <c r="B3" s="2013"/>
      <c r="C3" s="2013"/>
      <c r="D3" s="2014"/>
      <c r="E3" s="1992" t="s">
        <v>701</v>
      </c>
      <c r="F3" s="1993"/>
      <c r="G3" s="1993"/>
      <c r="H3" s="1993"/>
      <c r="I3" s="1993"/>
      <c r="J3" s="1993"/>
      <c r="K3" s="1993"/>
      <c r="L3" s="2018"/>
      <c r="M3" s="2018"/>
      <c r="N3" s="2018"/>
      <c r="O3" s="2018"/>
      <c r="P3" s="2018"/>
      <c r="Q3" s="2018"/>
      <c r="R3" s="2013"/>
      <c r="S3" s="2013"/>
      <c r="T3" s="2013"/>
      <c r="U3" s="2018"/>
      <c r="V3" s="2018"/>
      <c r="W3" s="2014"/>
      <c r="X3" s="74"/>
    </row>
    <row r="4" spans="1:24" s="76" customFormat="1" ht="15.75" thickBot="1">
      <c r="A4" s="1999" t="s">
        <v>426</v>
      </c>
      <c r="B4" s="2023" t="s">
        <v>3</v>
      </c>
      <c r="C4" s="2009" t="s">
        <v>969</v>
      </c>
      <c r="D4" s="2007" t="s">
        <v>1031</v>
      </c>
      <c r="E4" s="2021" t="s">
        <v>426</v>
      </c>
      <c r="F4" s="2026" t="s">
        <v>6</v>
      </c>
      <c r="G4" s="2027"/>
      <c r="H4" s="2028"/>
      <c r="I4" s="2029" t="s">
        <v>247</v>
      </c>
      <c r="J4" s="2030"/>
      <c r="K4" s="2031"/>
      <c r="L4" s="2032" t="s">
        <v>12</v>
      </c>
      <c r="M4" s="2033"/>
      <c r="N4" s="2034"/>
      <c r="O4" s="2032" t="s">
        <v>419</v>
      </c>
      <c r="P4" s="2033"/>
      <c r="Q4" s="2034"/>
      <c r="R4" s="2026" t="s">
        <v>57</v>
      </c>
      <c r="S4" s="2044"/>
      <c r="T4" s="2045"/>
      <c r="U4" s="2032" t="s">
        <v>72</v>
      </c>
      <c r="V4" s="2033"/>
      <c r="W4" s="2035"/>
      <c r="X4" s="75"/>
    </row>
    <row r="5" spans="1:24" s="76" customFormat="1" ht="36" customHeight="1" thickBot="1">
      <c r="A5" s="2000"/>
      <c r="B5" s="2024"/>
      <c r="C5" s="2025"/>
      <c r="D5" s="2020"/>
      <c r="E5" s="2022"/>
      <c r="F5" s="1396" t="s">
        <v>3</v>
      </c>
      <c r="G5" s="1397" t="s">
        <v>970</v>
      </c>
      <c r="H5" s="1398" t="s">
        <v>1031</v>
      </c>
      <c r="I5" s="1399" t="s">
        <v>3</v>
      </c>
      <c r="J5" s="1397" t="s">
        <v>969</v>
      </c>
      <c r="K5" s="1395" t="s">
        <v>1031</v>
      </c>
      <c r="L5" s="1396" t="s">
        <v>3</v>
      </c>
      <c r="M5" s="1397" t="s">
        <v>970</v>
      </c>
      <c r="N5" s="1398" t="s">
        <v>1031</v>
      </c>
      <c r="O5" s="1396" t="s">
        <v>3</v>
      </c>
      <c r="P5" s="1397" t="s">
        <v>971</v>
      </c>
      <c r="Q5" s="1395" t="s">
        <v>982</v>
      </c>
      <c r="R5" s="1396" t="s">
        <v>3</v>
      </c>
      <c r="S5" s="1397" t="s">
        <v>971</v>
      </c>
      <c r="T5" s="1398" t="s">
        <v>982</v>
      </c>
      <c r="U5" s="1400" t="s">
        <v>3</v>
      </c>
      <c r="V5" s="1401" t="s">
        <v>971</v>
      </c>
      <c r="W5" s="1402" t="s">
        <v>982</v>
      </c>
      <c r="X5" s="75"/>
    </row>
    <row r="6" spans="1:24" s="76" customFormat="1" ht="30">
      <c r="A6" s="974" t="s">
        <v>694</v>
      </c>
      <c r="B6" s="976">
        <v>46700</v>
      </c>
      <c r="C6" s="930">
        <v>46700</v>
      </c>
      <c r="D6" s="213">
        <v>46697</v>
      </c>
      <c r="E6" s="986" t="s">
        <v>694</v>
      </c>
      <c r="F6" s="988"/>
      <c r="G6" s="989"/>
      <c r="H6" s="990"/>
      <c r="I6" s="988"/>
      <c r="J6" s="989"/>
      <c r="K6" s="1000"/>
      <c r="L6" s="1005">
        <v>46700</v>
      </c>
      <c r="M6" s="985">
        <v>46700</v>
      </c>
      <c r="N6" s="1006">
        <v>46697</v>
      </c>
      <c r="O6" s="1005"/>
      <c r="P6" s="985"/>
      <c r="Q6" s="1202"/>
      <c r="R6" s="1206"/>
      <c r="S6" s="1207"/>
      <c r="T6" s="1000"/>
      <c r="U6" s="1211">
        <f>F6+I6+L6+O6</f>
        <v>46700</v>
      </c>
      <c r="V6" s="1212">
        <f>G6+J6+M6+P6</f>
        <v>46700</v>
      </c>
      <c r="W6" s="1213">
        <f>H6+K6+N6+Q6+T6</f>
        <v>46697</v>
      </c>
      <c r="X6" s="77"/>
    </row>
    <row r="7" spans="1:24" s="76" customFormat="1" ht="45">
      <c r="A7" s="975" t="s">
        <v>696</v>
      </c>
      <c r="B7" s="977">
        <v>124161</v>
      </c>
      <c r="C7" s="927">
        <v>124161</v>
      </c>
      <c r="D7" s="216">
        <v>72050</v>
      </c>
      <c r="E7" s="987" t="s">
        <v>696</v>
      </c>
      <c r="F7" s="991">
        <v>37984</v>
      </c>
      <c r="G7" s="981">
        <v>37984</v>
      </c>
      <c r="H7" s="992">
        <v>22040</v>
      </c>
      <c r="I7" s="991">
        <v>7407</v>
      </c>
      <c r="J7" s="981">
        <v>7407</v>
      </c>
      <c r="K7" s="1001">
        <v>4301</v>
      </c>
      <c r="L7" s="991">
        <v>78770</v>
      </c>
      <c r="M7" s="981">
        <v>78770</v>
      </c>
      <c r="N7" s="992">
        <v>45709</v>
      </c>
      <c r="O7" s="1007"/>
      <c r="P7" s="982"/>
      <c r="Q7" s="1203"/>
      <c r="R7" s="1007"/>
      <c r="S7" s="982"/>
      <c r="T7" s="1203"/>
      <c r="U7" s="963">
        <f t="shared" ref="U7:V25" si="0">F7+I7+L7+O7</f>
        <v>124161</v>
      </c>
      <c r="V7" s="962">
        <f t="shared" ref="V7:V22" si="1">G7+J7+M7+P7</f>
        <v>124161</v>
      </c>
      <c r="W7" s="964">
        <f t="shared" ref="W7:W25" si="2">H7+K7+N7+Q7+T7</f>
        <v>72050</v>
      </c>
      <c r="X7" s="77"/>
    </row>
    <row r="8" spans="1:24" s="76" customFormat="1" ht="30">
      <c r="A8" s="975" t="s">
        <v>697</v>
      </c>
      <c r="B8" s="977">
        <v>4548</v>
      </c>
      <c r="C8" s="927">
        <v>4548</v>
      </c>
      <c r="D8" s="216">
        <v>1412</v>
      </c>
      <c r="E8" s="987" t="s">
        <v>697</v>
      </c>
      <c r="F8" s="991">
        <v>2259</v>
      </c>
      <c r="G8" s="981">
        <v>2259</v>
      </c>
      <c r="H8" s="992">
        <v>718</v>
      </c>
      <c r="I8" s="991">
        <v>441</v>
      </c>
      <c r="J8" s="981">
        <v>441</v>
      </c>
      <c r="K8" s="1001">
        <v>140</v>
      </c>
      <c r="L8" s="991">
        <v>1848</v>
      </c>
      <c r="M8" s="981">
        <v>1848</v>
      </c>
      <c r="N8" s="992">
        <v>554</v>
      </c>
      <c r="O8" s="991"/>
      <c r="P8" s="981"/>
      <c r="Q8" s="1201"/>
      <c r="R8" s="991"/>
      <c r="S8" s="981"/>
      <c r="T8" s="1201"/>
      <c r="U8" s="963">
        <f t="shared" si="0"/>
        <v>4548</v>
      </c>
      <c r="V8" s="962">
        <f t="shared" si="1"/>
        <v>4548</v>
      </c>
      <c r="W8" s="964">
        <f t="shared" si="2"/>
        <v>1412</v>
      </c>
      <c r="X8" s="77"/>
    </row>
    <row r="9" spans="1:24" s="76" customFormat="1" ht="30">
      <c r="A9" s="975" t="s">
        <v>690</v>
      </c>
      <c r="B9" s="977">
        <v>8665</v>
      </c>
      <c r="C9" s="927">
        <v>8665</v>
      </c>
      <c r="D9" s="216">
        <v>3738</v>
      </c>
      <c r="E9" s="987" t="s">
        <v>690</v>
      </c>
      <c r="F9" s="991">
        <v>2650</v>
      </c>
      <c r="G9" s="981">
        <v>2650</v>
      </c>
      <c r="H9" s="992">
        <v>1143</v>
      </c>
      <c r="I9" s="991">
        <v>517</v>
      </c>
      <c r="J9" s="981">
        <v>517</v>
      </c>
      <c r="K9" s="1001">
        <v>223</v>
      </c>
      <c r="L9" s="991">
        <v>5498</v>
      </c>
      <c r="M9" s="981">
        <v>5498</v>
      </c>
      <c r="N9" s="992">
        <v>2372</v>
      </c>
      <c r="O9" s="991"/>
      <c r="P9" s="981"/>
      <c r="Q9" s="1201"/>
      <c r="R9" s="991"/>
      <c r="S9" s="981"/>
      <c r="T9" s="1201"/>
      <c r="U9" s="963">
        <f t="shared" si="0"/>
        <v>8665</v>
      </c>
      <c r="V9" s="962">
        <f t="shared" si="1"/>
        <v>8665</v>
      </c>
      <c r="W9" s="964">
        <f t="shared" si="2"/>
        <v>3738</v>
      </c>
      <c r="X9" s="77"/>
    </row>
    <row r="10" spans="1:24" s="76" customFormat="1" ht="30">
      <c r="A10" s="975" t="s">
        <v>691</v>
      </c>
      <c r="B10" s="977">
        <v>15957</v>
      </c>
      <c r="C10" s="927">
        <v>15957</v>
      </c>
      <c r="D10" s="216">
        <v>13305</v>
      </c>
      <c r="E10" s="987" t="s">
        <v>691</v>
      </c>
      <c r="F10" s="991">
        <v>7439</v>
      </c>
      <c r="G10" s="981">
        <v>7439</v>
      </c>
      <c r="H10" s="992">
        <v>6346</v>
      </c>
      <c r="I10" s="991">
        <v>1451</v>
      </c>
      <c r="J10" s="981">
        <v>1451</v>
      </c>
      <c r="K10" s="1001">
        <v>1068</v>
      </c>
      <c r="L10" s="991">
        <v>7067</v>
      </c>
      <c r="M10" s="981">
        <v>7067</v>
      </c>
      <c r="N10" s="992">
        <v>5891</v>
      </c>
      <c r="O10" s="991"/>
      <c r="P10" s="981"/>
      <c r="Q10" s="1201"/>
      <c r="R10" s="991"/>
      <c r="S10" s="981"/>
      <c r="T10" s="1201"/>
      <c r="U10" s="963">
        <f t="shared" si="0"/>
        <v>15957</v>
      </c>
      <c r="V10" s="962">
        <f t="shared" si="1"/>
        <v>15957</v>
      </c>
      <c r="W10" s="964">
        <f t="shared" si="2"/>
        <v>13305</v>
      </c>
      <c r="X10" s="77"/>
    </row>
    <row r="11" spans="1:24" s="76" customFormat="1" ht="30">
      <c r="A11" s="975" t="s">
        <v>692</v>
      </c>
      <c r="B11" s="977">
        <v>862</v>
      </c>
      <c r="C11" s="927">
        <v>862</v>
      </c>
      <c r="D11" s="216">
        <v>551</v>
      </c>
      <c r="E11" s="987" t="s">
        <v>692</v>
      </c>
      <c r="F11" s="991">
        <v>526</v>
      </c>
      <c r="G11" s="981">
        <v>526</v>
      </c>
      <c r="H11" s="992">
        <v>336</v>
      </c>
      <c r="I11" s="991">
        <v>103</v>
      </c>
      <c r="J11" s="981">
        <v>103</v>
      </c>
      <c r="K11" s="1001">
        <v>66</v>
      </c>
      <c r="L11" s="991">
        <v>233</v>
      </c>
      <c r="M11" s="981">
        <v>233</v>
      </c>
      <c r="N11" s="992">
        <v>149</v>
      </c>
      <c r="O11" s="991"/>
      <c r="P11" s="981"/>
      <c r="Q11" s="1201"/>
      <c r="R11" s="991"/>
      <c r="S11" s="981"/>
      <c r="T11" s="1201"/>
      <c r="U11" s="963">
        <f t="shared" si="0"/>
        <v>862</v>
      </c>
      <c r="V11" s="962">
        <f t="shared" si="1"/>
        <v>862</v>
      </c>
      <c r="W11" s="964">
        <f t="shared" si="2"/>
        <v>551</v>
      </c>
      <c r="X11" s="77"/>
    </row>
    <row r="12" spans="1:24" s="76" customFormat="1" ht="30">
      <c r="A12" s="975" t="s">
        <v>693</v>
      </c>
      <c r="B12" s="977">
        <v>3072</v>
      </c>
      <c r="C12" s="927">
        <v>3072</v>
      </c>
      <c r="D12" s="216">
        <v>9698</v>
      </c>
      <c r="E12" s="987" t="s">
        <v>693</v>
      </c>
      <c r="F12" s="991">
        <v>2400</v>
      </c>
      <c r="G12" s="981">
        <v>2400</v>
      </c>
      <c r="H12" s="992">
        <v>7577</v>
      </c>
      <c r="I12" s="991">
        <v>468</v>
      </c>
      <c r="J12" s="981">
        <v>468</v>
      </c>
      <c r="K12" s="1001">
        <v>1477</v>
      </c>
      <c r="L12" s="991">
        <v>204</v>
      </c>
      <c r="M12" s="981">
        <v>204</v>
      </c>
      <c r="N12" s="992">
        <v>644</v>
      </c>
      <c r="O12" s="991"/>
      <c r="P12" s="981"/>
      <c r="Q12" s="1201"/>
      <c r="R12" s="991"/>
      <c r="S12" s="981"/>
      <c r="T12" s="1201"/>
      <c r="U12" s="963">
        <f t="shared" si="0"/>
        <v>3072</v>
      </c>
      <c r="V12" s="962">
        <f t="shared" si="1"/>
        <v>3072</v>
      </c>
      <c r="W12" s="964">
        <f t="shared" si="2"/>
        <v>9698</v>
      </c>
      <c r="X12" s="77"/>
    </row>
    <row r="13" spans="1:24" s="76" customFormat="1" ht="45">
      <c r="A13" s="217" t="s">
        <v>695</v>
      </c>
      <c r="B13" s="215">
        <v>5745</v>
      </c>
      <c r="C13" s="927">
        <v>5745</v>
      </c>
      <c r="D13" s="216">
        <v>5923</v>
      </c>
      <c r="E13" s="923" t="s">
        <v>695</v>
      </c>
      <c r="F13" s="993">
        <v>812</v>
      </c>
      <c r="G13" s="983">
        <v>812</v>
      </c>
      <c r="H13" s="994">
        <v>837</v>
      </c>
      <c r="I13" s="993">
        <v>158</v>
      </c>
      <c r="J13" s="983">
        <v>158</v>
      </c>
      <c r="K13" s="1002">
        <v>163</v>
      </c>
      <c r="L13" s="993">
        <v>4775</v>
      </c>
      <c r="M13" s="983">
        <v>4775</v>
      </c>
      <c r="N13" s="994">
        <v>4923</v>
      </c>
      <c r="O13" s="993"/>
      <c r="P13" s="983"/>
      <c r="Q13" s="1204"/>
      <c r="R13" s="993"/>
      <c r="S13" s="983"/>
      <c r="T13" s="1204"/>
      <c r="U13" s="963">
        <f t="shared" si="0"/>
        <v>5745</v>
      </c>
      <c r="V13" s="962">
        <f t="shared" si="1"/>
        <v>5745</v>
      </c>
      <c r="W13" s="964">
        <f t="shared" si="2"/>
        <v>5923</v>
      </c>
      <c r="X13" s="77"/>
    </row>
    <row r="14" spans="1:24" s="76" customFormat="1" ht="30">
      <c r="A14" s="687" t="s">
        <v>685</v>
      </c>
      <c r="B14" s="978">
        <v>5759</v>
      </c>
      <c r="C14" s="927">
        <v>5759</v>
      </c>
      <c r="D14" s="216">
        <v>5731</v>
      </c>
      <c r="E14" s="924" t="s">
        <v>685</v>
      </c>
      <c r="F14" s="993">
        <v>794</v>
      </c>
      <c r="G14" s="983">
        <v>794</v>
      </c>
      <c r="H14" s="994">
        <v>790</v>
      </c>
      <c r="I14" s="993">
        <v>155</v>
      </c>
      <c r="J14" s="983">
        <v>155</v>
      </c>
      <c r="K14" s="1002">
        <v>154</v>
      </c>
      <c r="L14" s="993">
        <v>4810</v>
      </c>
      <c r="M14" s="983">
        <v>4810</v>
      </c>
      <c r="N14" s="994">
        <v>4787</v>
      </c>
      <c r="O14" s="993"/>
      <c r="P14" s="983"/>
      <c r="Q14" s="1204"/>
      <c r="R14" s="993"/>
      <c r="S14" s="983"/>
      <c r="T14" s="1204"/>
      <c r="U14" s="963">
        <f t="shared" si="0"/>
        <v>5759</v>
      </c>
      <c r="V14" s="962">
        <f t="shared" si="1"/>
        <v>5759</v>
      </c>
      <c r="W14" s="964">
        <f t="shared" si="2"/>
        <v>5731</v>
      </c>
      <c r="X14" s="77"/>
    </row>
    <row r="15" spans="1:24" s="76" customFormat="1" ht="45">
      <c r="A15" s="688" t="s">
        <v>686</v>
      </c>
      <c r="B15" s="225">
        <v>5977</v>
      </c>
      <c r="C15" s="927">
        <v>5977</v>
      </c>
      <c r="D15" s="216">
        <v>25941</v>
      </c>
      <c r="E15" s="925" t="s">
        <v>686</v>
      </c>
      <c r="F15" s="957">
        <v>1016</v>
      </c>
      <c r="G15" s="956">
        <v>1016</v>
      </c>
      <c r="H15" s="958">
        <v>4410</v>
      </c>
      <c r="I15" s="957">
        <v>198</v>
      </c>
      <c r="J15" s="956">
        <v>198</v>
      </c>
      <c r="K15" s="959">
        <v>858</v>
      </c>
      <c r="L15" s="957">
        <v>4763</v>
      </c>
      <c r="M15" s="956">
        <v>4763</v>
      </c>
      <c r="N15" s="958">
        <v>20673</v>
      </c>
      <c r="O15" s="993"/>
      <c r="P15" s="983"/>
      <c r="Q15" s="1204"/>
      <c r="R15" s="993"/>
      <c r="S15" s="983"/>
      <c r="T15" s="1204"/>
      <c r="U15" s="963">
        <f t="shared" si="0"/>
        <v>5977</v>
      </c>
      <c r="V15" s="962">
        <f t="shared" si="1"/>
        <v>5977</v>
      </c>
      <c r="W15" s="964">
        <f t="shared" si="2"/>
        <v>25941</v>
      </c>
      <c r="X15" s="77"/>
    </row>
    <row r="16" spans="1:24" s="76" customFormat="1" ht="30">
      <c r="A16" s="689" t="s">
        <v>687</v>
      </c>
      <c r="B16" s="979">
        <v>16698</v>
      </c>
      <c r="C16" s="927">
        <v>16698</v>
      </c>
      <c r="D16" s="216">
        <v>16134</v>
      </c>
      <c r="E16" s="926" t="s">
        <v>687</v>
      </c>
      <c r="F16" s="957">
        <v>5492</v>
      </c>
      <c r="G16" s="956">
        <v>5492</v>
      </c>
      <c r="H16" s="958">
        <v>5307</v>
      </c>
      <c r="I16" s="957">
        <v>1071</v>
      </c>
      <c r="J16" s="956">
        <v>1071</v>
      </c>
      <c r="K16" s="959">
        <v>1034</v>
      </c>
      <c r="L16" s="957">
        <v>10135</v>
      </c>
      <c r="M16" s="956">
        <v>10135</v>
      </c>
      <c r="N16" s="958">
        <v>9793</v>
      </c>
      <c r="O16" s="995"/>
      <c r="P16" s="984"/>
      <c r="Q16" s="1205"/>
      <c r="R16" s="995"/>
      <c r="S16" s="984"/>
      <c r="T16" s="1205"/>
      <c r="U16" s="963">
        <f t="shared" si="0"/>
        <v>16698</v>
      </c>
      <c r="V16" s="962">
        <f t="shared" si="1"/>
        <v>16698</v>
      </c>
      <c r="W16" s="964">
        <f t="shared" si="2"/>
        <v>16134</v>
      </c>
      <c r="X16" s="77"/>
    </row>
    <row r="17" spans="1:24" s="76" customFormat="1" ht="30">
      <c r="A17" s="689" t="s">
        <v>688</v>
      </c>
      <c r="B17" s="979">
        <v>22199</v>
      </c>
      <c r="C17" s="927">
        <v>22199</v>
      </c>
      <c r="D17" s="216">
        <v>21293</v>
      </c>
      <c r="E17" s="926" t="s">
        <v>688</v>
      </c>
      <c r="F17" s="995">
        <v>3346</v>
      </c>
      <c r="G17" s="984">
        <v>3346</v>
      </c>
      <c r="H17" s="996">
        <v>3209</v>
      </c>
      <c r="I17" s="995">
        <v>653</v>
      </c>
      <c r="J17" s="984">
        <v>653</v>
      </c>
      <c r="K17" s="1003">
        <v>627</v>
      </c>
      <c r="L17" s="995">
        <v>18200</v>
      </c>
      <c r="M17" s="984">
        <v>18200</v>
      </c>
      <c r="N17" s="996">
        <v>17457</v>
      </c>
      <c r="O17" s="995"/>
      <c r="P17" s="984"/>
      <c r="Q17" s="1205"/>
      <c r="R17" s="995"/>
      <c r="S17" s="984"/>
      <c r="T17" s="1205"/>
      <c r="U17" s="963">
        <f t="shared" si="0"/>
        <v>22199</v>
      </c>
      <c r="V17" s="962">
        <f t="shared" si="1"/>
        <v>22199</v>
      </c>
      <c r="W17" s="964">
        <f t="shared" si="2"/>
        <v>21293</v>
      </c>
      <c r="X17" s="77"/>
    </row>
    <row r="18" spans="1:24" s="76" customFormat="1" ht="30">
      <c r="A18" s="975" t="s">
        <v>619</v>
      </c>
      <c r="B18" s="977">
        <v>7729</v>
      </c>
      <c r="C18" s="927">
        <v>7729</v>
      </c>
      <c r="D18" s="216">
        <v>7709</v>
      </c>
      <c r="E18" s="987" t="s">
        <v>619</v>
      </c>
      <c r="F18" s="991">
        <v>2737</v>
      </c>
      <c r="G18" s="981">
        <v>2737</v>
      </c>
      <c r="H18" s="992">
        <v>2730</v>
      </c>
      <c r="I18" s="991">
        <v>1013</v>
      </c>
      <c r="J18" s="981">
        <v>1013</v>
      </c>
      <c r="K18" s="1001">
        <v>1010</v>
      </c>
      <c r="L18" s="991">
        <v>3979</v>
      </c>
      <c r="M18" s="981">
        <v>3979</v>
      </c>
      <c r="N18" s="992">
        <v>3969</v>
      </c>
      <c r="O18" s="991"/>
      <c r="P18" s="981"/>
      <c r="Q18" s="1201"/>
      <c r="R18" s="991"/>
      <c r="S18" s="981"/>
      <c r="T18" s="1201"/>
      <c r="U18" s="963">
        <f t="shared" si="0"/>
        <v>7729</v>
      </c>
      <c r="V18" s="962">
        <f t="shared" si="1"/>
        <v>7729</v>
      </c>
      <c r="W18" s="964">
        <f t="shared" si="2"/>
        <v>7709</v>
      </c>
      <c r="X18" s="77"/>
    </row>
    <row r="19" spans="1:24" s="76" customFormat="1" ht="30">
      <c r="A19" s="217" t="s">
        <v>689</v>
      </c>
      <c r="B19" s="215">
        <v>18738</v>
      </c>
      <c r="C19" s="927">
        <v>15738</v>
      </c>
      <c r="D19" s="216">
        <v>18909</v>
      </c>
      <c r="E19" s="923" t="s">
        <v>689</v>
      </c>
      <c r="F19" s="957">
        <v>4695</v>
      </c>
      <c r="G19" s="956">
        <v>4695</v>
      </c>
      <c r="H19" s="958">
        <v>4738</v>
      </c>
      <c r="I19" s="957">
        <v>916</v>
      </c>
      <c r="J19" s="956">
        <v>916</v>
      </c>
      <c r="K19" s="959">
        <v>924</v>
      </c>
      <c r="L19" s="957">
        <v>13127</v>
      </c>
      <c r="M19" s="956">
        <v>10127</v>
      </c>
      <c r="N19" s="958">
        <v>13247</v>
      </c>
      <c r="O19" s="1007"/>
      <c r="P19" s="982"/>
      <c r="Q19" s="1203"/>
      <c r="R19" s="1007"/>
      <c r="S19" s="982"/>
      <c r="T19" s="1203"/>
      <c r="U19" s="963">
        <f t="shared" si="0"/>
        <v>18738</v>
      </c>
      <c r="V19" s="962">
        <f t="shared" si="1"/>
        <v>15738</v>
      </c>
      <c r="W19" s="964">
        <f t="shared" si="2"/>
        <v>18909</v>
      </c>
      <c r="X19" s="77"/>
    </row>
    <row r="20" spans="1:24" s="76" customFormat="1" ht="45">
      <c r="A20" s="975" t="s">
        <v>679</v>
      </c>
      <c r="B20" s="977">
        <v>25454</v>
      </c>
      <c r="C20" s="927">
        <v>25454</v>
      </c>
      <c r="D20" s="216">
        <v>22914</v>
      </c>
      <c r="E20" s="987" t="s">
        <v>679</v>
      </c>
      <c r="F20" s="991">
        <v>8505</v>
      </c>
      <c r="G20" s="981">
        <v>8505</v>
      </c>
      <c r="H20" s="992">
        <v>7656</v>
      </c>
      <c r="I20" s="991">
        <v>1658</v>
      </c>
      <c r="J20" s="981">
        <v>1658</v>
      </c>
      <c r="K20" s="1001">
        <v>1493</v>
      </c>
      <c r="L20" s="991">
        <v>15291</v>
      </c>
      <c r="M20" s="981">
        <v>15291</v>
      </c>
      <c r="N20" s="992">
        <v>13765</v>
      </c>
      <c r="O20" s="991"/>
      <c r="P20" s="981"/>
      <c r="Q20" s="1201"/>
      <c r="R20" s="991"/>
      <c r="S20" s="981"/>
      <c r="T20" s="1201"/>
      <c r="U20" s="963">
        <f t="shared" si="0"/>
        <v>25454</v>
      </c>
      <c r="V20" s="962">
        <f t="shared" si="1"/>
        <v>25454</v>
      </c>
      <c r="W20" s="964">
        <f t="shared" si="2"/>
        <v>22914</v>
      </c>
      <c r="X20" s="77"/>
    </row>
    <row r="21" spans="1:24" s="76" customFormat="1" ht="63" customHeight="1">
      <c r="A21" s="975" t="s">
        <v>976</v>
      </c>
      <c r="B21" s="977">
        <v>0</v>
      </c>
      <c r="C21" s="1200">
        <v>0</v>
      </c>
      <c r="D21" s="1199">
        <v>23974</v>
      </c>
      <c r="E21" s="975" t="s">
        <v>976</v>
      </c>
      <c r="F21" s="991">
        <v>0</v>
      </c>
      <c r="G21" s="981">
        <v>0</v>
      </c>
      <c r="H21" s="992">
        <v>2720</v>
      </c>
      <c r="I21" s="991">
        <v>0</v>
      </c>
      <c r="J21" s="981">
        <v>0</v>
      </c>
      <c r="K21" s="1201">
        <v>530</v>
      </c>
      <c r="L21" s="991">
        <v>0</v>
      </c>
      <c r="M21" s="981">
        <v>0</v>
      </c>
      <c r="N21" s="992">
        <v>20724</v>
      </c>
      <c r="O21" s="991"/>
      <c r="P21" s="981"/>
      <c r="Q21" s="1201"/>
      <c r="R21" s="991"/>
      <c r="S21" s="981"/>
      <c r="T21" s="1201"/>
      <c r="U21" s="963">
        <f t="shared" si="0"/>
        <v>0</v>
      </c>
      <c r="V21" s="962">
        <f t="shared" si="1"/>
        <v>0</v>
      </c>
      <c r="W21" s="964">
        <f t="shared" si="2"/>
        <v>23974</v>
      </c>
      <c r="X21" s="77"/>
    </row>
    <row r="22" spans="1:24" s="76" customFormat="1">
      <c r="A22" s="2036" t="s">
        <v>977</v>
      </c>
      <c r="B22" s="2038">
        <v>0</v>
      </c>
      <c r="C22" s="2040">
        <v>0</v>
      </c>
      <c r="D22" s="2042">
        <v>100010</v>
      </c>
      <c r="E22" s="987" t="s">
        <v>978</v>
      </c>
      <c r="F22" s="991"/>
      <c r="G22" s="981"/>
      <c r="H22" s="992"/>
      <c r="I22" s="991"/>
      <c r="J22" s="981"/>
      <c r="K22" s="1201"/>
      <c r="L22" s="991"/>
      <c r="M22" s="981"/>
      <c r="N22" s="992"/>
      <c r="O22" s="991"/>
      <c r="P22" s="981"/>
      <c r="Q22" s="1201">
        <v>97510</v>
      </c>
      <c r="R22" s="991"/>
      <c r="S22" s="981"/>
      <c r="T22" s="1201"/>
      <c r="U22" s="963">
        <f t="shared" si="0"/>
        <v>0</v>
      </c>
      <c r="V22" s="962">
        <f t="shared" si="1"/>
        <v>0</v>
      </c>
      <c r="W22" s="964">
        <f t="shared" si="2"/>
        <v>97510</v>
      </c>
      <c r="X22" s="77"/>
    </row>
    <row r="23" spans="1:24" s="76" customFormat="1">
      <c r="A23" s="2037"/>
      <c r="B23" s="2039"/>
      <c r="C23" s="2041"/>
      <c r="D23" s="2043"/>
      <c r="E23" s="987" t="s">
        <v>979</v>
      </c>
      <c r="F23" s="991"/>
      <c r="G23" s="981"/>
      <c r="H23" s="992"/>
      <c r="I23" s="991"/>
      <c r="J23" s="981"/>
      <c r="K23" s="1001"/>
      <c r="L23" s="991"/>
      <c r="M23" s="981"/>
      <c r="N23" s="992"/>
      <c r="O23" s="991"/>
      <c r="P23" s="981"/>
      <c r="Q23" s="1201"/>
      <c r="R23" s="991">
        <v>0</v>
      </c>
      <c r="S23" s="981">
        <v>0</v>
      </c>
      <c r="T23" s="1201">
        <v>2500</v>
      </c>
      <c r="U23" s="963">
        <f t="shared" si="0"/>
        <v>0</v>
      </c>
      <c r="V23" s="962">
        <f t="shared" si="0"/>
        <v>0</v>
      </c>
      <c r="W23" s="964">
        <f t="shared" si="2"/>
        <v>2500</v>
      </c>
      <c r="X23" s="77"/>
    </row>
    <row r="24" spans="1:24" s="76" customFormat="1">
      <c r="A24" s="975" t="s">
        <v>714</v>
      </c>
      <c r="B24" s="977">
        <v>150000</v>
      </c>
      <c r="C24" s="927">
        <v>150000</v>
      </c>
      <c r="D24" s="216">
        <v>0</v>
      </c>
      <c r="E24" s="987" t="s">
        <v>357</v>
      </c>
      <c r="F24" s="991"/>
      <c r="G24" s="981"/>
      <c r="H24" s="992"/>
      <c r="I24" s="991"/>
      <c r="J24" s="981"/>
      <c r="K24" s="1001"/>
      <c r="L24" s="991"/>
      <c r="M24" s="981"/>
      <c r="N24" s="992"/>
      <c r="O24" s="991">
        <v>150000</v>
      </c>
      <c r="P24" s="981">
        <v>150000</v>
      </c>
      <c r="Q24" s="1201">
        <v>0</v>
      </c>
      <c r="R24" s="991"/>
      <c r="S24" s="981"/>
      <c r="T24" s="1201"/>
      <c r="U24" s="963">
        <f t="shared" si="0"/>
        <v>150000</v>
      </c>
      <c r="V24" s="962">
        <f t="shared" si="0"/>
        <v>150000</v>
      </c>
      <c r="W24" s="964">
        <f t="shared" si="2"/>
        <v>0</v>
      </c>
      <c r="X24" s="77"/>
    </row>
    <row r="25" spans="1:24" s="76" customFormat="1" ht="15.75" thickBot="1">
      <c r="A25" s="975" t="s">
        <v>980</v>
      </c>
      <c r="B25" s="980"/>
      <c r="C25" s="933"/>
      <c r="D25" s="934">
        <v>25880</v>
      </c>
      <c r="E25" s="987" t="s">
        <v>356</v>
      </c>
      <c r="F25" s="997"/>
      <c r="G25" s="998"/>
      <c r="H25" s="999"/>
      <c r="I25" s="997"/>
      <c r="J25" s="998"/>
      <c r="K25" s="1004"/>
      <c r="L25" s="997"/>
      <c r="M25" s="998"/>
      <c r="N25" s="999"/>
      <c r="O25" s="997"/>
      <c r="P25" s="998"/>
      <c r="Q25" s="1004">
        <v>25880</v>
      </c>
      <c r="R25" s="1208"/>
      <c r="S25" s="1209"/>
      <c r="T25" s="1210"/>
      <c r="U25" s="1428">
        <f t="shared" si="0"/>
        <v>0</v>
      </c>
      <c r="V25" s="1008">
        <f t="shared" si="0"/>
        <v>0</v>
      </c>
      <c r="W25" s="1009">
        <f t="shared" si="2"/>
        <v>25880</v>
      </c>
      <c r="X25" s="77"/>
    </row>
    <row r="26" spans="1:24" ht="15.75" thickBot="1">
      <c r="A26" s="113" t="s">
        <v>72</v>
      </c>
      <c r="B26" s="1307">
        <f>SUM(B6:B25)</f>
        <v>462264</v>
      </c>
      <c r="C26" s="81">
        <f>SUM(C6:C25)</f>
        <v>459264</v>
      </c>
      <c r="D26" s="112">
        <f>SUM(D6:D25)</f>
        <v>421869</v>
      </c>
      <c r="E26" s="169" t="s">
        <v>72</v>
      </c>
      <c r="F26" s="935">
        <f t="shared" ref="F26:Q26" si="3">SUM(F6:F25)</f>
        <v>80655</v>
      </c>
      <c r="G26" s="81">
        <f t="shared" ref="G26" si="4">SUM(G6:G25)</f>
        <v>80655</v>
      </c>
      <c r="H26" s="112">
        <f t="shared" si="3"/>
        <v>70557</v>
      </c>
      <c r="I26" s="935">
        <f t="shared" si="3"/>
        <v>16209</v>
      </c>
      <c r="J26" s="81">
        <f t="shared" ref="J26" si="5">SUM(J6:J25)</f>
        <v>16209</v>
      </c>
      <c r="K26" s="112">
        <f t="shared" si="3"/>
        <v>14068</v>
      </c>
      <c r="L26" s="935">
        <f t="shared" si="3"/>
        <v>215400</v>
      </c>
      <c r="M26" s="170">
        <f t="shared" ref="M26" si="6">SUM(M6:M25)</f>
        <v>212400</v>
      </c>
      <c r="N26" s="112">
        <f t="shared" si="3"/>
        <v>211354</v>
      </c>
      <c r="O26" s="935">
        <f t="shared" si="3"/>
        <v>150000</v>
      </c>
      <c r="P26" s="81">
        <f t="shared" ref="P26" si="7">SUM(P6:P25)</f>
        <v>150000</v>
      </c>
      <c r="Q26" s="170">
        <f t="shared" si="3"/>
        <v>123390</v>
      </c>
      <c r="R26" s="935">
        <f>SUM(R6:R25)</f>
        <v>0</v>
      </c>
      <c r="S26" s="81">
        <f>SUM(S6:S25)</f>
        <v>0</v>
      </c>
      <c r="T26" s="170">
        <f>SUM(T6:T25)</f>
        <v>2500</v>
      </c>
      <c r="U26" s="935">
        <f t="shared" ref="U26:W26" si="8">SUM(U6:U25)</f>
        <v>462264</v>
      </c>
      <c r="V26" s="81">
        <f t="shared" si="8"/>
        <v>459264</v>
      </c>
      <c r="W26" s="112">
        <f t="shared" si="8"/>
        <v>421869</v>
      </c>
      <c r="X26" s="74"/>
    </row>
    <row r="27" spans="1:24">
      <c r="A27" s="78"/>
      <c r="B27" s="78"/>
      <c r="C27" s="79"/>
      <c r="D27" s="79"/>
      <c r="E27" s="78"/>
      <c r="F27" s="80"/>
      <c r="G27" s="80"/>
      <c r="H27" s="80"/>
      <c r="I27" s="80"/>
      <c r="J27" s="80"/>
      <c r="K27" s="80"/>
      <c r="L27" s="80"/>
      <c r="M27" s="80"/>
      <c r="N27" s="80"/>
      <c r="O27" s="80"/>
      <c r="P27" s="80"/>
      <c r="Q27" s="80"/>
      <c r="R27" s="80"/>
      <c r="S27" s="80"/>
      <c r="T27" s="80"/>
      <c r="U27" s="79"/>
      <c r="V27" s="79"/>
      <c r="W27" s="79"/>
      <c r="X27" s="74"/>
    </row>
    <row r="28" spans="1:24">
      <c r="A28" s="72"/>
      <c r="B28" s="72"/>
    </row>
    <row r="29" spans="1:24">
      <c r="A29" s="208"/>
    </row>
    <row r="30" spans="1:24">
      <c r="A30" s="208"/>
    </row>
  </sheetData>
  <sortState ref="A6:Z20">
    <sortCondition ref="Y6:Y20"/>
  </sortState>
  <mergeCells count="18">
    <mergeCell ref="A22:A23"/>
    <mergeCell ref="B22:B23"/>
    <mergeCell ref="C22:C23"/>
    <mergeCell ref="D22:D23"/>
    <mergeCell ref="R4:T4"/>
    <mergeCell ref="E3:W3"/>
    <mergeCell ref="A1:W1"/>
    <mergeCell ref="A3:D3"/>
    <mergeCell ref="A4:A5"/>
    <mergeCell ref="D4:D5"/>
    <mergeCell ref="E4:E5"/>
    <mergeCell ref="B4:B5"/>
    <mergeCell ref="C4:C5"/>
    <mergeCell ref="F4:H4"/>
    <mergeCell ref="I4:K4"/>
    <mergeCell ref="L4:N4"/>
    <mergeCell ref="O4:Q4"/>
    <mergeCell ref="U4:W4"/>
  </mergeCells>
  <pageMargins left="0.70866141732283472" right="0.70866141732283472" top="0.74803149606299213" bottom="0.74803149606299213" header="0.31496062992125984" footer="0.31496062992125984"/>
  <pageSetup paperSize="9" scale="44" fitToHeight="2" orientation="landscape" r:id="rId1"/>
  <headerFooter>
    <oddHeader>&amp;L&amp;"Times New Roman,Normál"&amp;8 14. melléklet  1, 2, 3</oddHeader>
    <oddFooter>&amp;L1. Mód.: 3/2019 (II.27.) önk. rend. 2.§. Hat.: 2019.03.01. napjától
2. Mód.: 9/2019 (IV.24.) önk. rend. 2.§ Hat.: 2019.04.25. napjától
3. Mód.: 18/2019 (IX.11.) önk. rend. 2.§ Hat.:2019.09.12. napjától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Layout" topLeftCell="A58" zoomScale="70" zoomScaleNormal="100" zoomScalePageLayoutView="70" workbookViewId="0">
      <selection activeCell="D35" sqref="D35"/>
    </sheetView>
  </sheetViews>
  <sheetFormatPr defaultRowHeight="15"/>
  <cols>
    <col min="1" max="1" width="65.140625" style="7" bestFit="1" customWidth="1"/>
    <col min="2" max="4" width="15.5703125" style="5" customWidth="1"/>
    <col min="5" max="5" width="65.28515625" style="7" customWidth="1"/>
    <col min="6" max="8" width="15.5703125" style="5" customWidth="1"/>
    <col min="9" max="9" width="14.85546875" style="5" customWidth="1"/>
    <col min="10" max="16384" width="9.140625" style="5"/>
  </cols>
  <sheetData>
    <row r="1" spans="1:8" s="6" customFormat="1" ht="15" customHeight="1">
      <c r="A1" s="1710" t="s">
        <v>432</v>
      </c>
      <c r="B1" s="1710"/>
      <c r="C1" s="1710"/>
      <c r="D1" s="1710"/>
      <c r="E1" s="1710"/>
      <c r="F1" s="1710"/>
      <c r="G1" s="1710"/>
      <c r="H1" s="1710"/>
    </row>
    <row r="2" spans="1:8" ht="15.75" thickBot="1"/>
    <row r="3" spans="1:8">
      <c r="A3" s="1711" t="s">
        <v>0</v>
      </c>
      <c r="B3" s="1712"/>
      <c r="C3" s="1712"/>
      <c r="D3" s="1712"/>
      <c r="E3" s="1713" t="s">
        <v>1</v>
      </c>
      <c r="F3" s="1714"/>
      <c r="G3" s="1714"/>
      <c r="H3" s="1715"/>
    </row>
    <row r="4" spans="1:8" ht="15.75" thickBot="1">
      <c r="A4" s="1430" t="s">
        <v>2</v>
      </c>
      <c r="B4" s="1431" t="s">
        <v>3</v>
      </c>
      <c r="C4" s="1432" t="s">
        <v>883</v>
      </c>
      <c r="D4" s="1444" t="s">
        <v>981</v>
      </c>
      <c r="E4" s="1430" t="s">
        <v>2</v>
      </c>
      <c r="F4" s="1431" t="s">
        <v>3</v>
      </c>
      <c r="G4" s="1431" t="s">
        <v>883</v>
      </c>
      <c r="H4" s="1457" t="s">
        <v>981</v>
      </c>
    </row>
    <row r="5" spans="1:8">
      <c r="A5" s="1437" t="s">
        <v>5</v>
      </c>
      <c r="B5" s="1438">
        <f>'3. melléklet'!K5</f>
        <v>1175495</v>
      </c>
      <c r="C5" s="1438">
        <f>'3. melléklet'!L6</f>
        <v>1346712</v>
      </c>
      <c r="D5" s="1445">
        <f>'3. melléklet'!M6</f>
        <v>1469816</v>
      </c>
      <c r="E5" s="1467" t="s">
        <v>6</v>
      </c>
      <c r="F5" s="1438">
        <f>'4. melléklet'!M6</f>
        <v>1733873</v>
      </c>
      <c r="G5" s="1468">
        <f>'4. melléklet'!N6</f>
        <v>1768287</v>
      </c>
      <c r="H5" s="1439">
        <f>'4. melléklet'!O6</f>
        <v>1786579</v>
      </c>
    </row>
    <row r="6" spans="1:8">
      <c r="A6" s="341"/>
      <c r="B6" s="1433"/>
      <c r="C6" s="1433"/>
      <c r="D6" s="1446"/>
      <c r="E6" s="361"/>
      <c r="F6" s="1433"/>
      <c r="G6" s="1458"/>
      <c r="H6" s="356"/>
    </row>
    <row r="7" spans="1:8">
      <c r="A7" s="341" t="s">
        <v>7</v>
      </c>
      <c r="B7" s="1434">
        <f>SUM(B8:B9)</f>
        <v>282917</v>
      </c>
      <c r="C7" s="1434">
        <f>SUM(C8:C9)</f>
        <v>272922</v>
      </c>
      <c r="D7" s="1447">
        <f>SUM(D8:D9)</f>
        <v>308910</v>
      </c>
      <c r="E7" s="306" t="s">
        <v>9</v>
      </c>
      <c r="F7" s="1433">
        <f>'4. melléklet'!M7</f>
        <v>344421</v>
      </c>
      <c r="G7" s="1458">
        <f>'4. melléklet'!N7</f>
        <v>350811</v>
      </c>
      <c r="H7" s="356">
        <f>'4. melléklet'!O7</f>
        <v>356851</v>
      </c>
    </row>
    <row r="8" spans="1:8" s="99" customFormat="1">
      <c r="A8" s="346" t="s">
        <v>410</v>
      </c>
      <c r="B8" s="1435">
        <f>'3. melléklet'!K9</f>
        <v>0</v>
      </c>
      <c r="C8" s="1435">
        <f>'3. melléklet'!L9</f>
        <v>0</v>
      </c>
      <c r="D8" s="1448">
        <f>'3. melléklet'!M9</f>
        <v>3072</v>
      </c>
      <c r="E8" s="390"/>
      <c r="F8" s="1435"/>
      <c r="G8" s="1459"/>
      <c r="H8" s="354"/>
    </row>
    <row r="9" spans="1:8">
      <c r="A9" s="349" t="s">
        <v>8</v>
      </c>
      <c r="B9" s="1436">
        <f>'3. melléklet'!K10</f>
        <v>282917</v>
      </c>
      <c r="C9" s="1436">
        <f>'3. melléklet'!L10</f>
        <v>272922</v>
      </c>
      <c r="D9" s="1449">
        <f>'3. melléklet'!M10</f>
        <v>305838</v>
      </c>
      <c r="E9" s="361" t="s">
        <v>12</v>
      </c>
      <c r="F9" s="1433">
        <f>'4. melléklet'!M8</f>
        <v>2325695</v>
      </c>
      <c r="G9" s="1458">
        <f>'4. melléklet'!N8</f>
        <v>2498654</v>
      </c>
      <c r="H9" s="356">
        <f>'4. melléklet'!O8</f>
        <v>2581884</v>
      </c>
    </row>
    <row r="10" spans="1:8">
      <c r="A10" s="341"/>
      <c r="B10" s="1433"/>
      <c r="C10" s="1433"/>
      <c r="D10" s="1446"/>
      <c r="E10" s="361"/>
      <c r="F10" s="1433"/>
      <c r="G10" s="1458"/>
      <c r="H10" s="356"/>
    </row>
    <row r="11" spans="1:8">
      <c r="A11" s="341" t="s">
        <v>11</v>
      </c>
      <c r="B11" s="1434">
        <f>SUM(B12:B16)</f>
        <v>2310000</v>
      </c>
      <c r="C11" s="1434">
        <f>SUM(C12:C16)</f>
        <v>2350370</v>
      </c>
      <c r="D11" s="1447">
        <f>SUM(D12:D16)</f>
        <v>2350370</v>
      </c>
      <c r="E11" s="361" t="s">
        <v>14</v>
      </c>
      <c r="F11" s="1434">
        <f>'4. melléklet'!M9</f>
        <v>64850</v>
      </c>
      <c r="G11" s="1460">
        <f>'4. melléklet'!N9</f>
        <v>64550</v>
      </c>
      <c r="H11" s="345">
        <f>'4. melléklet'!O9</f>
        <v>65113</v>
      </c>
    </row>
    <row r="12" spans="1:8">
      <c r="A12" s="349" t="s">
        <v>13</v>
      </c>
      <c r="B12" s="1436">
        <f>'3. melléklet'!K14</f>
        <v>520000</v>
      </c>
      <c r="C12" s="1436">
        <f>'3. melléklet'!L14</f>
        <v>520000</v>
      </c>
      <c r="D12" s="1449">
        <f>'3. melléklet'!M14</f>
        <v>520000</v>
      </c>
      <c r="E12" s="361"/>
      <c r="F12" s="1436"/>
      <c r="G12" s="1461"/>
      <c r="H12" s="353"/>
    </row>
    <row r="13" spans="1:8">
      <c r="A13" s="349" t="s">
        <v>79</v>
      </c>
      <c r="B13" s="1436">
        <f>'3. melléklet'!K17</f>
        <v>1780000</v>
      </c>
      <c r="C13" s="1436">
        <f>'3. melléklet'!L17</f>
        <v>1820370</v>
      </c>
      <c r="D13" s="1449">
        <f>'3. melléklet'!M17</f>
        <v>1820370</v>
      </c>
      <c r="E13" s="361" t="s">
        <v>16</v>
      </c>
      <c r="F13" s="1434">
        <f>SUM(F14:F18)</f>
        <v>1299261</v>
      </c>
      <c r="G13" s="1460">
        <f>SUM(G14:G18)</f>
        <v>1403434</v>
      </c>
      <c r="H13" s="345">
        <f>SUM(H14:H18)</f>
        <v>1479283</v>
      </c>
    </row>
    <row r="14" spans="1:8">
      <c r="A14" s="349" t="s">
        <v>15</v>
      </c>
      <c r="B14" s="1436">
        <f>'3. melléklet'!K21</f>
        <v>4000</v>
      </c>
      <c r="C14" s="1436">
        <f>'3. melléklet'!L21</f>
        <v>4000</v>
      </c>
      <c r="D14" s="1449">
        <f>'3. melléklet'!M21</f>
        <v>4000</v>
      </c>
      <c r="E14" s="307" t="s">
        <v>17</v>
      </c>
      <c r="F14" s="1436">
        <f>'4. melléklet'!M11</f>
        <v>0</v>
      </c>
      <c r="G14" s="1461">
        <f>'4. melléklet'!N11</f>
        <v>0</v>
      </c>
      <c r="H14" s="353">
        <f>'4. melléklet'!O11</f>
        <v>0</v>
      </c>
    </row>
    <row r="15" spans="1:8">
      <c r="A15" s="349" t="s">
        <v>411</v>
      </c>
      <c r="B15" s="1436">
        <f>'3. melléklet'!K22</f>
        <v>4000</v>
      </c>
      <c r="C15" s="1436">
        <f>'3. melléklet'!L22</f>
        <v>4000</v>
      </c>
      <c r="D15" s="1449">
        <f>'3. melléklet'!M22</f>
        <v>4000</v>
      </c>
      <c r="E15" s="307" t="s">
        <v>18</v>
      </c>
      <c r="F15" s="1436">
        <f>'4. melléklet'!M12</f>
        <v>18000</v>
      </c>
      <c r="G15" s="1461">
        <f>'4. melléklet'!N12</f>
        <v>18000</v>
      </c>
      <c r="H15" s="353">
        <f>'4. melléklet'!O12</f>
        <v>18000</v>
      </c>
    </row>
    <row r="16" spans="1:8">
      <c r="A16" s="349" t="s">
        <v>88</v>
      </c>
      <c r="B16" s="1436">
        <f>'3. melléklet'!K23</f>
        <v>2000</v>
      </c>
      <c r="C16" s="1436">
        <f>'3. melléklet'!L23</f>
        <v>2000</v>
      </c>
      <c r="D16" s="1449">
        <f>'3. melléklet'!M23</f>
        <v>2000</v>
      </c>
      <c r="E16" s="307" t="s">
        <v>19</v>
      </c>
      <c r="F16" s="1436">
        <f>'4. melléklet'!M13</f>
        <v>40000</v>
      </c>
      <c r="G16" s="1461">
        <f>'4. melléklet'!N13</f>
        <v>40000</v>
      </c>
      <c r="H16" s="353">
        <f>'4. melléklet'!O13</f>
        <v>40000</v>
      </c>
    </row>
    <row r="17" spans="1:8" ht="15" customHeight="1">
      <c r="A17" s="349"/>
      <c r="B17" s="1436"/>
      <c r="C17" s="1436"/>
      <c r="D17" s="1449"/>
      <c r="E17" s="307" t="s">
        <v>21</v>
      </c>
      <c r="F17" s="1436">
        <f>'4. melléklet'!M14</f>
        <v>1067261</v>
      </c>
      <c r="G17" s="1436">
        <f>'4. melléklet'!N14</f>
        <v>1157099</v>
      </c>
      <c r="H17" s="353">
        <f>'4. melléklet'!O14</f>
        <v>1226437</v>
      </c>
    </row>
    <row r="18" spans="1:8">
      <c r="A18" s="341" t="s">
        <v>20</v>
      </c>
      <c r="B18" s="1434">
        <f>SUM(B19:B26)</f>
        <v>2182736</v>
      </c>
      <c r="C18" s="1434">
        <f>SUM(C19:C26)</f>
        <v>2468480</v>
      </c>
      <c r="D18" s="1447">
        <f>SUM(D19:D26)</f>
        <v>2589094</v>
      </c>
      <c r="E18" s="307" t="s">
        <v>23</v>
      </c>
      <c r="F18" s="1436">
        <f>SUM(F19:F21)</f>
        <v>174000</v>
      </c>
      <c r="G18" s="1436">
        <f>SUM(G19:G21)</f>
        <v>188335</v>
      </c>
      <c r="H18" s="353">
        <f>SUM(H19:H21)</f>
        <v>194846</v>
      </c>
    </row>
    <row r="19" spans="1:8" ht="30">
      <c r="A19" s="349" t="s">
        <v>66</v>
      </c>
      <c r="B19" s="1435">
        <f>'3. melléklet'!K25</f>
        <v>1466514</v>
      </c>
      <c r="C19" s="1435">
        <f>'3. melléklet'!L25</f>
        <v>1491509</v>
      </c>
      <c r="D19" s="1448">
        <f>'3. melléklet'!M25</f>
        <v>1493509</v>
      </c>
      <c r="E19" s="1469" t="s">
        <v>25</v>
      </c>
      <c r="F19" s="1462">
        <f>'4. melléklet'!M16</f>
        <v>15000</v>
      </c>
      <c r="G19" s="1462">
        <f>'4. melléklet'!N16</f>
        <v>10713</v>
      </c>
      <c r="H19" s="1470">
        <f>'4. melléklet'!O16</f>
        <v>14998</v>
      </c>
    </row>
    <row r="20" spans="1:8">
      <c r="A20" s="349" t="s">
        <v>24</v>
      </c>
      <c r="B20" s="1435">
        <f>'3. melléklet'!K26</f>
        <v>67501</v>
      </c>
      <c r="C20" s="1435">
        <f>'3. melléklet'!L26</f>
        <v>267501</v>
      </c>
      <c r="D20" s="1448">
        <f>'3. melléklet'!M26</f>
        <v>358720</v>
      </c>
      <c r="E20" s="1471" t="s">
        <v>27</v>
      </c>
      <c r="F20" s="1462">
        <f>'4. melléklet'!M17</f>
        <v>150000</v>
      </c>
      <c r="G20" s="1462">
        <f>'4. melléklet'!N17</f>
        <v>150518</v>
      </c>
      <c r="H20" s="1470">
        <f>'4. melléklet'!O17</f>
        <v>152744</v>
      </c>
    </row>
    <row r="21" spans="1:8">
      <c r="A21" s="349" t="s">
        <v>26</v>
      </c>
      <c r="B21" s="1435">
        <f>'3. melléklet'!K27</f>
        <v>29092</v>
      </c>
      <c r="C21" s="1435">
        <f>'3. melléklet'!L27</f>
        <v>29092</v>
      </c>
      <c r="D21" s="1448">
        <f>'3. melléklet'!M27</f>
        <v>29092</v>
      </c>
      <c r="E21" s="1472" t="s">
        <v>29</v>
      </c>
      <c r="F21" s="1463">
        <f>'4. melléklet'!M18</f>
        <v>9000</v>
      </c>
      <c r="G21" s="1463">
        <f>'4. melléklet'!N18</f>
        <v>27104</v>
      </c>
      <c r="H21" s="395">
        <f>'4. melléklet'!O18</f>
        <v>27104</v>
      </c>
    </row>
    <row r="22" spans="1:8">
      <c r="A22" s="349" t="s">
        <v>28</v>
      </c>
      <c r="B22" s="1435">
        <f>'3. melléklet'!K28</f>
        <v>81780</v>
      </c>
      <c r="C22" s="1435">
        <f>'3. melléklet'!L28</f>
        <v>81780</v>
      </c>
      <c r="D22" s="1448">
        <f>'3. melléklet'!M28</f>
        <v>81780</v>
      </c>
      <c r="E22" s="1472"/>
      <c r="F22" s="1463"/>
      <c r="G22" s="1463"/>
      <c r="H22" s="395"/>
    </row>
    <row r="23" spans="1:8">
      <c r="A23" s="349" t="s">
        <v>30</v>
      </c>
      <c r="B23" s="1435">
        <f>'3. melléklet'!K29</f>
        <v>114014</v>
      </c>
      <c r="C23" s="1435">
        <f>'3. melléklet'!L29</f>
        <v>114014</v>
      </c>
      <c r="D23" s="1448">
        <f>'3. melléklet'!M29</f>
        <v>117014</v>
      </c>
      <c r="E23" s="1472"/>
      <c r="F23" s="1436"/>
      <c r="G23" s="1436"/>
      <c r="H23" s="353"/>
    </row>
    <row r="24" spans="1:8">
      <c r="A24" s="349" t="s">
        <v>31</v>
      </c>
      <c r="B24" s="1435">
        <f>'3. melléklet'!K30</f>
        <v>423835</v>
      </c>
      <c r="C24" s="1435">
        <f>'3. melléklet'!L30</f>
        <v>484584</v>
      </c>
      <c r="D24" s="1448">
        <f>'3. melléklet'!M30</f>
        <v>508979</v>
      </c>
      <c r="E24" s="1473"/>
      <c r="F24" s="1463"/>
      <c r="G24" s="1463"/>
      <c r="H24" s="395"/>
    </row>
    <row r="25" spans="1:8">
      <c r="A25" s="349" t="s">
        <v>412</v>
      </c>
      <c r="B25" s="1435">
        <f>'3. melléklet'!K31</f>
        <v>0</v>
      </c>
      <c r="C25" s="1435">
        <f>'3. melléklet'!L31</f>
        <v>0</v>
      </c>
      <c r="D25" s="1448">
        <f>'3. melléklet'!M31</f>
        <v>0</v>
      </c>
      <c r="E25" s="1474"/>
      <c r="F25" s="1463"/>
      <c r="G25" s="1463"/>
      <c r="H25" s="395"/>
    </row>
    <row r="26" spans="1:8">
      <c r="A26" s="355" t="s">
        <v>33</v>
      </c>
      <c r="B26" s="1435">
        <f>'3. melléklet'!K32</f>
        <v>0</v>
      </c>
      <c r="C26" s="1435">
        <f>'3. melléklet'!L32</f>
        <v>0</v>
      </c>
      <c r="D26" s="1448">
        <f>'3. melléklet'!M32</f>
        <v>0</v>
      </c>
      <c r="E26" s="1474"/>
      <c r="F26" s="1436"/>
      <c r="G26" s="1436"/>
      <c r="H26" s="353"/>
    </row>
    <row r="27" spans="1:8">
      <c r="A27" s="355"/>
      <c r="B27" s="1436"/>
      <c r="C27" s="1436"/>
      <c r="D27" s="1449"/>
      <c r="E27" s="1474"/>
      <c r="F27" s="1436"/>
      <c r="G27" s="1436"/>
      <c r="H27" s="353"/>
    </row>
    <row r="28" spans="1:8">
      <c r="A28" s="341" t="s">
        <v>55</v>
      </c>
      <c r="B28" s="1433">
        <f>B29</f>
        <v>829954</v>
      </c>
      <c r="C28" s="1433">
        <f>C29</f>
        <v>1005654</v>
      </c>
      <c r="D28" s="1446">
        <f>D29</f>
        <v>1019379</v>
      </c>
      <c r="E28" s="391"/>
      <c r="F28" s="1436"/>
      <c r="G28" s="1436"/>
      <c r="H28" s="353"/>
    </row>
    <row r="29" spans="1:8">
      <c r="A29" s="349" t="s">
        <v>56</v>
      </c>
      <c r="B29" s="1436">
        <v>829954</v>
      </c>
      <c r="C29" s="1436">
        <v>1005654</v>
      </c>
      <c r="D29" s="1449">
        <v>1019379</v>
      </c>
      <c r="E29" s="391"/>
      <c r="F29" s="1436"/>
      <c r="G29" s="1436"/>
      <c r="H29" s="353"/>
    </row>
    <row r="30" spans="1:8" ht="17.25" customHeight="1">
      <c r="A30" s="349"/>
      <c r="B30" s="1436"/>
      <c r="C30" s="1436"/>
      <c r="D30" s="1449"/>
      <c r="E30" s="391"/>
      <c r="F30" s="1436"/>
      <c r="G30" s="1436"/>
      <c r="H30" s="353"/>
    </row>
    <row r="31" spans="1:8">
      <c r="A31" s="341" t="s">
        <v>38</v>
      </c>
      <c r="B31" s="1433">
        <f>SUM(B32:B33)</f>
        <v>65367</v>
      </c>
      <c r="C31" s="1433">
        <f>SUM(C32:C33)</f>
        <v>74367</v>
      </c>
      <c r="D31" s="1446">
        <f>SUM(D32:D33)</f>
        <v>67960</v>
      </c>
      <c r="E31" s="391"/>
      <c r="F31" s="1436"/>
      <c r="G31" s="1436"/>
      <c r="H31" s="353"/>
    </row>
    <row r="32" spans="1:8">
      <c r="A32" s="349" t="s">
        <v>19</v>
      </c>
      <c r="B32" s="1436">
        <f>'3. melléklet'!K37</f>
        <v>55000</v>
      </c>
      <c r="C32" s="1436">
        <f>'3. melléklet'!L37</f>
        <v>55000</v>
      </c>
      <c r="D32" s="1449">
        <f>'3. melléklet'!M37</f>
        <v>55000</v>
      </c>
      <c r="E32" s="391"/>
      <c r="F32" s="1436"/>
      <c r="G32" s="1436"/>
      <c r="H32" s="353"/>
    </row>
    <row r="33" spans="1:10">
      <c r="A33" s="349" t="s">
        <v>8</v>
      </c>
      <c r="B33" s="1436">
        <f>'3. melléklet'!K38</f>
        <v>10367</v>
      </c>
      <c r="C33" s="1436">
        <f>'3. melléklet'!L38</f>
        <v>19367</v>
      </c>
      <c r="D33" s="1449">
        <f>'3. melléklet'!M38</f>
        <v>12960</v>
      </c>
      <c r="E33" s="391"/>
      <c r="F33" s="1436"/>
      <c r="G33" s="1436"/>
      <c r="H33" s="353"/>
    </row>
    <row r="34" spans="1:10" ht="15.75" thickBot="1">
      <c r="A34" s="1440"/>
      <c r="B34" s="1441"/>
      <c r="C34" s="1441"/>
      <c r="D34" s="1450"/>
      <c r="E34" s="1476"/>
      <c r="F34" s="1441"/>
      <c r="G34" s="1441"/>
      <c r="H34" s="1442"/>
    </row>
    <row r="35" spans="1:10" ht="15.75" thickBot="1">
      <c r="A35" s="1443" t="s">
        <v>52</v>
      </c>
      <c r="B35" s="9">
        <f>B5+B7+B11+B18-B28+B31</f>
        <v>5186561</v>
      </c>
      <c r="C35" s="9">
        <f>C5+C7+C11+C18-C28+C31</f>
        <v>5507197</v>
      </c>
      <c r="D35" s="183">
        <f>D5+D7+D11+D18-D28+D31</f>
        <v>5766771</v>
      </c>
      <c r="E35" s="293" t="s">
        <v>53</v>
      </c>
      <c r="F35" s="9">
        <f>F5+F7+F9+F11+F13</f>
        <v>5768100</v>
      </c>
      <c r="G35" s="9">
        <f>G5+G7+G9+G11+G13</f>
        <v>6085736</v>
      </c>
      <c r="H35" s="153">
        <f>H5+H7+H9+H11+H13</f>
        <v>6269710</v>
      </c>
      <c r="I35" s="101"/>
    </row>
    <row r="36" spans="1:10">
      <c r="A36" s="191" t="s">
        <v>863</v>
      </c>
      <c r="B36" s="185">
        <v>-581539</v>
      </c>
      <c r="C36" s="186">
        <v>-578539</v>
      </c>
      <c r="D36" s="1451">
        <v>-502939</v>
      </c>
      <c r="E36" s="191"/>
      <c r="F36" s="185"/>
      <c r="G36" s="185"/>
      <c r="H36" s="192"/>
    </row>
    <row r="37" spans="1:10">
      <c r="A37" s="361" t="s">
        <v>409</v>
      </c>
      <c r="B37" s="1308">
        <f>'14. melléklet 2'!B26+'14. melléklet 3'!B10+'14. melléklet 3'!B32</f>
        <v>581539</v>
      </c>
      <c r="C37" s="190">
        <v>578539</v>
      </c>
      <c r="D37" s="1452">
        <f>'14. melléklet 2'!D26+'14. melléklet 3'!D14+'14. melléklet 3'!D32-'14. melléklet 3'!Q32</f>
        <v>502939</v>
      </c>
      <c r="E37" s="361"/>
      <c r="F37" s="1433"/>
      <c r="G37" s="1433"/>
      <c r="H37" s="356"/>
    </row>
    <row r="38" spans="1:10">
      <c r="A38" s="361" t="s">
        <v>89</v>
      </c>
      <c r="B38" s="344">
        <f>'3. melléklet'!K44</f>
        <v>1000000</v>
      </c>
      <c r="C38" s="190">
        <f>'3. melléklet'!L44</f>
        <v>1000000</v>
      </c>
      <c r="D38" s="1452">
        <f>'3. melléklet'!M44</f>
        <v>1000000</v>
      </c>
      <c r="E38" s="361" t="s">
        <v>90</v>
      </c>
      <c r="F38" s="1433">
        <f>'4. melléklet'!M29</f>
        <v>1000000</v>
      </c>
      <c r="G38" s="1464">
        <f>'4. melléklet'!N29</f>
        <v>1000000</v>
      </c>
      <c r="H38" s="356">
        <f>'4. melléklet'!O29</f>
        <v>1000000</v>
      </c>
      <c r="I38" s="1517"/>
      <c r="J38" s="1517"/>
    </row>
    <row r="39" spans="1:10">
      <c r="A39" s="362" t="s">
        <v>57</v>
      </c>
      <c r="B39" s="342">
        <f>F39</f>
        <v>2154767</v>
      </c>
      <c r="C39" s="187">
        <v>2088526</v>
      </c>
      <c r="D39" s="1453">
        <v>2108566</v>
      </c>
      <c r="E39" s="361" t="s">
        <v>58</v>
      </c>
      <c r="F39" s="1465">
        <f>'4. melléklet'!M31-F67</f>
        <v>2154767</v>
      </c>
      <c r="G39" s="1466">
        <v>2088526</v>
      </c>
      <c r="H39" s="1475">
        <v>2108566</v>
      </c>
      <c r="I39" s="1518"/>
      <c r="J39" s="1519"/>
    </row>
    <row r="40" spans="1:10">
      <c r="A40" s="362" t="s">
        <v>45</v>
      </c>
      <c r="B40" s="342">
        <f>'3. melléklet'!K45</f>
        <v>40000</v>
      </c>
      <c r="C40" s="187">
        <f>'3. melléklet'!L45</f>
        <v>44000</v>
      </c>
      <c r="D40" s="1453">
        <f>'3. melléklet'!M45</f>
        <v>49200</v>
      </c>
      <c r="E40" s="361" t="s">
        <v>99</v>
      </c>
      <c r="F40" s="1433">
        <f>'4. melléklet'!M30</f>
        <v>40000</v>
      </c>
      <c r="G40" s="1464">
        <f>'4. melléklet'!N30</f>
        <v>44000</v>
      </c>
      <c r="H40" s="356">
        <f>'4. melléklet'!O30</f>
        <v>49200</v>
      </c>
    </row>
    <row r="41" spans="1:10" ht="15.75" thickBot="1">
      <c r="A41" s="363"/>
      <c r="B41" s="364"/>
      <c r="C41" s="365"/>
      <c r="D41" s="1454"/>
      <c r="E41" s="1477"/>
      <c r="F41" s="1478"/>
      <c r="G41" s="1478"/>
      <c r="H41" s="1479"/>
    </row>
    <row r="42" spans="1:10" ht="15.75" thickBot="1">
      <c r="A42" s="22" t="s">
        <v>51</v>
      </c>
      <c r="B42" s="9">
        <f>SUM(B37:B40)</f>
        <v>3776306</v>
      </c>
      <c r="C42" s="9">
        <f>SUM(C37:C40)</f>
        <v>3711065</v>
      </c>
      <c r="D42" s="172">
        <f>SUM(D37:D40)</f>
        <v>3660705</v>
      </c>
      <c r="E42" s="293" t="s">
        <v>54</v>
      </c>
      <c r="F42" s="9">
        <f>SUM(F38:F40)</f>
        <v>3194767</v>
      </c>
      <c r="G42" s="9">
        <f>SUM(G38:G40)</f>
        <v>3132526</v>
      </c>
      <c r="H42" s="153">
        <f>SUM(H38:H40)</f>
        <v>3157766</v>
      </c>
    </row>
    <row r="43" spans="1:10" ht="15.75" thickBot="1">
      <c r="A43" s="154"/>
      <c r="B43" s="367"/>
      <c r="C43" s="173"/>
      <c r="D43" s="1455"/>
      <c r="E43" s="154"/>
      <c r="F43" s="367"/>
      <c r="G43" s="367"/>
      <c r="H43" s="155"/>
    </row>
    <row r="44" spans="1:10" ht="15.75" thickBot="1">
      <c r="A44" s="10" t="s">
        <v>95</v>
      </c>
      <c r="B44" s="11">
        <f>B35+B42</f>
        <v>8962867</v>
      </c>
      <c r="C44" s="174">
        <f>C35+C42</f>
        <v>9218262</v>
      </c>
      <c r="D44" s="1456">
        <f>D35+D42</f>
        <v>9427476</v>
      </c>
      <c r="E44" s="10" t="s">
        <v>98</v>
      </c>
      <c r="F44" s="9">
        <f>F35+F42</f>
        <v>8962867</v>
      </c>
      <c r="G44" s="9">
        <f>G35+G42</f>
        <v>9218262</v>
      </c>
      <c r="H44" s="153">
        <f>H35+H42</f>
        <v>9427476</v>
      </c>
      <c r="I44" s="101"/>
      <c r="J44" s="101"/>
    </row>
    <row r="45" spans="1:10" s="6" customFormat="1" ht="15" customHeight="1">
      <c r="A45" s="12"/>
      <c r="B45" s="13"/>
      <c r="C45" s="13"/>
      <c r="D45" s="13"/>
      <c r="E45" s="12"/>
      <c r="F45" s="5"/>
      <c r="G45" s="5"/>
      <c r="H45" s="5"/>
    </row>
    <row r="46" spans="1:10" ht="14.25" customHeight="1">
      <c r="A46" s="1710" t="s">
        <v>1026</v>
      </c>
      <c r="B46" s="1710"/>
      <c r="C46" s="1710"/>
      <c r="D46" s="1710"/>
      <c r="E46" s="1710"/>
      <c r="F46" s="1710"/>
      <c r="G46" s="1710"/>
      <c r="H46" s="1710"/>
    </row>
    <row r="47" spans="1:10" s="6" customFormat="1" ht="15.75" thickBot="1">
      <c r="A47" s="7"/>
      <c r="B47" s="5"/>
      <c r="C47" s="5"/>
      <c r="D47" s="5"/>
      <c r="E47" s="14"/>
      <c r="F47" s="5"/>
      <c r="G47" s="5"/>
      <c r="H47" s="5"/>
    </row>
    <row r="48" spans="1:10" s="6" customFormat="1">
      <c r="A48" s="1704" t="s">
        <v>0</v>
      </c>
      <c r="B48" s="1705"/>
      <c r="C48" s="1705"/>
      <c r="D48" s="1706"/>
      <c r="E48" s="1707" t="s">
        <v>1</v>
      </c>
      <c r="F48" s="1708"/>
      <c r="G48" s="1708"/>
      <c r="H48" s="1709"/>
    </row>
    <row r="49" spans="1:8" s="6" customFormat="1" thickBot="1">
      <c r="A49" s="8" t="s">
        <v>2</v>
      </c>
      <c r="B49" s="152" t="s">
        <v>3</v>
      </c>
      <c r="C49" s="171" t="s">
        <v>882</v>
      </c>
      <c r="D49" s="1256" t="s">
        <v>981</v>
      </c>
      <c r="E49" s="8" t="s">
        <v>2</v>
      </c>
      <c r="F49" s="152" t="s">
        <v>4</v>
      </c>
      <c r="G49" s="152" t="s">
        <v>882</v>
      </c>
      <c r="H49" s="1257" t="s">
        <v>981</v>
      </c>
    </row>
    <row r="50" spans="1:8" s="6" customFormat="1" ht="14.25">
      <c r="A50" s="384" t="s">
        <v>5</v>
      </c>
      <c r="B50" s="385"/>
      <c r="C50" s="386">
        <f>'3. melléklet'!L7</f>
        <v>150000</v>
      </c>
      <c r="D50" s="387">
        <f>'3. melléklet'!M7</f>
        <v>150000</v>
      </c>
      <c r="E50" s="388"/>
      <c r="F50" s="385"/>
      <c r="G50" s="385"/>
      <c r="H50" s="389"/>
    </row>
    <row r="51" spans="1:8" s="6" customFormat="1" ht="14.25">
      <c r="A51" s="371"/>
      <c r="B51" s="370"/>
      <c r="C51" s="370"/>
      <c r="D51" s="372"/>
      <c r="E51" s="371"/>
      <c r="F51" s="370"/>
      <c r="G51" s="370"/>
      <c r="H51" s="372"/>
    </row>
    <row r="52" spans="1:8" s="6" customFormat="1" ht="14.25">
      <c r="A52" s="341" t="s">
        <v>35</v>
      </c>
      <c r="B52" s="342">
        <f>SUM(B53:B54)</f>
        <v>3200</v>
      </c>
      <c r="C52" s="342">
        <f>SUM(C53:C54)</f>
        <v>3200</v>
      </c>
      <c r="D52" s="356">
        <f>SUM(D53:D54)</f>
        <v>3279</v>
      </c>
      <c r="E52" s="361" t="s">
        <v>60</v>
      </c>
      <c r="F52" s="342">
        <f>'4. melléklet'!M19</f>
        <v>3279389</v>
      </c>
      <c r="G52" s="1170">
        <f>'4. melléklet'!N19</f>
        <v>3614948</v>
      </c>
      <c r="H52" s="356">
        <f>'4. melléklet'!O19</f>
        <v>3508234</v>
      </c>
    </row>
    <row r="53" spans="1:8" s="99" customFormat="1">
      <c r="A53" s="373" t="s">
        <v>36</v>
      </c>
      <c r="B53" s="374">
        <f>'3. melléklet'!K34</f>
        <v>1000</v>
      </c>
      <c r="C53" s="375">
        <f>'3. melléklet'!L34</f>
        <v>1000</v>
      </c>
      <c r="D53" s="376">
        <f>'3. melléklet'!M34</f>
        <v>1000</v>
      </c>
      <c r="E53" s="390"/>
      <c r="F53" s="347"/>
      <c r="G53" s="347"/>
      <c r="H53" s="354"/>
    </row>
    <row r="54" spans="1:8" s="6" customFormat="1">
      <c r="A54" s="349" t="s">
        <v>413</v>
      </c>
      <c r="B54" s="347">
        <f>'3. melléklet'!K35</f>
        <v>2200</v>
      </c>
      <c r="C54" s="188">
        <f>'3. melléklet'!L35</f>
        <v>2200</v>
      </c>
      <c r="D54" s="348">
        <f>'3. melléklet'!M35</f>
        <v>2279</v>
      </c>
      <c r="E54" s="361" t="s">
        <v>61</v>
      </c>
      <c r="F54" s="342">
        <f>'4. melléklet'!M20</f>
        <v>667063</v>
      </c>
      <c r="G54" s="1170">
        <f>'4. melléklet'!N20</f>
        <v>723218</v>
      </c>
      <c r="H54" s="356">
        <f>'4. melléklet'!O20</f>
        <v>715302</v>
      </c>
    </row>
    <row r="55" spans="1:8" s="6" customFormat="1">
      <c r="A55" s="349"/>
      <c r="B55" s="347"/>
      <c r="C55" s="188"/>
      <c r="D55" s="348"/>
      <c r="E55" s="361"/>
      <c r="F55" s="342"/>
      <c r="G55" s="342"/>
      <c r="H55" s="356"/>
    </row>
    <row r="56" spans="1:8" s="6" customFormat="1" ht="14.25">
      <c r="A56" s="341" t="s">
        <v>62</v>
      </c>
      <c r="B56" s="344">
        <f>'3. melléklet'!K12</f>
        <v>657635</v>
      </c>
      <c r="C56" s="190">
        <f>'3. melléklet'!L12</f>
        <v>657635</v>
      </c>
      <c r="D56" s="352">
        <f>'3. melléklet'!M12</f>
        <v>526663</v>
      </c>
      <c r="E56" s="369" t="s">
        <v>63</v>
      </c>
      <c r="F56" s="342">
        <f>SUM(F57:F59)</f>
        <v>66500</v>
      </c>
      <c r="G56" s="1170">
        <f>SUM(G57:G59)</f>
        <v>66500</v>
      </c>
      <c r="H56" s="356">
        <f>SUM(H57:H59)</f>
        <v>18442</v>
      </c>
    </row>
    <row r="57" spans="1:8">
      <c r="A57" s="349"/>
      <c r="B57" s="347"/>
      <c r="C57" s="188"/>
      <c r="D57" s="348"/>
      <c r="E57" s="391" t="s">
        <v>19</v>
      </c>
      <c r="F57" s="347">
        <f>'4. melléklet'!M22</f>
        <v>1200</v>
      </c>
      <c r="G57" s="347">
        <f>'4. melléklet'!N22</f>
        <v>1200</v>
      </c>
      <c r="H57" s="354">
        <f>'4. melléklet'!O22</f>
        <v>1200</v>
      </c>
    </row>
    <row r="58" spans="1:8" ht="31.5" customHeight="1">
      <c r="A58" s="341" t="s">
        <v>43</v>
      </c>
      <c r="B58" s="342">
        <f>SUM(B59:B60)</f>
        <v>253627</v>
      </c>
      <c r="C58" s="187">
        <f>SUM(C59:C60)</f>
        <v>256627</v>
      </c>
      <c r="D58" s="343">
        <f>SUM(D59:D60)</f>
        <v>163271</v>
      </c>
      <c r="E58" s="391" t="s">
        <v>39</v>
      </c>
      <c r="F58" s="347">
        <f>'4. melléklet'!M23</f>
        <v>5300</v>
      </c>
      <c r="G58" s="347">
        <f>'4. melléklet'!N23</f>
        <v>5300</v>
      </c>
      <c r="H58" s="354">
        <f>'4. melléklet'!O23</f>
        <v>7242</v>
      </c>
    </row>
    <row r="59" spans="1:8">
      <c r="A59" s="349" t="s">
        <v>19</v>
      </c>
      <c r="B59" s="350">
        <f>'3. melléklet'!K40</f>
        <v>596</v>
      </c>
      <c r="C59" s="189">
        <f>'3. melléklet'!L40</f>
        <v>596</v>
      </c>
      <c r="D59" s="351">
        <f>'3. melléklet'!M40</f>
        <v>596</v>
      </c>
      <c r="E59" s="391" t="s">
        <v>40</v>
      </c>
      <c r="F59" s="350">
        <f>SUM(F60:F61)</f>
        <v>60000</v>
      </c>
      <c r="G59" s="350">
        <f>SUM(G60:G61)</f>
        <v>60000</v>
      </c>
      <c r="H59" s="353">
        <f>SUM(H60:H61)</f>
        <v>10000</v>
      </c>
    </row>
    <row r="60" spans="1:8">
      <c r="A60" s="349" t="s">
        <v>64</v>
      </c>
      <c r="B60" s="350">
        <f>'3. melléklet'!K41</f>
        <v>253031</v>
      </c>
      <c r="C60" s="189">
        <f>'3. melléklet'!L41</f>
        <v>256031</v>
      </c>
      <c r="D60" s="351">
        <f>'3. melléklet'!M41</f>
        <v>162675</v>
      </c>
      <c r="E60" s="392" t="s">
        <v>42</v>
      </c>
      <c r="F60" s="382">
        <f>'4. melléklet'!M25</f>
        <v>50000</v>
      </c>
      <c r="G60" s="382">
        <f>'4. melléklet'!N25</f>
        <v>50000</v>
      </c>
      <c r="H60" s="393">
        <f>'4. melléklet'!O25</f>
        <v>0</v>
      </c>
    </row>
    <row r="61" spans="1:8">
      <c r="A61" s="341"/>
      <c r="B61" s="342"/>
      <c r="C61" s="187"/>
      <c r="D61" s="343"/>
      <c r="E61" s="392" t="s">
        <v>854</v>
      </c>
      <c r="F61" s="382">
        <f>'4. melléklet'!M26</f>
        <v>10000</v>
      </c>
      <c r="G61" s="382">
        <f>'4. melléklet'!N26</f>
        <v>10000</v>
      </c>
      <c r="H61" s="393">
        <f>'4. melléklet'!O26</f>
        <v>10000</v>
      </c>
    </row>
    <row r="62" spans="1:8">
      <c r="A62" s="341" t="s">
        <v>67</v>
      </c>
      <c r="B62" s="344">
        <f>B63</f>
        <v>829954</v>
      </c>
      <c r="C62" s="190">
        <f>C63</f>
        <v>1005654</v>
      </c>
      <c r="D62" s="352">
        <f>D63</f>
        <v>1019379</v>
      </c>
      <c r="E62" s="392"/>
      <c r="F62" s="382"/>
      <c r="G62" s="382"/>
      <c r="H62" s="393"/>
    </row>
    <row r="63" spans="1:8">
      <c r="A63" s="349" t="s">
        <v>56</v>
      </c>
      <c r="B63" s="350">
        <f>B29</f>
        <v>829954</v>
      </c>
      <c r="C63" s="189">
        <f>C29</f>
        <v>1005654</v>
      </c>
      <c r="D63" s="351">
        <f>D29</f>
        <v>1019379</v>
      </c>
      <c r="E63" s="394"/>
      <c r="F63" s="383"/>
      <c r="G63" s="383"/>
      <c r="H63" s="395"/>
    </row>
    <row r="64" spans="1:8" ht="15.75" thickBot="1">
      <c r="A64" s="357"/>
      <c r="B64" s="364"/>
      <c r="C64" s="365"/>
      <c r="D64" s="366"/>
      <c r="E64" s="396"/>
      <c r="F64" s="364"/>
      <c r="G64" s="364"/>
      <c r="H64" s="397"/>
    </row>
    <row r="65" spans="1:8" ht="15.75" thickBot="1">
      <c r="A65" s="27" t="s">
        <v>52</v>
      </c>
      <c r="B65" s="9">
        <f>B52+B56+B58+B62</f>
        <v>1744416</v>
      </c>
      <c r="C65" s="9">
        <f>C52+C56+C58+C62+C50</f>
        <v>2073116</v>
      </c>
      <c r="D65" s="194">
        <f>D52+D56+D58+D62+D50</f>
        <v>1862592</v>
      </c>
      <c r="E65" s="293" t="s">
        <v>53</v>
      </c>
      <c r="F65" s="9">
        <f>F52+F54+F56</f>
        <v>4012952</v>
      </c>
      <c r="G65" s="9">
        <f>G52+G54+G56</f>
        <v>4404666</v>
      </c>
      <c r="H65" s="153">
        <f>H52+H54+H56</f>
        <v>4241978</v>
      </c>
    </row>
    <row r="66" spans="1:8">
      <c r="A66" s="184" t="s">
        <v>863</v>
      </c>
      <c r="B66" s="377">
        <v>-2268536</v>
      </c>
      <c r="C66" s="378">
        <v>-2331550</v>
      </c>
      <c r="D66" s="379">
        <v>-2379386</v>
      </c>
      <c r="E66" s="191"/>
      <c r="F66" s="185"/>
      <c r="G66" s="185"/>
      <c r="H66" s="192"/>
    </row>
    <row r="67" spans="1:8">
      <c r="A67" s="184" t="s">
        <v>57</v>
      </c>
      <c r="B67" s="377">
        <f>'3. melléklet'!K47-'2. melléklet'!B39</f>
        <v>159770</v>
      </c>
      <c r="C67" s="378">
        <f>'3. melléklet'!L47-'2. melléklet'!C39</f>
        <v>187565</v>
      </c>
      <c r="D67" s="379">
        <f>'3. melléklet'!M47-'2. melléklet'!D39</f>
        <v>178901</v>
      </c>
      <c r="E67" s="361" t="s">
        <v>57</v>
      </c>
      <c r="F67" s="342">
        <f>(18350+914+1200-250)+(65485+74071)</f>
        <v>159770</v>
      </c>
      <c r="G67" s="1170">
        <v>175253</v>
      </c>
      <c r="H67" s="356">
        <v>178901</v>
      </c>
    </row>
    <row r="68" spans="1:8" ht="15.75" customHeight="1">
      <c r="A68" s="184" t="s">
        <v>855</v>
      </c>
      <c r="B68" s="377">
        <f>'3. melléklet'!K43</f>
        <v>543251</v>
      </c>
      <c r="C68" s="378">
        <f>'3. melléklet'!L43</f>
        <v>543251</v>
      </c>
      <c r="D68" s="379">
        <f>'3. melléklet'!M43</f>
        <v>543251</v>
      </c>
      <c r="E68" s="361" t="s">
        <v>44</v>
      </c>
      <c r="F68" s="342">
        <f>'4. melléklet'!M28</f>
        <v>151066</v>
      </c>
      <c r="G68" s="1170">
        <f>'4. melléklet'!N28</f>
        <v>151066</v>
      </c>
      <c r="H68" s="356">
        <f>'4. melléklet'!O28</f>
        <v>151066</v>
      </c>
    </row>
    <row r="69" spans="1:8" ht="15.75" customHeight="1">
      <c r="A69" s="341" t="s">
        <v>68</v>
      </c>
      <c r="B69" s="342">
        <f>B70</f>
        <v>1876351</v>
      </c>
      <c r="C69" s="365">
        <f>C70</f>
        <v>1939365</v>
      </c>
      <c r="D69" s="352">
        <f>D70</f>
        <v>1987201</v>
      </c>
      <c r="E69" s="361"/>
      <c r="F69" s="342"/>
      <c r="G69" s="342"/>
      <c r="H69" s="356"/>
    </row>
    <row r="70" spans="1:8">
      <c r="A70" s="346" t="s">
        <v>46</v>
      </c>
      <c r="B70" s="347">
        <f>'3. melléklet'!K46-'2. melléklet'!B37</f>
        <v>1876351</v>
      </c>
      <c r="C70" s="380">
        <v>1939365</v>
      </c>
      <c r="D70" s="348">
        <f>'14. melléklet 1'!D28+'14. melléklet 3'!Q32</f>
        <v>1987201</v>
      </c>
      <c r="E70" s="361"/>
      <c r="F70" s="342"/>
      <c r="G70" s="342"/>
      <c r="H70" s="356"/>
    </row>
    <row r="71" spans="1:8" ht="15.75" thickBot="1">
      <c r="A71" s="381"/>
      <c r="B71" s="358"/>
      <c r="C71" s="359"/>
      <c r="D71" s="360"/>
      <c r="E71" s="396"/>
      <c r="F71" s="364"/>
      <c r="G71" s="364"/>
      <c r="H71" s="397"/>
    </row>
    <row r="72" spans="1:8" ht="15.75" thickBot="1">
      <c r="A72" s="22" t="s">
        <v>51</v>
      </c>
      <c r="B72" s="183">
        <f>B69+B67+B68</f>
        <v>2579372</v>
      </c>
      <c r="C72" s="193">
        <f>C69+C67+C68</f>
        <v>2670181</v>
      </c>
      <c r="D72" s="193">
        <f>D69+D67+D68</f>
        <v>2709353</v>
      </c>
      <c r="E72" s="293" t="s">
        <v>54</v>
      </c>
      <c r="F72" s="9">
        <f>SUM(F67:F68)</f>
        <v>310836</v>
      </c>
      <c r="G72" s="9">
        <f>SUM(G67:G68)</f>
        <v>326319</v>
      </c>
      <c r="H72" s="153">
        <f>SUM(H67:H68)</f>
        <v>329967</v>
      </c>
    </row>
    <row r="73" spans="1:8" ht="15.75" thickBot="1">
      <c r="A73" s="154"/>
      <c r="B73" s="367"/>
      <c r="C73" s="173"/>
      <c r="D73" s="368"/>
      <c r="E73" s="154"/>
      <c r="F73" s="367"/>
      <c r="G73" s="367"/>
      <c r="H73" s="155"/>
    </row>
    <row r="74" spans="1:8" ht="15.75" thickBot="1">
      <c r="A74" s="10" t="s">
        <v>96</v>
      </c>
      <c r="B74" s="9">
        <f>B65+B72</f>
        <v>4323788</v>
      </c>
      <c r="C74" s="175">
        <f>C65+C72</f>
        <v>4743297</v>
      </c>
      <c r="D74" s="194">
        <f>D65+D72</f>
        <v>4571945</v>
      </c>
      <c r="E74" s="10" t="s">
        <v>97</v>
      </c>
      <c r="F74" s="9">
        <f>F65+F72</f>
        <v>4323788</v>
      </c>
      <c r="G74" s="9">
        <f>G65+G72</f>
        <v>4730985</v>
      </c>
      <c r="H74" s="153">
        <f>H65+H72</f>
        <v>4571945</v>
      </c>
    </row>
    <row r="75" spans="1:8">
      <c r="A75" s="15"/>
      <c r="B75" s="16"/>
      <c r="C75" s="16"/>
      <c r="D75" s="16"/>
      <c r="E75" s="15"/>
      <c r="F75" s="16"/>
      <c r="G75" s="16"/>
      <c r="H75" s="16"/>
    </row>
    <row r="76" spans="1:8">
      <c r="A76" s="17" t="s">
        <v>49</v>
      </c>
      <c r="B76" s="18">
        <f>B44+B74</f>
        <v>13286655</v>
      </c>
      <c r="C76" s="18">
        <f>C44+C74</f>
        <v>13961559</v>
      </c>
      <c r="D76" s="18">
        <f>D44+D74</f>
        <v>13999421</v>
      </c>
      <c r="E76" s="17" t="s">
        <v>50</v>
      </c>
      <c r="F76" s="18">
        <f>F44+F74</f>
        <v>13286655</v>
      </c>
      <c r="G76" s="18">
        <f>G44+G74</f>
        <v>13949247</v>
      </c>
      <c r="H76" s="18">
        <f>H44+H74</f>
        <v>13999421</v>
      </c>
    </row>
    <row r="78" spans="1:8">
      <c r="A78" s="208"/>
      <c r="B78" s="19"/>
      <c r="C78" s="19"/>
      <c r="D78" s="19"/>
      <c r="E78" s="20"/>
    </row>
    <row r="79" spans="1:8">
      <c r="A79" s="208"/>
      <c r="B79" s="21"/>
      <c r="C79" s="21"/>
      <c r="D79" s="21"/>
      <c r="E79" s="20"/>
    </row>
  </sheetData>
  <mergeCells count="6">
    <mergeCell ref="A48:D48"/>
    <mergeCell ref="E48:H48"/>
    <mergeCell ref="A1:H1"/>
    <mergeCell ref="A46:H46"/>
    <mergeCell ref="A3:D3"/>
    <mergeCell ref="E3:H3"/>
  </mergeCells>
  <printOptions horizontalCentered="1" verticalCentered="1"/>
  <pageMargins left="0.70866141732283472" right="0.70866141732283472" top="0.74803149606299213" bottom="0.74803149606299213" header="0.31496062992125984" footer="0.31496062992125984"/>
  <pageSetup paperSize="9" scale="42" orientation="landscape" r:id="rId1"/>
  <headerFooter>
    <oddHeader>&amp;L&amp;"Times New Roman,Normál"&amp;8 2. melléklet 1, 2, 3</oddHeader>
    <oddFooter>&amp;L1. Mód.: 3/2019 (II.27.) önk. rend. 2.§. Hat.: 2019.03.01. napjától
2. Mód.: 9/2019 (IV.24.) önk. rend. 2.§ Hat.: 2019.04.25. napjától
3. Mód.: 18/2019 (IX.11.) önk. rend. 2.§ Hat.:2019.09.12. napjától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Layout" topLeftCell="A28" zoomScaleNormal="100" workbookViewId="0">
      <selection activeCell="E19" sqref="E19:E20"/>
    </sheetView>
  </sheetViews>
  <sheetFormatPr defaultRowHeight="15"/>
  <cols>
    <col min="1" max="1" width="40.85546875" style="71" customWidth="1"/>
    <col min="2" max="3" width="10.140625" style="72" customWidth="1"/>
    <col min="4" max="4" width="10.42578125" style="72" bestFit="1" customWidth="1"/>
    <col min="5" max="5" width="16.42578125" style="71" customWidth="1"/>
    <col min="6" max="15" width="9.140625" style="72" customWidth="1"/>
    <col min="16" max="18" width="9.140625" style="73" customWidth="1"/>
    <col min="19" max="19" width="9.140625" style="70" customWidth="1"/>
    <col min="20" max="20" width="9.140625" style="71" customWidth="1"/>
    <col min="21" max="16384" width="9.140625" style="71"/>
  </cols>
  <sheetData>
    <row r="1" spans="1:20">
      <c r="A1" s="1988" t="s">
        <v>699</v>
      </c>
      <c r="B1" s="1988"/>
      <c r="C1" s="1988"/>
      <c r="D1" s="1988"/>
      <c r="E1" s="1988"/>
      <c r="F1" s="1988"/>
      <c r="G1" s="1988"/>
      <c r="H1" s="1988"/>
      <c r="I1" s="1988"/>
      <c r="J1" s="1988"/>
      <c r="K1" s="1988"/>
      <c r="L1" s="1988"/>
      <c r="M1" s="1988"/>
      <c r="N1" s="1988"/>
      <c r="O1" s="1988"/>
      <c r="P1" s="1988"/>
      <c r="Q1" s="1988"/>
      <c r="R1" s="162"/>
    </row>
    <row r="3" spans="1:20">
      <c r="A3" s="1988" t="s">
        <v>71</v>
      </c>
      <c r="B3" s="1988"/>
      <c r="C3" s="1988"/>
      <c r="D3" s="1988"/>
      <c r="E3" s="1988"/>
      <c r="F3" s="1988"/>
      <c r="G3" s="1988"/>
      <c r="H3" s="1988"/>
      <c r="I3" s="1988"/>
      <c r="J3" s="1988"/>
      <c r="K3" s="1988"/>
      <c r="L3" s="1988"/>
      <c r="M3" s="1988"/>
      <c r="N3" s="1988"/>
      <c r="O3" s="1988"/>
      <c r="P3" s="1988"/>
      <c r="Q3" s="1988"/>
      <c r="R3" s="162"/>
    </row>
    <row r="4" spans="1:20" ht="15.75" thickBot="1"/>
    <row r="5" spans="1:20" ht="15.75" thickBot="1">
      <c r="A5" s="1992" t="s">
        <v>101</v>
      </c>
      <c r="B5" s="2013"/>
      <c r="C5" s="2013"/>
      <c r="D5" s="2014"/>
      <c r="E5" s="1992" t="s">
        <v>701</v>
      </c>
      <c r="F5" s="2013"/>
      <c r="G5" s="2013"/>
      <c r="H5" s="2013"/>
      <c r="I5" s="2013"/>
      <c r="J5" s="2013"/>
      <c r="K5" s="2013"/>
      <c r="L5" s="2013"/>
      <c r="M5" s="2013"/>
      <c r="N5" s="2013"/>
      <c r="O5" s="2013"/>
      <c r="P5" s="2013"/>
      <c r="Q5" s="2014"/>
      <c r="R5" s="166"/>
      <c r="S5" s="74"/>
    </row>
    <row r="6" spans="1:20" s="76" customFormat="1" ht="33" customHeight="1">
      <c r="A6" s="2054" t="s">
        <v>426</v>
      </c>
      <c r="B6" s="2046" t="s">
        <v>3</v>
      </c>
      <c r="C6" s="2063" t="s">
        <v>890</v>
      </c>
      <c r="D6" s="2059" t="s">
        <v>985</v>
      </c>
      <c r="E6" s="2057" t="s">
        <v>426</v>
      </c>
      <c r="F6" s="2046" t="s">
        <v>405</v>
      </c>
      <c r="G6" s="2063"/>
      <c r="H6" s="2048"/>
      <c r="I6" s="2049" t="s">
        <v>247</v>
      </c>
      <c r="J6" s="2050"/>
      <c r="K6" s="2064"/>
      <c r="L6" s="2046" t="s">
        <v>12</v>
      </c>
      <c r="M6" s="2063"/>
      <c r="N6" s="2048"/>
      <c r="O6" s="2052" t="s">
        <v>72</v>
      </c>
      <c r="P6" s="2063"/>
      <c r="Q6" s="2048"/>
      <c r="R6" s="165"/>
      <c r="S6" s="75"/>
    </row>
    <row r="7" spans="1:20" s="76" customFormat="1" ht="43.5" thickBot="1">
      <c r="A7" s="2055"/>
      <c r="B7" s="2002"/>
      <c r="C7" s="2025"/>
      <c r="D7" s="2062"/>
      <c r="E7" s="2058"/>
      <c r="F7" s="1012" t="s">
        <v>3</v>
      </c>
      <c r="G7" s="1224" t="s">
        <v>890</v>
      </c>
      <c r="H7" s="1219" t="s">
        <v>986</v>
      </c>
      <c r="I7" s="1332" t="s">
        <v>3</v>
      </c>
      <c r="J7" s="1021" t="s">
        <v>890</v>
      </c>
      <c r="K7" s="1339" t="s">
        <v>986</v>
      </c>
      <c r="L7" s="1012" t="s">
        <v>3</v>
      </c>
      <c r="M7" s="1224" t="s">
        <v>891</v>
      </c>
      <c r="N7" s="1219" t="s">
        <v>987</v>
      </c>
      <c r="O7" s="1343" t="s">
        <v>3</v>
      </c>
      <c r="P7" s="973" t="s">
        <v>890</v>
      </c>
      <c r="Q7" s="1220" t="s">
        <v>986</v>
      </c>
      <c r="R7" s="165"/>
      <c r="S7" s="75"/>
    </row>
    <row r="8" spans="1:20" s="76" customFormat="1">
      <c r="A8" s="161" t="s">
        <v>125</v>
      </c>
      <c r="B8" s="1311"/>
      <c r="C8" s="1312"/>
      <c r="D8" s="1310"/>
      <c r="E8" s="1022"/>
      <c r="F8" s="1311"/>
      <c r="G8" s="1312"/>
      <c r="H8" s="1310"/>
      <c r="I8" s="1013"/>
      <c r="J8" s="1011"/>
      <c r="K8" s="1017"/>
      <c r="L8" s="1311"/>
      <c r="M8" s="1312"/>
      <c r="N8" s="1310"/>
      <c r="O8" s="1344"/>
      <c r="P8" s="1014"/>
      <c r="Q8" s="1015"/>
      <c r="R8" s="165"/>
      <c r="S8" s="75"/>
    </row>
    <row r="9" spans="1:20" s="76" customFormat="1" ht="78.75" customHeight="1" thickBot="1">
      <c r="A9" s="158" t="s">
        <v>700</v>
      </c>
      <c r="B9" s="932">
        <v>99275</v>
      </c>
      <c r="C9" s="1309">
        <v>99275</v>
      </c>
      <c r="D9" s="1321">
        <v>61795</v>
      </c>
      <c r="E9" s="1023" t="s">
        <v>700</v>
      </c>
      <c r="F9" s="944">
        <v>26364</v>
      </c>
      <c r="G9" s="1338">
        <v>26364</v>
      </c>
      <c r="H9" s="1016">
        <v>21775</v>
      </c>
      <c r="I9" s="1333">
        <v>5141</v>
      </c>
      <c r="J9" s="1010">
        <v>5141</v>
      </c>
      <c r="K9" s="1019">
        <v>4168</v>
      </c>
      <c r="L9" s="1018">
        <v>67770</v>
      </c>
      <c r="M9" s="1346">
        <v>67770</v>
      </c>
      <c r="N9" s="1347">
        <v>35852</v>
      </c>
      <c r="O9" s="1345">
        <f t="shared" ref="O9:Q10" si="0">F9+L9+I9</f>
        <v>99275</v>
      </c>
      <c r="P9" s="971">
        <f t="shared" si="0"/>
        <v>99275</v>
      </c>
      <c r="Q9" s="1009">
        <f t="shared" si="0"/>
        <v>61795</v>
      </c>
      <c r="R9" s="167"/>
      <c r="S9" s="77"/>
    </row>
    <row r="10" spans="1:20" ht="15.75" thickBot="1">
      <c r="A10" s="113" t="s">
        <v>72</v>
      </c>
      <c r="B10" s="935">
        <f>SUM(B9:B9)</f>
        <v>99275</v>
      </c>
      <c r="C10" s="81">
        <f>SUM(C9:C9)</f>
        <v>99275</v>
      </c>
      <c r="D10" s="112">
        <f>SUM(D9:D9)</f>
        <v>61795</v>
      </c>
      <c r="E10" s="169" t="s">
        <v>72</v>
      </c>
      <c r="F10" s="935">
        <f t="shared" ref="F10:N10" si="1">SUM(F9:F9)</f>
        <v>26364</v>
      </c>
      <c r="G10" s="81">
        <f t="shared" si="1"/>
        <v>26364</v>
      </c>
      <c r="H10" s="112">
        <f t="shared" si="1"/>
        <v>21775</v>
      </c>
      <c r="I10" s="1334">
        <f t="shared" si="1"/>
        <v>5141</v>
      </c>
      <c r="J10" s="81">
        <f t="shared" si="1"/>
        <v>5141</v>
      </c>
      <c r="K10" s="170">
        <f t="shared" si="1"/>
        <v>4168</v>
      </c>
      <c r="L10" s="1020">
        <f t="shared" si="1"/>
        <v>67770</v>
      </c>
      <c r="M10" s="81">
        <f t="shared" si="1"/>
        <v>67770</v>
      </c>
      <c r="N10" s="112">
        <f t="shared" si="1"/>
        <v>35852</v>
      </c>
      <c r="O10" s="1334">
        <f t="shared" si="0"/>
        <v>99275</v>
      </c>
      <c r="P10" s="81">
        <f t="shared" si="0"/>
        <v>99275</v>
      </c>
      <c r="Q10" s="112">
        <f t="shared" si="0"/>
        <v>61795</v>
      </c>
      <c r="R10" s="79"/>
      <c r="S10" s="74"/>
    </row>
    <row r="11" spans="1:20">
      <c r="A11" s="1318" t="s">
        <v>1027</v>
      </c>
      <c r="B11" s="1322"/>
      <c r="C11" s="1316"/>
      <c r="D11" s="1323">
        <v>1301</v>
      </c>
      <c r="E11" s="1328"/>
      <c r="F11" s="1322"/>
      <c r="G11" s="1316"/>
      <c r="H11" s="1323">
        <v>1093</v>
      </c>
      <c r="I11" s="1335"/>
      <c r="J11" s="1316"/>
      <c r="K11" s="1340">
        <v>208</v>
      </c>
      <c r="L11" s="1322"/>
      <c r="M11" s="1316"/>
      <c r="N11" s="1323"/>
      <c r="O11" s="1335"/>
      <c r="P11" s="1316"/>
      <c r="Q11" s="1316">
        <f>H11+K11</f>
        <v>1301</v>
      </c>
      <c r="R11" s="79"/>
      <c r="S11" s="74"/>
    </row>
    <row r="12" spans="1:20">
      <c r="A12" s="1319" t="s">
        <v>129</v>
      </c>
      <c r="B12" s="1324"/>
      <c r="C12" s="1315"/>
      <c r="D12" s="1325">
        <v>420</v>
      </c>
      <c r="E12" s="1329"/>
      <c r="F12" s="1324"/>
      <c r="G12" s="1315"/>
      <c r="H12" s="1325">
        <v>353</v>
      </c>
      <c r="I12" s="1336"/>
      <c r="J12" s="1315"/>
      <c r="K12" s="1341">
        <v>67</v>
      </c>
      <c r="L12" s="1324"/>
      <c r="M12" s="1315"/>
      <c r="N12" s="1325"/>
      <c r="O12" s="1336"/>
      <c r="P12" s="1315"/>
      <c r="Q12" s="1315">
        <f>H12+K12</f>
        <v>420</v>
      </c>
      <c r="R12" s="79"/>
      <c r="S12" s="74"/>
    </row>
    <row r="13" spans="1:20" ht="15.75" thickBot="1">
      <c r="A13" s="1320" t="s">
        <v>127</v>
      </c>
      <c r="B13" s="1326"/>
      <c r="C13" s="1317"/>
      <c r="D13" s="1327">
        <v>112</v>
      </c>
      <c r="E13" s="1330"/>
      <c r="F13" s="1326"/>
      <c r="G13" s="1317"/>
      <c r="H13" s="1327">
        <v>94</v>
      </c>
      <c r="I13" s="1337"/>
      <c r="J13" s="1317"/>
      <c r="K13" s="1342">
        <v>18</v>
      </c>
      <c r="L13" s="1326"/>
      <c r="M13" s="1317"/>
      <c r="N13" s="1327"/>
      <c r="O13" s="1337"/>
      <c r="P13" s="1317"/>
      <c r="Q13" s="1317">
        <f>H13+K13</f>
        <v>112</v>
      </c>
      <c r="R13" s="79"/>
      <c r="S13" s="74"/>
    </row>
    <row r="14" spans="1:20" ht="15.75" thickBot="1">
      <c r="A14" s="113" t="s">
        <v>1028</v>
      </c>
      <c r="B14" s="935">
        <f t="shared" ref="B14:C14" si="2">SUM(B10:B13)</f>
        <v>99275</v>
      </c>
      <c r="C14" s="81">
        <f t="shared" si="2"/>
        <v>99275</v>
      </c>
      <c r="D14" s="112">
        <f>SUM(D10:D13)</f>
        <v>63628</v>
      </c>
      <c r="E14" s="1331" t="s">
        <v>1029</v>
      </c>
      <c r="F14" s="935">
        <f t="shared" ref="F14:Q14" si="3">SUM(F10:F13)</f>
        <v>26364</v>
      </c>
      <c r="G14" s="81">
        <f t="shared" si="3"/>
        <v>26364</v>
      </c>
      <c r="H14" s="112">
        <f t="shared" si="3"/>
        <v>23315</v>
      </c>
      <c r="I14" s="1334">
        <f t="shared" si="3"/>
        <v>5141</v>
      </c>
      <c r="J14" s="81">
        <f t="shared" si="3"/>
        <v>5141</v>
      </c>
      <c r="K14" s="170">
        <f t="shared" si="3"/>
        <v>4461</v>
      </c>
      <c r="L14" s="935">
        <f t="shared" si="3"/>
        <v>67770</v>
      </c>
      <c r="M14" s="81">
        <f t="shared" si="3"/>
        <v>67770</v>
      </c>
      <c r="N14" s="112">
        <f t="shared" si="3"/>
        <v>35852</v>
      </c>
      <c r="O14" s="1334">
        <f t="shared" si="3"/>
        <v>99275</v>
      </c>
      <c r="P14" s="81">
        <f t="shared" si="3"/>
        <v>99275</v>
      </c>
      <c r="Q14" s="112">
        <f t="shared" si="3"/>
        <v>63628</v>
      </c>
      <c r="R14" s="79"/>
      <c r="S14" s="74"/>
    </row>
    <row r="15" spans="1:20">
      <c r="A15" s="1313"/>
      <c r="B15" s="1314"/>
      <c r="C15" s="1314"/>
      <c r="D15" s="1314"/>
      <c r="E15" s="1313"/>
      <c r="F15" s="1314"/>
      <c r="G15" s="1314"/>
      <c r="H15" s="1314"/>
      <c r="I15" s="1314"/>
      <c r="J15" s="1314"/>
      <c r="K15" s="1314"/>
      <c r="L15" s="1314"/>
      <c r="M15" s="1314"/>
      <c r="N15" s="1314"/>
      <c r="O15" s="1314"/>
      <c r="P15" s="1314"/>
      <c r="Q15" s="1314"/>
      <c r="R15" s="79"/>
      <c r="S15" s="74"/>
    </row>
    <row r="16" spans="1:20">
      <c r="A16" s="1988" t="s">
        <v>152</v>
      </c>
      <c r="B16" s="1988"/>
      <c r="C16" s="1988"/>
      <c r="D16" s="1988"/>
      <c r="E16" s="1988"/>
      <c r="F16" s="1988"/>
      <c r="G16" s="1988"/>
      <c r="H16" s="1988"/>
      <c r="I16" s="1988"/>
      <c r="J16" s="1988"/>
      <c r="K16" s="1988"/>
      <c r="L16" s="1988"/>
      <c r="M16" s="1988"/>
      <c r="N16" s="1988"/>
      <c r="O16" s="1988"/>
      <c r="P16" s="1988"/>
      <c r="Q16" s="1988"/>
      <c r="R16" s="1988"/>
      <c r="S16" s="1988"/>
      <c r="T16" s="1988"/>
    </row>
    <row r="17" spans="1:20" ht="15.75" thickBot="1"/>
    <row r="18" spans="1:20" ht="15.75" thickBot="1">
      <c r="A18" s="1992" t="s">
        <v>101</v>
      </c>
      <c r="B18" s="2013"/>
      <c r="C18" s="2013"/>
      <c r="D18" s="2014"/>
      <c r="E18" s="1992" t="s">
        <v>701</v>
      </c>
      <c r="F18" s="1993"/>
      <c r="G18" s="1993"/>
      <c r="H18" s="1993"/>
      <c r="I18" s="1993"/>
      <c r="J18" s="1993"/>
      <c r="K18" s="1993"/>
      <c r="L18" s="1993"/>
      <c r="M18" s="1993"/>
      <c r="N18" s="1993"/>
      <c r="O18" s="1993"/>
      <c r="P18" s="1993"/>
      <c r="Q18" s="1993"/>
      <c r="R18" s="1993"/>
      <c r="S18" s="1993"/>
      <c r="T18" s="1994"/>
    </row>
    <row r="19" spans="1:20" ht="36" customHeight="1">
      <c r="A19" s="2054" t="s">
        <v>426</v>
      </c>
      <c r="B19" s="2046" t="s">
        <v>3</v>
      </c>
      <c r="C19" s="2047" t="s">
        <v>890</v>
      </c>
      <c r="D19" s="2059" t="s">
        <v>985</v>
      </c>
      <c r="E19" s="2057" t="s">
        <v>426</v>
      </c>
      <c r="F19" s="2046" t="s">
        <v>405</v>
      </c>
      <c r="G19" s="2047"/>
      <c r="H19" s="2048"/>
      <c r="I19" s="2049" t="s">
        <v>247</v>
      </c>
      <c r="J19" s="2050"/>
      <c r="K19" s="2051"/>
      <c r="L19" s="2046" t="s">
        <v>12</v>
      </c>
      <c r="M19" s="2047"/>
      <c r="N19" s="2048"/>
      <c r="O19" s="2052" t="s">
        <v>60</v>
      </c>
      <c r="P19" s="2047"/>
      <c r="Q19" s="2053"/>
      <c r="R19" s="2046" t="s">
        <v>72</v>
      </c>
      <c r="S19" s="2047"/>
      <c r="T19" s="2048"/>
    </row>
    <row r="20" spans="1:20" ht="43.5" thickBot="1">
      <c r="A20" s="2055"/>
      <c r="B20" s="2056"/>
      <c r="C20" s="2061"/>
      <c r="D20" s="2060"/>
      <c r="E20" s="2058"/>
      <c r="F20" s="1012" t="s">
        <v>3</v>
      </c>
      <c r="G20" s="1224" t="s">
        <v>890</v>
      </c>
      <c r="H20" s="1219" t="s">
        <v>986</v>
      </c>
      <c r="I20" s="1332" t="s">
        <v>3</v>
      </c>
      <c r="J20" s="1374" t="s">
        <v>890</v>
      </c>
      <c r="K20" s="1339" t="s">
        <v>986</v>
      </c>
      <c r="L20" s="1012" t="s">
        <v>3</v>
      </c>
      <c r="M20" s="1224" t="s">
        <v>891</v>
      </c>
      <c r="N20" s="1219" t="s">
        <v>987</v>
      </c>
      <c r="O20" s="1332" t="s">
        <v>3</v>
      </c>
      <c r="P20" s="1224" t="s">
        <v>890</v>
      </c>
      <c r="Q20" s="1339" t="s">
        <v>986</v>
      </c>
      <c r="R20" s="1012" t="s">
        <v>3</v>
      </c>
      <c r="S20" s="1224" t="s">
        <v>890</v>
      </c>
      <c r="T20" s="1219" t="s">
        <v>986</v>
      </c>
    </row>
    <row r="21" spans="1:20">
      <c r="A21" s="1403" t="s">
        <v>213</v>
      </c>
      <c r="B21" s="1376"/>
      <c r="C21" s="1373"/>
      <c r="D21" s="1375"/>
      <c r="E21" s="1409"/>
      <c r="F21" s="1415"/>
      <c r="G21" s="1011"/>
      <c r="H21" s="1024"/>
      <c r="I21" s="1013"/>
      <c r="J21" s="1011"/>
      <c r="K21" s="1017"/>
      <c r="L21" s="1415"/>
      <c r="M21" s="1011"/>
      <c r="N21" s="1024"/>
      <c r="O21" s="1013"/>
      <c r="P21" s="1011"/>
      <c r="Q21" s="1017"/>
      <c r="R21" s="1415"/>
      <c r="S21" s="1011"/>
      <c r="T21" s="1024"/>
    </row>
    <row r="22" spans="1:20">
      <c r="A22" s="217" t="s">
        <v>988</v>
      </c>
      <c r="B22" s="1369">
        <v>20000</v>
      </c>
      <c r="C22" s="1371">
        <v>20000</v>
      </c>
      <c r="D22" s="1370">
        <v>16675</v>
      </c>
      <c r="E22" s="923" t="s">
        <v>859</v>
      </c>
      <c r="F22" s="941">
        <v>4000</v>
      </c>
      <c r="G22" s="937">
        <v>4000</v>
      </c>
      <c r="H22" s="1416">
        <v>4000</v>
      </c>
      <c r="I22" s="1413">
        <v>780</v>
      </c>
      <c r="J22" s="937">
        <v>780</v>
      </c>
      <c r="K22" s="1261">
        <v>780</v>
      </c>
      <c r="L22" s="957">
        <v>15220</v>
      </c>
      <c r="M22" s="956">
        <v>15220</v>
      </c>
      <c r="N22" s="958">
        <v>11895</v>
      </c>
      <c r="O22" s="1422"/>
      <c r="P22" s="956"/>
      <c r="Q22" s="1221"/>
      <c r="R22" s="963">
        <f>F22+I22+L22+O22</f>
        <v>20000</v>
      </c>
      <c r="S22" s="962">
        <f t="shared" ref="S22:T31" si="4">G22+J22+M22+P22</f>
        <v>20000</v>
      </c>
      <c r="T22" s="964">
        <f t="shared" si="4"/>
        <v>16675</v>
      </c>
    </row>
    <row r="23" spans="1:20">
      <c r="A23" s="1404" t="s">
        <v>989</v>
      </c>
      <c r="B23" s="1369"/>
      <c r="C23" s="1371"/>
      <c r="D23" s="1370">
        <v>11</v>
      </c>
      <c r="E23" s="1410" t="s">
        <v>990</v>
      </c>
      <c r="F23" s="941"/>
      <c r="G23" s="937"/>
      <c r="H23" s="1416"/>
      <c r="I23" s="1413"/>
      <c r="J23" s="937"/>
      <c r="K23" s="1261"/>
      <c r="L23" s="957"/>
      <c r="M23" s="956"/>
      <c r="N23" s="958">
        <v>11</v>
      </c>
      <c r="O23" s="1422"/>
      <c r="P23" s="956"/>
      <c r="Q23" s="1221"/>
      <c r="R23" s="963">
        <f t="shared" ref="R23:R31" si="5">F23+I23+L23+O23</f>
        <v>0</v>
      </c>
      <c r="S23" s="962">
        <f t="shared" si="4"/>
        <v>0</v>
      </c>
      <c r="T23" s="964">
        <f t="shared" si="4"/>
        <v>11</v>
      </c>
    </row>
    <row r="24" spans="1:20">
      <c r="A24" s="1404" t="s">
        <v>140</v>
      </c>
      <c r="B24" s="1369"/>
      <c r="C24" s="1371"/>
      <c r="D24" s="1370">
        <v>649</v>
      </c>
      <c r="E24" s="1410" t="s">
        <v>990</v>
      </c>
      <c r="F24" s="941"/>
      <c r="G24" s="937"/>
      <c r="H24" s="1416"/>
      <c r="I24" s="1413"/>
      <c r="J24" s="937"/>
      <c r="K24" s="1261"/>
      <c r="L24" s="957"/>
      <c r="M24" s="956"/>
      <c r="N24" s="958"/>
      <c r="O24" s="1422"/>
      <c r="P24" s="956"/>
      <c r="Q24" s="1221">
        <v>649</v>
      </c>
      <c r="R24" s="963">
        <f t="shared" si="5"/>
        <v>0</v>
      </c>
      <c r="S24" s="962">
        <f t="shared" si="4"/>
        <v>0</v>
      </c>
      <c r="T24" s="964">
        <f t="shared" si="4"/>
        <v>649</v>
      </c>
    </row>
    <row r="25" spans="1:20">
      <c r="A25" s="1404" t="s">
        <v>139</v>
      </c>
      <c r="B25" s="1369"/>
      <c r="C25" s="1371"/>
      <c r="D25" s="1370">
        <v>223</v>
      </c>
      <c r="E25" s="1410" t="s">
        <v>990</v>
      </c>
      <c r="F25" s="941"/>
      <c r="G25" s="937"/>
      <c r="H25" s="1416"/>
      <c r="I25" s="1413"/>
      <c r="J25" s="937"/>
      <c r="K25" s="1261"/>
      <c r="L25" s="957"/>
      <c r="M25" s="956"/>
      <c r="N25" s="958">
        <v>223</v>
      </c>
      <c r="O25" s="1422"/>
      <c r="P25" s="956"/>
      <c r="Q25" s="1221"/>
      <c r="R25" s="963">
        <f t="shared" si="5"/>
        <v>0</v>
      </c>
      <c r="S25" s="962">
        <f t="shared" si="4"/>
        <v>0</v>
      </c>
      <c r="T25" s="964">
        <f t="shared" si="4"/>
        <v>223</v>
      </c>
    </row>
    <row r="26" spans="1:20" s="1232" customFormat="1">
      <c r="A26" s="1405" t="s">
        <v>206</v>
      </c>
      <c r="B26" s="1407"/>
      <c r="C26" s="1226"/>
      <c r="D26" s="1408">
        <v>76</v>
      </c>
      <c r="E26" s="1411" t="s">
        <v>990</v>
      </c>
      <c r="F26" s="1417"/>
      <c r="G26" s="1227"/>
      <c r="H26" s="1418"/>
      <c r="I26" s="1414"/>
      <c r="J26" s="1227"/>
      <c r="K26" s="1421"/>
      <c r="L26" s="1424"/>
      <c r="M26" s="1228"/>
      <c r="N26" s="1425">
        <v>76</v>
      </c>
      <c r="O26" s="1423"/>
      <c r="P26" s="1228"/>
      <c r="Q26" s="1229"/>
      <c r="R26" s="1427">
        <f t="shared" si="5"/>
        <v>0</v>
      </c>
      <c r="S26" s="1230">
        <f t="shared" si="4"/>
        <v>0</v>
      </c>
      <c r="T26" s="1231">
        <f t="shared" si="4"/>
        <v>76</v>
      </c>
    </row>
    <row r="27" spans="1:20">
      <c r="A27" s="1404" t="s">
        <v>138</v>
      </c>
      <c r="B27" s="1369"/>
      <c r="C27" s="1371"/>
      <c r="D27" s="1370">
        <v>3</v>
      </c>
      <c r="E27" s="1410" t="s">
        <v>990</v>
      </c>
      <c r="F27" s="941"/>
      <c r="G27" s="937"/>
      <c r="H27" s="1416"/>
      <c r="I27" s="1413"/>
      <c r="J27" s="937"/>
      <c r="K27" s="1261"/>
      <c r="L27" s="957"/>
      <c r="M27" s="956"/>
      <c r="N27" s="958">
        <v>3</v>
      </c>
      <c r="O27" s="1422"/>
      <c r="P27" s="956"/>
      <c r="Q27" s="1221"/>
      <c r="R27" s="963">
        <f t="shared" si="5"/>
        <v>0</v>
      </c>
      <c r="S27" s="962">
        <f t="shared" si="4"/>
        <v>0</v>
      </c>
      <c r="T27" s="964">
        <f t="shared" si="4"/>
        <v>3</v>
      </c>
    </row>
    <row r="28" spans="1:20">
      <c r="A28" s="1404" t="s">
        <v>210</v>
      </c>
      <c r="B28" s="1369"/>
      <c r="C28" s="1371"/>
      <c r="D28" s="1370">
        <v>730</v>
      </c>
      <c r="E28" s="1410" t="s">
        <v>990</v>
      </c>
      <c r="F28" s="941"/>
      <c r="G28" s="937"/>
      <c r="H28" s="1416"/>
      <c r="I28" s="1413"/>
      <c r="J28" s="937"/>
      <c r="K28" s="1261"/>
      <c r="L28" s="957"/>
      <c r="M28" s="956"/>
      <c r="N28" s="958"/>
      <c r="O28" s="1422"/>
      <c r="P28" s="956"/>
      <c r="Q28" s="1221">
        <v>730</v>
      </c>
      <c r="R28" s="963">
        <f t="shared" si="5"/>
        <v>0</v>
      </c>
      <c r="S28" s="962">
        <f t="shared" si="4"/>
        <v>0</v>
      </c>
      <c r="T28" s="964">
        <f t="shared" si="4"/>
        <v>730</v>
      </c>
    </row>
    <row r="29" spans="1:20">
      <c r="A29" s="1404" t="s">
        <v>991</v>
      </c>
      <c r="B29" s="1369"/>
      <c r="C29" s="1371"/>
      <c r="D29" s="1370">
        <v>65</v>
      </c>
      <c r="E29" s="1410" t="s">
        <v>990</v>
      </c>
      <c r="F29" s="941"/>
      <c r="G29" s="937"/>
      <c r="H29" s="1416"/>
      <c r="I29" s="1413"/>
      <c r="J29" s="937"/>
      <c r="K29" s="1261"/>
      <c r="L29" s="957"/>
      <c r="M29" s="956"/>
      <c r="N29" s="958">
        <v>65</v>
      </c>
      <c r="O29" s="1422"/>
      <c r="P29" s="956"/>
      <c r="Q29" s="1221"/>
      <c r="R29" s="963">
        <f t="shared" si="5"/>
        <v>0</v>
      </c>
      <c r="S29" s="962">
        <f t="shared" si="4"/>
        <v>0</v>
      </c>
      <c r="T29" s="964">
        <f t="shared" si="4"/>
        <v>65</v>
      </c>
    </row>
    <row r="30" spans="1:20">
      <c r="A30" s="1404" t="s">
        <v>992</v>
      </c>
      <c r="B30" s="1369"/>
      <c r="C30" s="1371"/>
      <c r="D30" s="1370">
        <v>215</v>
      </c>
      <c r="E30" s="1410" t="s">
        <v>990</v>
      </c>
      <c r="F30" s="941"/>
      <c r="G30" s="937"/>
      <c r="H30" s="1416"/>
      <c r="I30" s="1413"/>
      <c r="J30" s="937"/>
      <c r="K30" s="1261"/>
      <c r="L30" s="957"/>
      <c r="M30" s="956"/>
      <c r="N30" s="958">
        <v>215</v>
      </c>
      <c r="O30" s="1422"/>
      <c r="P30" s="956"/>
      <c r="Q30" s="1221"/>
      <c r="R30" s="963">
        <f t="shared" si="5"/>
        <v>0</v>
      </c>
      <c r="S30" s="962">
        <f t="shared" si="4"/>
        <v>0</v>
      </c>
      <c r="T30" s="964">
        <f t="shared" si="4"/>
        <v>215</v>
      </c>
    </row>
    <row r="31" spans="1:20" ht="15.75" thickBot="1">
      <c r="A31" s="1406" t="s">
        <v>152</v>
      </c>
      <c r="B31" s="932"/>
      <c r="C31" s="1372"/>
      <c r="D31" s="1321">
        <v>174</v>
      </c>
      <c r="E31" s="1412" t="s">
        <v>990</v>
      </c>
      <c r="F31" s="1419"/>
      <c r="G31" s="1010"/>
      <c r="H31" s="1420">
        <v>146</v>
      </c>
      <c r="I31" s="1333"/>
      <c r="J31" s="1010"/>
      <c r="K31" s="1019">
        <v>28</v>
      </c>
      <c r="L31" s="970"/>
      <c r="M31" s="971"/>
      <c r="N31" s="1426"/>
      <c r="O31" s="1345"/>
      <c r="P31" s="971"/>
      <c r="Q31" s="972"/>
      <c r="R31" s="1428">
        <f t="shared" si="5"/>
        <v>0</v>
      </c>
      <c r="S31" s="1008">
        <f t="shared" si="4"/>
        <v>0</v>
      </c>
      <c r="T31" s="1222">
        <f t="shared" si="4"/>
        <v>174</v>
      </c>
    </row>
    <row r="32" spans="1:20" ht="15.75" thickBot="1">
      <c r="A32" s="113" t="s">
        <v>72</v>
      </c>
      <c r="B32" s="935">
        <f>SUM(B22:B22)</f>
        <v>20000</v>
      </c>
      <c r="C32" s="81">
        <f>SUM(C22:C22)</f>
        <v>20000</v>
      </c>
      <c r="D32" s="112">
        <f>SUM(D22:D31)</f>
        <v>18821</v>
      </c>
      <c r="E32" s="169" t="s">
        <v>72</v>
      </c>
      <c r="F32" s="935">
        <f>SUM(F22:F31)</f>
        <v>4000</v>
      </c>
      <c r="G32" s="81">
        <f t="shared" ref="G32:P32" si="6">SUM(G22:G31)</f>
        <v>4000</v>
      </c>
      <c r="H32" s="112">
        <f t="shared" si="6"/>
        <v>4146</v>
      </c>
      <c r="I32" s="1334">
        <f t="shared" si="6"/>
        <v>780</v>
      </c>
      <c r="J32" s="81">
        <f t="shared" si="6"/>
        <v>780</v>
      </c>
      <c r="K32" s="170">
        <f t="shared" si="6"/>
        <v>808</v>
      </c>
      <c r="L32" s="935">
        <f t="shared" si="6"/>
        <v>15220</v>
      </c>
      <c r="M32" s="81">
        <f t="shared" si="6"/>
        <v>15220</v>
      </c>
      <c r="N32" s="112">
        <f t="shared" si="6"/>
        <v>12488</v>
      </c>
      <c r="O32" s="1334">
        <f t="shared" si="6"/>
        <v>0</v>
      </c>
      <c r="P32" s="81">
        <f t="shared" si="6"/>
        <v>0</v>
      </c>
      <c r="Q32" s="170">
        <f>SUM(Q22:Q31)</f>
        <v>1379</v>
      </c>
      <c r="R32" s="1429">
        <f>SUM(R22:R31)</f>
        <v>20000</v>
      </c>
      <c r="S32" s="1223">
        <f>SUM(S22:S31)</f>
        <v>20000</v>
      </c>
      <c r="T32" s="112">
        <f>SUM(T22:T31)</f>
        <v>18821</v>
      </c>
    </row>
  </sheetData>
  <mergeCells count="26">
    <mergeCell ref="A1:Q1"/>
    <mergeCell ref="A3:Q3"/>
    <mergeCell ref="E5:Q5"/>
    <mergeCell ref="A6:A7"/>
    <mergeCell ref="B6:B7"/>
    <mergeCell ref="E6:E7"/>
    <mergeCell ref="D6:D7"/>
    <mergeCell ref="C6:C7"/>
    <mergeCell ref="F6:H6"/>
    <mergeCell ref="I6:K6"/>
    <mergeCell ref="L6:N6"/>
    <mergeCell ref="O6:Q6"/>
    <mergeCell ref="A5:D5"/>
    <mergeCell ref="A18:D18"/>
    <mergeCell ref="E18:T18"/>
    <mergeCell ref="A16:T16"/>
    <mergeCell ref="F19:H19"/>
    <mergeCell ref="I19:K19"/>
    <mergeCell ref="L19:N19"/>
    <mergeCell ref="O19:Q19"/>
    <mergeCell ref="R19:T19"/>
    <mergeCell ref="A19:A20"/>
    <mergeCell ref="B19:B20"/>
    <mergeCell ref="E19:E20"/>
    <mergeCell ref="D19:D20"/>
    <mergeCell ref="C19:C20"/>
  </mergeCells>
  <pageMargins left="0.7" right="0.7" top="0.75" bottom="0.75" header="0.3" footer="0.3"/>
  <pageSetup paperSize="9" scale="57" orientation="landscape" r:id="rId1"/>
  <headerFooter>
    <oddHeader>&amp;L&amp;"Times New Roman,Normál"&amp;8 14. melléklet 1, 2, 3</oddHeader>
    <oddFooter>&amp;L&amp;"Times New Roman,Normál"1. Mód.: 3/2019 (II.27.) önk. rend. 2.§. Hat.: 2019.03.01. napjától
2. Mód.: 9/2019 (IV.24.) önk. rend. 2.§ Hat.: 2019.04.25. napjától
3. Mód.: 18/2019 (IX.11.) önk. rend. 2.§ Hat.:2019.09.12. napjától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Layout" topLeftCell="B94" zoomScaleNormal="100" workbookViewId="0">
      <selection activeCell="I99" sqref="I99"/>
    </sheetView>
  </sheetViews>
  <sheetFormatPr defaultRowHeight="15.75"/>
  <cols>
    <col min="1" max="1" width="12.5703125" style="119" customWidth="1"/>
    <col min="2" max="2" width="78.5703125" style="119" customWidth="1"/>
    <col min="3" max="3" width="17.85546875" style="119" customWidth="1"/>
    <col min="4" max="4" width="13.85546875" style="121" customWidth="1"/>
    <col min="5" max="5" width="13.7109375" style="122" customWidth="1"/>
    <col min="6" max="6" width="31.28515625" style="123" hidden="1" customWidth="1"/>
    <col min="7" max="7" width="13.85546875" style="123" customWidth="1"/>
    <col min="8" max="9" width="12.140625" style="123" customWidth="1"/>
    <col min="10" max="10" width="11.7109375" style="119" customWidth="1"/>
    <col min="11" max="11" width="13.85546875" style="119" customWidth="1"/>
    <col min="12" max="16384" width="9.140625" style="119"/>
  </cols>
  <sheetData>
    <row r="1" spans="1:10" ht="18.75">
      <c r="A1" s="2072" t="s">
        <v>839</v>
      </c>
      <c r="B1" s="2072"/>
      <c r="C1" s="2072"/>
      <c r="D1" s="2072"/>
      <c r="E1" s="2072"/>
      <c r="F1" s="2072"/>
      <c r="G1" s="2072"/>
      <c r="H1" s="2072"/>
      <c r="I1" s="2072"/>
    </row>
    <row r="2" spans="1:10">
      <c r="A2" s="2072" t="s">
        <v>248</v>
      </c>
      <c r="B2" s="2072"/>
      <c r="C2" s="2072"/>
      <c r="D2" s="2072"/>
      <c r="E2" s="2072"/>
      <c r="F2" s="2072"/>
      <c r="G2" s="2072"/>
      <c r="H2" s="2072"/>
      <c r="I2" s="2072"/>
    </row>
    <row r="3" spans="1:10" ht="16.5" thickBot="1"/>
    <row r="4" spans="1:10" ht="28.5" customHeight="1">
      <c r="A4" s="2073" t="s">
        <v>825</v>
      </c>
      <c r="B4" s="2075" t="s">
        <v>249</v>
      </c>
      <c r="C4" s="2077" t="s">
        <v>425</v>
      </c>
      <c r="D4" s="2077"/>
      <c r="E4" s="2077"/>
      <c r="F4" s="2077"/>
      <c r="G4" s="2081" t="s">
        <v>867</v>
      </c>
      <c r="H4" s="2082" t="s">
        <v>889</v>
      </c>
      <c r="I4" s="2078" t="s">
        <v>1022</v>
      </c>
    </row>
    <row r="5" spans="1:10" ht="25.5" customHeight="1" thickBot="1">
      <c r="A5" s="2074"/>
      <c r="B5" s="2076"/>
      <c r="C5" s="2080" t="s">
        <v>826</v>
      </c>
      <c r="D5" s="2080"/>
      <c r="E5" s="1038" t="s">
        <v>827</v>
      </c>
      <c r="F5" s="1039" t="s">
        <v>846</v>
      </c>
      <c r="G5" s="2010"/>
      <c r="H5" s="2083"/>
      <c r="I5" s="2079"/>
    </row>
    <row r="6" spans="1:10" ht="23.25" customHeight="1">
      <c r="A6" s="1064" t="s">
        <v>250</v>
      </c>
      <c r="B6" s="1065" t="s">
        <v>251</v>
      </c>
      <c r="C6" s="1066"/>
      <c r="D6" s="1067"/>
      <c r="E6" s="1068"/>
      <c r="F6" s="1069"/>
      <c r="G6" s="1069"/>
      <c r="H6" s="1069"/>
      <c r="I6" s="1070"/>
    </row>
    <row r="7" spans="1:10">
      <c r="A7" s="1071" t="s">
        <v>252</v>
      </c>
      <c r="B7" s="1041" t="s">
        <v>840</v>
      </c>
      <c r="C7" s="240">
        <v>58.37</v>
      </c>
      <c r="D7" s="242" t="s">
        <v>253</v>
      </c>
      <c r="E7" s="1040">
        <v>4580000</v>
      </c>
      <c r="F7" s="1042">
        <f>C7*E7</f>
        <v>267334600</v>
      </c>
      <c r="G7" s="1042">
        <v>267335</v>
      </c>
      <c r="H7" s="1043">
        <v>267335</v>
      </c>
      <c r="I7" s="1072">
        <v>267335</v>
      </c>
      <c r="J7" s="124"/>
    </row>
    <row r="8" spans="1:10">
      <c r="A8" s="1071"/>
      <c r="B8" s="1044" t="s">
        <v>794</v>
      </c>
      <c r="C8" s="240"/>
      <c r="D8" s="242"/>
      <c r="E8" s="1040"/>
      <c r="F8" s="1042">
        <f>-C109</f>
        <v>0</v>
      </c>
      <c r="G8" s="1042">
        <v>-111455</v>
      </c>
      <c r="H8" s="243">
        <v>-66065</v>
      </c>
      <c r="I8" s="1073">
        <v>-66065</v>
      </c>
    </row>
    <row r="9" spans="1:10">
      <c r="A9" s="1071"/>
      <c r="B9" s="1041" t="s">
        <v>254</v>
      </c>
      <c r="C9" s="240"/>
      <c r="D9" s="242"/>
      <c r="E9" s="1040"/>
      <c r="F9" s="1043">
        <f>SUM(F7:F8)</f>
        <v>267334600</v>
      </c>
      <c r="G9" s="1043">
        <f>SUM(G7:G8)</f>
        <v>155880</v>
      </c>
      <c r="H9" s="1043">
        <f>SUM(H7:H8)</f>
        <v>201270</v>
      </c>
      <c r="I9" s="1072">
        <f>SUM(I7:I8)</f>
        <v>201270</v>
      </c>
    </row>
    <row r="10" spans="1:10">
      <c r="A10" s="1074" t="s">
        <v>255</v>
      </c>
      <c r="B10" s="241" t="s">
        <v>256</v>
      </c>
      <c r="C10" s="240"/>
      <c r="D10" s="242"/>
      <c r="E10" s="1040"/>
      <c r="F10" s="243"/>
      <c r="G10" s="243"/>
      <c r="H10" s="243"/>
      <c r="I10" s="1073"/>
    </row>
    <row r="11" spans="1:10">
      <c r="A11" s="1075" t="s">
        <v>257</v>
      </c>
      <c r="B11" s="1044" t="s">
        <v>258</v>
      </c>
      <c r="C11" s="1045">
        <f>F11/E11</f>
        <v>1705.3</v>
      </c>
      <c r="D11" s="1046" t="s">
        <v>259</v>
      </c>
      <c r="E11" s="1047">
        <v>22300</v>
      </c>
      <c r="F11" s="243">
        <v>38028190</v>
      </c>
      <c r="G11" s="243">
        <v>38028</v>
      </c>
      <c r="H11" s="243">
        <v>38028</v>
      </c>
      <c r="I11" s="1073">
        <v>38028</v>
      </c>
      <c r="J11" s="124"/>
    </row>
    <row r="12" spans="1:10">
      <c r="A12" s="1075"/>
      <c r="B12" s="1044" t="s">
        <v>794</v>
      </c>
      <c r="C12" s="1045"/>
      <c r="D12" s="1046"/>
      <c r="E12" s="1047"/>
      <c r="F12" s="243">
        <f>-F11</f>
        <v>-38028190</v>
      </c>
      <c r="G12" s="243">
        <f>-G11</f>
        <v>-38028</v>
      </c>
      <c r="H12" s="243">
        <f>-H11</f>
        <v>-38028</v>
      </c>
      <c r="I12" s="1073">
        <f>-I11</f>
        <v>-38028</v>
      </c>
    </row>
    <row r="13" spans="1:10">
      <c r="A13" s="1075" t="s">
        <v>260</v>
      </c>
      <c r="B13" s="1044" t="s">
        <v>261</v>
      </c>
      <c r="C13" s="240">
        <f>F13/E13</f>
        <v>209.4</v>
      </c>
      <c r="D13" s="1046" t="s">
        <v>262</v>
      </c>
      <c r="E13" s="1047">
        <v>400000</v>
      </c>
      <c r="F13" s="243">
        <v>83760000</v>
      </c>
      <c r="G13" s="243">
        <v>83760</v>
      </c>
      <c r="H13" s="243">
        <v>83760</v>
      </c>
      <c r="I13" s="1073">
        <v>83760</v>
      </c>
      <c r="J13" s="124"/>
    </row>
    <row r="14" spans="1:10">
      <c r="A14" s="1075"/>
      <c r="B14" s="1044" t="s">
        <v>794</v>
      </c>
      <c r="C14" s="240"/>
      <c r="D14" s="1046"/>
      <c r="E14" s="1047"/>
      <c r="F14" s="243">
        <f>-F13</f>
        <v>-83760000</v>
      </c>
      <c r="G14" s="243">
        <f>-G13</f>
        <v>-83760</v>
      </c>
      <c r="H14" s="243">
        <f>-H13</f>
        <v>-83760</v>
      </c>
      <c r="I14" s="1073">
        <f>-I13</f>
        <v>-83760</v>
      </c>
    </row>
    <row r="15" spans="1:10">
      <c r="A15" s="1075" t="s">
        <v>263</v>
      </c>
      <c r="B15" s="1044" t="s">
        <v>264</v>
      </c>
      <c r="C15" s="243">
        <f>F15/E15</f>
        <v>129404</v>
      </c>
      <c r="D15" s="1046" t="s">
        <v>265</v>
      </c>
      <c r="E15" s="1047">
        <v>104</v>
      </c>
      <c r="F15" s="243">
        <v>13458016</v>
      </c>
      <c r="G15" s="243">
        <v>13458</v>
      </c>
      <c r="H15" s="243">
        <v>13458</v>
      </c>
      <c r="I15" s="1073">
        <v>13458</v>
      </c>
    </row>
    <row r="16" spans="1:10">
      <c r="A16" s="1075"/>
      <c r="B16" s="1044" t="s">
        <v>794</v>
      </c>
      <c r="C16" s="243"/>
      <c r="D16" s="1046"/>
      <c r="E16" s="1047"/>
      <c r="F16" s="243">
        <f>-F15</f>
        <v>-13458016</v>
      </c>
      <c r="G16" s="243">
        <f>-G15</f>
        <v>-13458</v>
      </c>
      <c r="H16" s="243">
        <f>-H15</f>
        <v>-13458</v>
      </c>
      <c r="I16" s="1073">
        <f>-I15</f>
        <v>-13458</v>
      </c>
    </row>
    <row r="17" spans="1:9">
      <c r="A17" s="1075" t="s">
        <v>266</v>
      </c>
      <c r="B17" s="1044" t="s">
        <v>267</v>
      </c>
      <c r="C17" s="240">
        <f>F17/E17</f>
        <v>102.41</v>
      </c>
      <c r="D17" s="1046" t="s">
        <v>262</v>
      </c>
      <c r="E17" s="1047">
        <v>295000</v>
      </c>
      <c r="F17" s="243">
        <v>30210950</v>
      </c>
      <c r="G17" s="243">
        <v>30211</v>
      </c>
      <c r="H17" s="243">
        <v>30211</v>
      </c>
      <c r="I17" s="1073">
        <v>30211</v>
      </c>
    </row>
    <row r="18" spans="1:9">
      <c r="A18" s="1075"/>
      <c r="B18" s="1044" t="s">
        <v>794</v>
      </c>
      <c r="C18" s="240"/>
      <c r="D18" s="1046"/>
      <c r="E18" s="1047"/>
      <c r="F18" s="243">
        <f>-F17</f>
        <v>-30210950</v>
      </c>
      <c r="G18" s="243">
        <f>-G17</f>
        <v>-30211</v>
      </c>
      <c r="H18" s="243">
        <f>-H17</f>
        <v>-30211</v>
      </c>
      <c r="I18" s="1073">
        <f>-I17</f>
        <v>-30211</v>
      </c>
    </row>
    <row r="19" spans="1:9">
      <c r="A19" s="1071" t="s">
        <v>255</v>
      </c>
      <c r="B19" s="1041" t="s">
        <v>268</v>
      </c>
      <c r="C19" s="240"/>
      <c r="D19" s="242"/>
      <c r="E19" s="1040"/>
      <c r="F19" s="1043">
        <f>SUM(F11:F18)</f>
        <v>0</v>
      </c>
      <c r="G19" s="1043">
        <f>SUM(G11:G18)</f>
        <v>0</v>
      </c>
      <c r="H19" s="1043">
        <f>SUM(H11:H18)</f>
        <v>0</v>
      </c>
      <c r="I19" s="1072">
        <f>SUM(I11:I18)</f>
        <v>0</v>
      </c>
    </row>
    <row r="20" spans="1:9">
      <c r="A20" s="1071" t="s">
        <v>269</v>
      </c>
      <c r="B20" s="1041" t="s">
        <v>841</v>
      </c>
      <c r="C20" s="243">
        <v>23339</v>
      </c>
      <c r="D20" s="242" t="s">
        <v>253</v>
      </c>
      <c r="E20" s="1040">
        <v>2700</v>
      </c>
      <c r="F20" s="1043">
        <f>C20*E20</f>
        <v>63015300</v>
      </c>
      <c r="G20" s="1043">
        <v>63015</v>
      </c>
      <c r="H20" s="1043">
        <v>63015</v>
      </c>
      <c r="I20" s="1072">
        <v>63015</v>
      </c>
    </row>
    <row r="21" spans="1:9">
      <c r="A21" s="1071"/>
      <c r="B21" s="1044" t="s">
        <v>794</v>
      </c>
      <c r="C21" s="243"/>
      <c r="D21" s="242"/>
      <c r="E21" s="1040"/>
      <c r="F21" s="1042">
        <v>-63015300</v>
      </c>
      <c r="G21" s="1042">
        <v>-63015</v>
      </c>
      <c r="H21" s="243">
        <v>-63015</v>
      </c>
      <c r="I21" s="1073">
        <v>-63015</v>
      </c>
    </row>
    <row r="22" spans="1:9" ht="16.5" customHeight="1">
      <c r="A22" s="1071" t="s">
        <v>270</v>
      </c>
      <c r="B22" s="1041" t="s">
        <v>271</v>
      </c>
      <c r="C22" s="240">
        <v>691</v>
      </c>
      <c r="D22" s="242" t="s">
        <v>253</v>
      </c>
      <c r="E22" s="1040">
        <v>2550</v>
      </c>
      <c r="F22" s="1043">
        <v>1343850</v>
      </c>
      <c r="G22" s="1043">
        <v>1344</v>
      </c>
      <c r="H22" s="1043">
        <v>1344</v>
      </c>
      <c r="I22" s="1072">
        <v>1344</v>
      </c>
    </row>
    <row r="23" spans="1:9">
      <c r="A23" s="1071"/>
      <c r="B23" s="1044" t="s">
        <v>794</v>
      </c>
      <c r="C23" s="240"/>
      <c r="D23" s="242"/>
      <c r="E23" s="1040"/>
      <c r="F23" s="1042">
        <f>-F22</f>
        <v>-1343850</v>
      </c>
      <c r="G23" s="1042">
        <f>-G22</f>
        <v>-1344</v>
      </c>
      <c r="H23" s="243">
        <f>-H22</f>
        <v>-1344</v>
      </c>
      <c r="I23" s="1073">
        <f>-I22</f>
        <v>-1344</v>
      </c>
    </row>
    <row r="24" spans="1:9">
      <c r="A24" s="1071" t="s">
        <v>272</v>
      </c>
      <c r="B24" s="1041" t="s">
        <v>828</v>
      </c>
      <c r="C24" s="243">
        <v>49277190</v>
      </c>
      <c r="D24" s="1048" t="s">
        <v>273</v>
      </c>
      <c r="E24" s="1049">
        <v>1</v>
      </c>
      <c r="F24" s="1043">
        <f>C24*E24</f>
        <v>49277190</v>
      </c>
      <c r="G24" s="1043">
        <v>49277</v>
      </c>
      <c r="H24" s="1043">
        <v>49277</v>
      </c>
      <c r="I24" s="1072">
        <v>49277</v>
      </c>
    </row>
    <row r="25" spans="1:9">
      <c r="A25" s="1071"/>
      <c r="B25" s="1044" t="s">
        <v>794</v>
      </c>
      <c r="C25" s="243"/>
      <c r="D25" s="1048"/>
      <c r="E25" s="1049"/>
      <c r="F25" s="1042">
        <v>-49277190</v>
      </c>
      <c r="G25" s="1042">
        <v>-49277</v>
      </c>
      <c r="H25" s="243">
        <v>-49277</v>
      </c>
      <c r="I25" s="1073">
        <v>-49277</v>
      </c>
    </row>
    <row r="26" spans="1:9">
      <c r="A26" s="1071" t="s">
        <v>795</v>
      </c>
      <c r="B26" s="1044" t="s">
        <v>796</v>
      </c>
      <c r="C26" s="243">
        <f>F8+F12+F14+F16+F18+F21+F23+F25</f>
        <v>-279093496</v>
      </c>
      <c r="D26" s="1048"/>
      <c r="E26" s="1049"/>
      <c r="F26" s="1043"/>
      <c r="G26" s="1043"/>
      <c r="H26" s="243"/>
      <c r="I26" s="1073"/>
    </row>
    <row r="27" spans="1:9">
      <c r="A27" s="1076" t="s">
        <v>274</v>
      </c>
      <c r="B27" s="1050" t="s">
        <v>275</v>
      </c>
      <c r="C27" s="240"/>
      <c r="D27" s="242"/>
      <c r="E27" s="1040"/>
      <c r="F27" s="1051">
        <f>F9+F19+F20+F21+F22+F23+F24+F25</f>
        <v>267334600</v>
      </c>
      <c r="G27" s="1051">
        <f>G9+G19+G20+G21+G22+G23+G24+G25</f>
        <v>155880</v>
      </c>
      <c r="H27" s="1051">
        <f>H9+H19+H20+H21+H22+H23+H24+H25</f>
        <v>201270</v>
      </c>
      <c r="I27" s="1077">
        <f>I9+I19+I20+I21+I22+I23+I24+I25</f>
        <v>201270</v>
      </c>
    </row>
    <row r="28" spans="1:9" s="1285" customFormat="1">
      <c r="A28" s="1277" t="s">
        <v>276</v>
      </c>
      <c r="B28" s="1278" t="s">
        <v>797</v>
      </c>
      <c r="C28" s="1279" t="s">
        <v>277</v>
      </c>
      <c r="D28" s="1280"/>
      <c r="E28" s="1281"/>
      <c r="F28" s="1282">
        <v>0</v>
      </c>
      <c r="G28" s="1282">
        <v>0</v>
      </c>
      <c r="H28" s="1283">
        <v>508</v>
      </c>
      <c r="I28" s="1284">
        <v>508</v>
      </c>
    </row>
    <row r="29" spans="1:9" ht="16.5" thickBot="1">
      <c r="A29" s="1114" t="s">
        <v>250</v>
      </c>
      <c r="B29" s="1119" t="s">
        <v>278</v>
      </c>
      <c r="C29" s="1120" t="s">
        <v>829</v>
      </c>
      <c r="D29" s="247"/>
      <c r="E29" s="1082"/>
      <c r="F29" s="249">
        <f>F27+F28</f>
        <v>267334600</v>
      </c>
      <c r="G29" s="249">
        <f>G27+G28</f>
        <v>155880</v>
      </c>
      <c r="H29" s="249">
        <f>H27+H28</f>
        <v>201778</v>
      </c>
      <c r="I29" s="1093">
        <f>I27+I28</f>
        <v>201778</v>
      </c>
    </row>
    <row r="30" spans="1:9" ht="30" customHeight="1">
      <c r="A30" s="1121" t="s">
        <v>279</v>
      </c>
      <c r="B30" s="1122" t="s">
        <v>280</v>
      </c>
      <c r="C30" s="1066"/>
      <c r="D30" s="1067"/>
      <c r="E30" s="1068"/>
      <c r="F30" s="1069"/>
      <c r="G30" s="1069"/>
      <c r="H30" s="1069"/>
      <c r="I30" s="1070"/>
    </row>
    <row r="31" spans="1:9" ht="22.5" customHeight="1">
      <c r="A31" s="1071"/>
      <c r="B31" s="1053" t="s">
        <v>281</v>
      </c>
      <c r="C31" s="240">
        <v>50.9</v>
      </c>
      <c r="D31" s="242" t="s">
        <v>253</v>
      </c>
      <c r="E31" s="1040">
        <v>4371500</v>
      </c>
      <c r="F31" s="243">
        <f>C31*E31*8/12</f>
        <v>148339566.66666666</v>
      </c>
      <c r="G31" s="243">
        <v>148340</v>
      </c>
      <c r="H31" s="243">
        <v>147757</v>
      </c>
      <c r="I31" s="1073">
        <v>150380</v>
      </c>
    </row>
    <row r="32" spans="1:9" ht="19.5" customHeight="1">
      <c r="A32" s="1071"/>
      <c r="B32" s="1053" t="s">
        <v>282</v>
      </c>
      <c r="C32" s="1054">
        <v>50.9</v>
      </c>
      <c r="D32" s="242" t="s">
        <v>253</v>
      </c>
      <c r="E32" s="1040">
        <v>4371500</v>
      </c>
      <c r="F32" s="243">
        <f>C32*E32*4/12</f>
        <v>74169783.333333328</v>
      </c>
      <c r="G32" s="243">
        <v>74170</v>
      </c>
      <c r="H32" s="243">
        <v>73878</v>
      </c>
      <c r="I32" s="1073">
        <v>73878</v>
      </c>
    </row>
    <row r="33" spans="1:9" ht="18" customHeight="1">
      <c r="A33" s="1071"/>
      <c r="B33" s="1053" t="s">
        <v>283</v>
      </c>
      <c r="C33" s="240">
        <v>34</v>
      </c>
      <c r="D33" s="242" t="s">
        <v>253</v>
      </c>
      <c r="E33" s="1040">
        <v>2205000</v>
      </c>
      <c r="F33" s="243">
        <f>C33*E33*8/12</f>
        <v>49980000</v>
      </c>
      <c r="G33" s="243">
        <v>49980</v>
      </c>
      <c r="H33" s="243">
        <v>49980</v>
      </c>
      <c r="I33" s="1073">
        <v>49980</v>
      </c>
    </row>
    <row r="34" spans="1:9" ht="21.75" customHeight="1">
      <c r="A34" s="1071"/>
      <c r="B34" s="1053" t="s">
        <v>284</v>
      </c>
      <c r="C34" s="240">
        <v>34</v>
      </c>
      <c r="D34" s="242" t="s">
        <v>253</v>
      </c>
      <c r="E34" s="1040">
        <v>2205000</v>
      </c>
      <c r="F34" s="243">
        <f>C34*E34*4/12</f>
        <v>24990000</v>
      </c>
      <c r="G34" s="243">
        <v>24990</v>
      </c>
      <c r="H34" s="243">
        <v>24990</v>
      </c>
      <c r="I34" s="1073">
        <v>24990</v>
      </c>
    </row>
    <row r="35" spans="1:9" ht="32.25" customHeight="1">
      <c r="A35" s="1076" t="s">
        <v>279</v>
      </c>
      <c r="B35" s="1055" t="s">
        <v>285</v>
      </c>
      <c r="C35" s="240"/>
      <c r="D35" s="242"/>
      <c r="E35" s="1040"/>
      <c r="F35" s="1043">
        <f>SUM(F31:F34)</f>
        <v>297479350</v>
      </c>
      <c r="G35" s="1043">
        <f>SUM(G31:G34)</f>
        <v>297480</v>
      </c>
      <c r="H35" s="1051">
        <f>SUM(H31:H34)</f>
        <v>296605</v>
      </c>
      <c r="I35" s="1077">
        <f>SUM(I31:I34)</f>
        <v>299228</v>
      </c>
    </row>
    <row r="36" spans="1:9">
      <c r="A36" s="1071" t="s">
        <v>286</v>
      </c>
      <c r="B36" s="1041" t="s">
        <v>287</v>
      </c>
      <c r="C36" s="240"/>
      <c r="D36" s="242"/>
      <c r="E36" s="1040"/>
      <c r="F36" s="243"/>
      <c r="G36" s="243"/>
      <c r="H36" s="243"/>
      <c r="I36" s="1073"/>
    </row>
    <row r="37" spans="1:9">
      <c r="A37" s="1074" t="s">
        <v>288</v>
      </c>
      <c r="B37" s="241" t="s">
        <v>289</v>
      </c>
      <c r="C37" s="240">
        <v>553</v>
      </c>
      <c r="D37" s="242" t="s">
        <v>253</v>
      </c>
      <c r="E37" s="1040">
        <v>97400</v>
      </c>
      <c r="F37" s="243">
        <f>C37*E37*8/12</f>
        <v>35908133.333333336</v>
      </c>
      <c r="G37" s="243">
        <v>35908</v>
      </c>
      <c r="H37" s="243">
        <v>35778</v>
      </c>
      <c r="I37" s="1073">
        <v>36297</v>
      </c>
    </row>
    <row r="38" spans="1:9">
      <c r="A38" s="1071"/>
      <c r="B38" s="241" t="s">
        <v>290</v>
      </c>
      <c r="C38" s="240">
        <v>553</v>
      </c>
      <c r="D38" s="242" t="s">
        <v>253</v>
      </c>
      <c r="E38" s="1040">
        <v>97400</v>
      </c>
      <c r="F38" s="243">
        <f>C38*E38*4/12</f>
        <v>17954066.666666668</v>
      </c>
      <c r="G38" s="243">
        <v>17954</v>
      </c>
      <c r="H38" s="243">
        <v>17889</v>
      </c>
      <c r="I38" s="1073">
        <v>17889</v>
      </c>
    </row>
    <row r="39" spans="1:9">
      <c r="A39" s="1074" t="s">
        <v>291</v>
      </c>
      <c r="B39" s="241" t="s">
        <v>292</v>
      </c>
      <c r="C39" s="240" t="s">
        <v>277</v>
      </c>
      <c r="D39" s="242"/>
      <c r="E39" s="1040"/>
      <c r="F39" s="243"/>
      <c r="G39" s="243"/>
      <c r="H39" s="243"/>
      <c r="I39" s="1073"/>
    </row>
    <row r="40" spans="1:9">
      <c r="A40" s="1076" t="s">
        <v>293</v>
      </c>
      <c r="B40" s="1050" t="s">
        <v>294</v>
      </c>
      <c r="C40" s="240"/>
      <c r="D40" s="242"/>
      <c r="E40" s="1040"/>
      <c r="F40" s="1043">
        <f>SUM(F37:F39)</f>
        <v>53862200</v>
      </c>
      <c r="G40" s="1043">
        <f>SUM(G37:G39)</f>
        <v>53862</v>
      </c>
      <c r="H40" s="1051">
        <f>SUM(H37:H39)</f>
        <v>53667</v>
      </c>
      <c r="I40" s="1077">
        <f>SUM(I37:I39)</f>
        <v>54186</v>
      </c>
    </row>
    <row r="41" spans="1:9">
      <c r="A41" s="1071" t="s">
        <v>295</v>
      </c>
      <c r="B41" s="1041" t="s">
        <v>296</v>
      </c>
      <c r="C41" s="240"/>
      <c r="D41" s="242"/>
      <c r="E41" s="1040"/>
      <c r="F41" s="243"/>
      <c r="G41" s="243"/>
      <c r="H41" s="243"/>
      <c r="I41" s="1073"/>
    </row>
    <row r="42" spans="1:9">
      <c r="A42" s="1071"/>
      <c r="B42" s="241" t="s">
        <v>297</v>
      </c>
      <c r="C42" s="240">
        <v>24</v>
      </c>
      <c r="D42" s="242" t="s">
        <v>253</v>
      </c>
      <c r="E42" s="1040">
        <v>396700</v>
      </c>
      <c r="F42" s="243">
        <f>C42*E42</f>
        <v>9520800</v>
      </c>
      <c r="G42" s="243">
        <v>9521</v>
      </c>
      <c r="H42" s="243">
        <v>9521</v>
      </c>
      <c r="I42" s="1073">
        <v>9521</v>
      </c>
    </row>
    <row r="43" spans="1:9">
      <c r="A43" s="1071"/>
      <c r="B43" s="241" t="s">
        <v>798</v>
      </c>
      <c r="C43" s="240">
        <v>4</v>
      </c>
      <c r="D43" s="242" t="s">
        <v>253</v>
      </c>
      <c r="E43" s="1040">
        <v>396700</v>
      </c>
      <c r="F43" s="243">
        <f>C43*E43</f>
        <v>1586800</v>
      </c>
      <c r="G43" s="243">
        <v>1587</v>
      </c>
      <c r="H43" s="243">
        <v>1587</v>
      </c>
      <c r="I43" s="1073">
        <v>1587</v>
      </c>
    </row>
    <row r="44" spans="1:9">
      <c r="A44" s="1076" t="s">
        <v>295</v>
      </c>
      <c r="B44" s="1050" t="s">
        <v>296</v>
      </c>
      <c r="C44" s="240"/>
      <c r="D44" s="242"/>
      <c r="E44" s="1040"/>
      <c r="F44" s="1043">
        <f>SUM(F42:F43)</f>
        <v>11107600</v>
      </c>
      <c r="G44" s="1043">
        <f>SUM(G42:G43)</f>
        <v>11108</v>
      </c>
      <c r="H44" s="1051">
        <f>SUM(H42:H43)</f>
        <v>11108</v>
      </c>
      <c r="I44" s="1077">
        <f>SUM(I42:I43)</f>
        <v>11108</v>
      </c>
    </row>
    <row r="45" spans="1:9" ht="24" customHeight="1" thickBot="1">
      <c r="A45" s="1114" t="s">
        <v>298</v>
      </c>
      <c r="B45" s="1123" t="s">
        <v>299</v>
      </c>
      <c r="C45" s="247"/>
      <c r="D45" s="248"/>
      <c r="E45" s="1082"/>
      <c r="F45" s="249">
        <f>F35+F40+F44</f>
        <v>362449150</v>
      </c>
      <c r="G45" s="249">
        <f>G35+G40+G44</f>
        <v>362450</v>
      </c>
      <c r="H45" s="249">
        <f>H35+H40+H44</f>
        <v>361380</v>
      </c>
      <c r="I45" s="1093">
        <f>I35+I40+I44</f>
        <v>364522</v>
      </c>
    </row>
    <row r="46" spans="1:9">
      <c r="A46" s="1112" t="s">
        <v>300</v>
      </c>
      <c r="B46" s="1127" t="s">
        <v>301</v>
      </c>
      <c r="C46" s="1066" t="s">
        <v>277</v>
      </c>
      <c r="D46" s="1067"/>
      <c r="E46" s="1068"/>
      <c r="F46" s="1128"/>
      <c r="G46" s="1128">
        <v>0</v>
      </c>
      <c r="H46" s="1116">
        <v>14962</v>
      </c>
      <c r="I46" s="1117">
        <v>34141</v>
      </c>
    </row>
    <row r="47" spans="1:9">
      <c r="A47" s="1074" t="s">
        <v>302</v>
      </c>
      <c r="B47" s="241" t="s">
        <v>303</v>
      </c>
      <c r="C47" s="240"/>
      <c r="D47" s="242"/>
      <c r="E47" s="1040"/>
      <c r="F47" s="243"/>
      <c r="G47" s="243"/>
      <c r="H47" s="243"/>
      <c r="I47" s="1073"/>
    </row>
    <row r="48" spans="1:9">
      <c r="A48" s="1071" t="s">
        <v>304</v>
      </c>
      <c r="B48" s="241" t="s">
        <v>799</v>
      </c>
      <c r="C48" s="240">
        <v>8.4</v>
      </c>
      <c r="D48" s="242" t="s">
        <v>253</v>
      </c>
      <c r="E48" s="1040">
        <v>3400000</v>
      </c>
      <c r="F48" s="243">
        <f t="shared" ref="F48:F59" si="0">C48*E48</f>
        <v>28560000</v>
      </c>
      <c r="G48" s="243">
        <v>28560</v>
      </c>
      <c r="H48" s="243">
        <v>28560</v>
      </c>
      <c r="I48" s="1073">
        <f>H48</f>
        <v>28560</v>
      </c>
    </row>
    <row r="49" spans="1:10">
      <c r="A49" s="1071" t="s">
        <v>305</v>
      </c>
      <c r="B49" s="241" t="s">
        <v>800</v>
      </c>
      <c r="C49" s="240">
        <v>5.9</v>
      </c>
      <c r="D49" s="242" t="s">
        <v>253</v>
      </c>
      <c r="E49" s="1040">
        <v>3300000</v>
      </c>
      <c r="F49" s="243">
        <f t="shared" si="0"/>
        <v>19470000</v>
      </c>
      <c r="G49" s="243">
        <v>19470</v>
      </c>
      <c r="H49" s="243">
        <v>19470</v>
      </c>
      <c r="I49" s="1073">
        <v>19470</v>
      </c>
    </row>
    <row r="50" spans="1:10">
      <c r="A50" s="1071" t="s">
        <v>306</v>
      </c>
      <c r="B50" s="241" t="s">
        <v>801</v>
      </c>
      <c r="C50" s="240">
        <v>65</v>
      </c>
      <c r="D50" s="242" t="s">
        <v>253</v>
      </c>
      <c r="E50" s="1040">
        <v>60896</v>
      </c>
      <c r="F50" s="243">
        <f t="shared" si="0"/>
        <v>3958240</v>
      </c>
      <c r="G50" s="243">
        <v>3958</v>
      </c>
      <c r="H50" s="243">
        <v>3958</v>
      </c>
      <c r="I50" s="1073">
        <f>H50</f>
        <v>3958</v>
      </c>
    </row>
    <row r="51" spans="1:10" ht="20.25" customHeight="1">
      <c r="A51" s="1075" t="s">
        <v>307</v>
      </c>
      <c r="B51" s="1053" t="s">
        <v>842</v>
      </c>
      <c r="C51" s="240">
        <v>21</v>
      </c>
      <c r="D51" s="242" t="s">
        <v>253</v>
      </c>
      <c r="E51" s="1040">
        <v>429000</v>
      </c>
      <c r="F51" s="1056">
        <f t="shared" si="0"/>
        <v>9009000</v>
      </c>
      <c r="G51" s="1056">
        <v>9009</v>
      </c>
      <c r="H51" s="243">
        <v>9009</v>
      </c>
      <c r="I51" s="1073">
        <v>9009</v>
      </c>
    </row>
    <row r="52" spans="1:10" ht="18.75" customHeight="1">
      <c r="A52" s="1071" t="s">
        <v>308</v>
      </c>
      <c r="B52" s="1057" t="s">
        <v>802</v>
      </c>
      <c r="C52" s="240">
        <v>50</v>
      </c>
      <c r="D52" s="242" t="s">
        <v>253</v>
      </c>
      <c r="E52" s="1040">
        <v>163500</v>
      </c>
      <c r="F52" s="243">
        <f t="shared" si="0"/>
        <v>8175000</v>
      </c>
      <c r="G52" s="243">
        <v>8175</v>
      </c>
      <c r="H52" s="243">
        <v>8175</v>
      </c>
      <c r="I52" s="1073">
        <f>H52</f>
        <v>8175</v>
      </c>
    </row>
    <row r="53" spans="1:10" ht="18" customHeight="1">
      <c r="A53" s="1071" t="s">
        <v>309</v>
      </c>
      <c r="B53" s="1053" t="s">
        <v>803</v>
      </c>
      <c r="C53" s="240">
        <v>32</v>
      </c>
      <c r="D53" s="242" t="s">
        <v>253</v>
      </c>
      <c r="E53" s="1040">
        <v>550000</v>
      </c>
      <c r="F53" s="243">
        <f t="shared" si="0"/>
        <v>17600000</v>
      </c>
      <c r="G53" s="243">
        <v>17600</v>
      </c>
      <c r="H53" s="243">
        <v>17600</v>
      </c>
      <c r="I53" s="1073">
        <f>H53</f>
        <v>17600</v>
      </c>
      <c r="J53" s="123"/>
    </row>
    <row r="54" spans="1:10" ht="17.25" customHeight="1">
      <c r="A54" s="1071" t="s">
        <v>310</v>
      </c>
      <c r="B54" s="1053" t="s">
        <v>804</v>
      </c>
      <c r="C54" s="240">
        <v>35</v>
      </c>
      <c r="D54" s="242" t="s">
        <v>253</v>
      </c>
      <c r="E54" s="1040">
        <v>247320</v>
      </c>
      <c r="F54" s="243">
        <f t="shared" si="0"/>
        <v>8656200</v>
      </c>
      <c r="G54" s="243">
        <v>8656</v>
      </c>
      <c r="H54" s="243">
        <v>8656</v>
      </c>
      <c r="I54" s="1073">
        <f>H54</f>
        <v>8656</v>
      </c>
      <c r="J54" s="123"/>
    </row>
    <row r="55" spans="1:10" ht="37.5" customHeight="1">
      <c r="A55" s="1071" t="s">
        <v>311</v>
      </c>
      <c r="B55" s="1053" t="s">
        <v>805</v>
      </c>
      <c r="C55" s="240">
        <v>32</v>
      </c>
      <c r="D55" s="242" t="s">
        <v>312</v>
      </c>
      <c r="E55" s="1040">
        <v>539000</v>
      </c>
      <c r="F55" s="243">
        <f t="shared" si="0"/>
        <v>17248000</v>
      </c>
      <c r="G55" s="243">
        <v>17248</v>
      </c>
      <c r="H55" s="243">
        <v>17248</v>
      </c>
      <c r="I55" s="1073">
        <f>H55</f>
        <v>17248</v>
      </c>
      <c r="J55" s="123"/>
    </row>
    <row r="56" spans="1:10" ht="15.75" customHeight="1">
      <c r="A56" s="1071" t="s">
        <v>313</v>
      </c>
      <c r="B56" s="1053" t="s">
        <v>806</v>
      </c>
      <c r="C56" s="1052">
        <v>1</v>
      </c>
      <c r="D56" s="1058" t="s">
        <v>830</v>
      </c>
      <c r="E56" s="1040">
        <v>4100000</v>
      </c>
      <c r="F56" s="243">
        <f t="shared" si="0"/>
        <v>4100000</v>
      </c>
      <c r="G56" s="243">
        <v>4100</v>
      </c>
      <c r="H56" s="243">
        <v>4100</v>
      </c>
      <c r="I56" s="1073">
        <f>H56</f>
        <v>4100</v>
      </c>
      <c r="J56" s="123"/>
    </row>
    <row r="57" spans="1:10" ht="16.5" customHeight="1">
      <c r="A57" s="1071"/>
      <c r="B57" s="1053" t="s">
        <v>807</v>
      </c>
      <c r="C57" s="240">
        <v>5369</v>
      </c>
      <c r="D57" s="1048" t="s">
        <v>314</v>
      </c>
      <c r="E57" s="1040">
        <v>1800</v>
      </c>
      <c r="F57" s="243">
        <f t="shared" si="0"/>
        <v>9664200</v>
      </c>
      <c r="G57" s="243">
        <v>9664</v>
      </c>
      <c r="H57" s="243">
        <v>9664</v>
      </c>
      <c r="I57" s="1073">
        <v>9664</v>
      </c>
      <c r="J57" s="123"/>
    </row>
    <row r="58" spans="1:10" ht="18.75" customHeight="1">
      <c r="A58" s="1071" t="s">
        <v>315</v>
      </c>
      <c r="B58" s="1053" t="s">
        <v>808</v>
      </c>
      <c r="C58" s="1052">
        <v>1</v>
      </c>
      <c r="D58" s="1058" t="s">
        <v>830</v>
      </c>
      <c r="E58" s="1040">
        <v>3400000</v>
      </c>
      <c r="F58" s="243">
        <f t="shared" si="0"/>
        <v>3400000</v>
      </c>
      <c r="G58" s="243">
        <v>3400</v>
      </c>
      <c r="H58" s="243">
        <v>3400</v>
      </c>
      <c r="I58" s="1073">
        <v>3400</v>
      </c>
      <c r="J58" s="123"/>
    </row>
    <row r="59" spans="1:10" ht="20.25" customHeight="1">
      <c r="A59" s="1071"/>
      <c r="B59" s="1053" t="s">
        <v>316</v>
      </c>
      <c r="C59" s="240">
        <v>40</v>
      </c>
      <c r="D59" s="1059" t="s">
        <v>317</v>
      </c>
      <c r="E59" s="1040">
        <v>150000</v>
      </c>
      <c r="F59" s="243">
        <f t="shared" si="0"/>
        <v>6000000</v>
      </c>
      <c r="G59" s="243">
        <v>6000</v>
      </c>
      <c r="H59" s="243">
        <v>6000</v>
      </c>
      <c r="I59" s="1073">
        <v>6000</v>
      </c>
      <c r="J59" s="123"/>
    </row>
    <row r="60" spans="1:10" ht="33" customHeight="1">
      <c r="A60" s="1071" t="s">
        <v>318</v>
      </c>
      <c r="B60" s="1053" t="s">
        <v>319</v>
      </c>
      <c r="C60" s="2068" t="s">
        <v>831</v>
      </c>
      <c r="D60" s="2068"/>
      <c r="E60" s="2068"/>
      <c r="F60" s="243">
        <v>0</v>
      </c>
      <c r="G60" s="243">
        <v>0</v>
      </c>
      <c r="H60" s="243">
        <v>25889</v>
      </c>
      <c r="I60" s="1073">
        <v>25889</v>
      </c>
      <c r="J60" s="123"/>
    </row>
    <row r="61" spans="1:10" s="1285" customFormat="1" ht="18" customHeight="1">
      <c r="A61" s="1291"/>
      <c r="B61" s="1292" t="s">
        <v>945</v>
      </c>
      <c r="C61" s="1293"/>
      <c r="D61" s="1293"/>
      <c r="E61" s="1293"/>
      <c r="F61" s="1282"/>
      <c r="G61" s="1282"/>
      <c r="H61" s="1282">
        <v>1</v>
      </c>
      <c r="I61" s="1290">
        <v>0</v>
      </c>
      <c r="J61" s="123"/>
    </row>
    <row r="62" spans="1:10" ht="18" customHeight="1">
      <c r="A62" s="1071" t="s">
        <v>809</v>
      </c>
      <c r="B62" s="1053" t="s">
        <v>810</v>
      </c>
      <c r="C62" s="1060"/>
      <c r="D62" s="1060"/>
      <c r="E62" s="1060"/>
      <c r="F62" s="243"/>
      <c r="G62" s="243"/>
      <c r="H62" s="243"/>
      <c r="I62" s="1073"/>
      <c r="J62" s="123"/>
    </row>
    <row r="63" spans="1:10">
      <c r="A63" s="1076" t="s">
        <v>302</v>
      </c>
      <c r="B63" s="1050" t="s">
        <v>811</v>
      </c>
      <c r="C63" s="240"/>
      <c r="D63" s="242"/>
      <c r="E63" s="1040"/>
      <c r="F63" s="1043">
        <f>SUM(F48:F60)</f>
        <v>135840640</v>
      </c>
      <c r="G63" s="1043">
        <v>135841</v>
      </c>
      <c r="H63" s="1051">
        <f>SUM(H48:H61)</f>
        <v>161730</v>
      </c>
      <c r="I63" s="1077">
        <f>SUM(I48:I61)</f>
        <v>161729</v>
      </c>
      <c r="J63" s="123"/>
    </row>
    <row r="64" spans="1:10" ht="22.5">
      <c r="A64" s="1078" t="s">
        <v>812</v>
      </c>
      <c r="B64" s="241" t="s">
        <v>813</v>
      </c>
      <c r="C64" s="240">
        <v>42</v>
      </c>
      <c r="D64" s="1060" t="s">
        <v>832</v>
      </c>
      <c r="E64" s="1040">
        <v>2848000</v>
      </c>
      <c r="F64" s="243">
        <f>C64*E64</f>
        <v>119616000</v>
      </c>
      <c r="G64" s="243">
        <v>119616</v>
      </c>
      <c r="H64" s="243">
        <v>119616</v>
      </c>
      <c r="I64" s="1073">
        <f>H64</f>
        <v>119616</v>
      </c>
      <c r="J64" s="123"/>
    </row>
    <row r="65" spans="1:10" ht="30.75" customHeight="1">
      <c r="A65" s="1079" t="s">
        <v>814</v>
      </c>
      <c r="B65" s="241" t="s">
        <v>320</v>
      </c>
      <c r="C65" s="2069" t="s">
        <v>833</v>
      </c>
      <c r="D65" s="2069"/>
      <c r="E65" s="2069"/>
      <c r="F65" s="243">
        <v>51630000</v>
      </c>
      <c r="G65" s="243">
        <v>51630</v>
      </c>
      <c r="H65" s="243">
        <v>62160</v>
      </c>
      <c r="I65" s="1073">
        <v>62160</v>
      </c>
    </row>
    <row r="66" spans="1:10">
      <c r="A66" s="1076" t="s">
        <v>321</v>
      </c>
      <c r="B66" s="1050" t="s">
        <v>322</v>
      </c>
      <c r="C66" s="240"/>
      <c r="D66" s="242"/>
      <c r="E66" s="1040"/>
      <c r="F66" s="1043">
        <f>SUM(F64:F65)</f>
        <v>171246000</v>
      </c>
      <c r="G66" s="1043">
        <f>SUM(G64:G65)</f>
        <v>171246</v>
      </c>
      <c r="H66" s="1051">
        <f>SUM(H64:H65)</f>
        <v>181776</v>
      </c>
      <c r="I66" s="1077">
        <f>SUM(I64:I65)</f>
        <v>181776</v>
      </c>
    </row>
    <row r="67" spans="1:10">
      <c r="A67" s="1071" t="s">
        <v>323</v>
      </c>
      <c r="B67" s="1041" t="s">
        <v>324</v>
      </c>
      <c r="C67" s="240"/>
      <c r="D67" s="242"/>
      <c r="E67" s="1040"/>
      <c r="F67" s="243"/>
      <c r="G67" s="243"/>
      <c r="H67" s="243"/>
      <c r="I67" s="1073"/>
    </row>
    <row r="68" spans="1:10" ht="32.25" customHeight="1">
      <c r="A68" s="1075" t="s">
        <v>815</v>
      </c>
      <c r="B68" s="1053" t="s">
        <v>816</v>
      </c>
      <c r="C68" s="240">
        <v>45.69</v>
      </c>
      <c r="D68" s="242" t="s">
        <v>325</v>
      </c>
      <c r="E68" s="1040">
        <v>1900000</v>
      </c>
      <c r="F68" s="243">
        <f>C68*E68</f>
        <v>86811000</v>
      </c>
      <c r="G68" s="243">
        <v>86811</v>
      </c>
      <c r="H68" s="243">
        <v>86811</v>
      </c>
      <c r="I68" s="1073">
        <f>H68</f>
        <v>86811</v>
      </c>
      <c r="J68" s="123"/>
    </row>
    <row r="69" spans="1:10" ht="29.25" customHeight="1">
      <c r="A69" s="1075" t="s">
        <v>817</v>
      </c>
      <c r="B69" s="241" t="s">
        <v>818</v>
      </c>
      <c r="C69" s="2069" t="s">
        <v>834</v>
      </c>
      <c r="D69" s="2069"/>
      <c r="E69" s="2069"/>
      <c r="F69" s="243">
        <v>72285000</v>
      </c>
      <c r="G69" s="243">
        <v>72285</v>
      </c>
      <c r="H69" s="243">
        <v>94350</v>
      </c>
      <c r="I69" s="1073">
        <v>94350</v>
      </c>
    </row>
    <row r="70" spans="1:10" ht="31.5">
      <c r="A70" s="1074" t="s">
        <v>819</v>
      </c>
      <c r="B70" s="1053" t="s">
        <v>820</v>
      </c>
      <c r="C70" s="240">
        <v>1998</v>
      </c>
      <c r="D70" s="242" t="s">
        <v>253</v>
      </c>
      <c r="E70" s="1040">
        <v>285</v>
      </c>
      <c r="F70" s="1056">
        <f>C70*E70</f>
        <v>569430</v>
      </c>
      <c r="G70" s="1056">
        <v>569</v>
      </c>
      <c r="H70" s="243">
        <v>561</v>
      </c>
      <c r="I70" s="1073">
        <v>553</v>
      </c>
    </row>
    <row r="71" spans="1:10">
      <c r="A71" s="1076" t="s">
        <v>323</v>
      </c>
      <c r="B71" s="1050" t="s">
        <v>326</v>
      </c>
      <c r="C71" s="240"/>
      <c r="D71" s="242"/>
      <c r="E71" s="1040"/>
      <c r="F71" s="1043">
        <f>SUM(F68:F70)</f>
        <v>159665430</v>
      </c>
      <c r="G71" s="1043">
        <f>SUM(G68:G70)</f>
        <v>159665</v>
      </c>
      <c r="H71" s="1051">
        <f>SUM(H68:H70)</f>
        <v>181722</v>
      </c>
      <c r="I71" s="1077">
        <f>SUM(I68:I70)</f>
        <v>181714</v>
      </c>
    </row>
    <row r="72" spans="1:10" ht="15" customHeight="1">
      <c r="A72" s="1074" t="s">
        <v>821</v>
      </c>
      <c r="B72" s="1053" t="s">
        <v>328</v>
      </c>
      <c r="C72" s="240">
        <v>4</v>
      </c>
      <c r="D72" s="242" t="s">
        <v>253</v>
      </c>
      <c r="E72" s="1040">
        <v>4419000</v>
      </c>
      <c r="F72" s="243">
        <f>C72*E72</f>
        <v>17676000</v>
      </c>
      <c r="G72" s="243">
        <v>17676</v>
      </c>
      <c r="H72" s="243">
        <v>17676</v>
      </c>
      <c r="I72" s="1073">
        <v>17676</v>
      </c>
    </row>
    <row r="73" spans="1:10" ht="15" customHeight="1">
      <c r="A73" s="1074" t="s">
        <v>821</v>
      </c>
      <c r="B73" s="1053" t="s">
        <v>329</v>
      </c>
      <c r="C73" s="240">
        <v>14.7</v>
      </c>
      <c r="D73" s="242" t="s">
        <v>253</v>
      </c>
      <c r="E73" s="1040">
        <v>2993000</v>
      </c>
      <c r="F73" s="243">
        <f>C73*E73</f>
        <v>43997100</v>
      </c>
      <c r="G73" s="243">
        <v>43997</v>
      </c>
      <c r="H73" s="243">
        <v>43997</v>
      </c>
      <c r="I73" s="1073">
        <v>43399</v>
      </c>
    </row>
    <row r="74" spans="1:10" ht="15" customHeight="1">
      <c r="A74" s="1074" t="s">
        <v>822</v>
      </c>
      <c r="B74" s="1053" t="s">
        <v>330</v>
      </c>
      <c r="C74" s="2069" t="s">
        <v>835</v>
      </c>
      <c r="D74" s="2069"/>
      <c r="E74" s="2069"/>
      <c r="F74" s="243">
        <v>0</v>
      </c>
      <c r="G74" s="243">
        <v>0</v>
      </c>
      <c r="H74" s="243">
        <v>49002</v>
      </c>
      <c r="I74" s="1073">
        <v>49002</v>
      </c>
    </row>
    <row r="75" spans="1:10" ht="15" customHeight="1">
      <c r="A75" s="1115" t="s">
        <v>327</v>
      </c>
      <c r="B75" s="1111" t="s">
        <v>331</v>
      </c>
      <c r="C75" s="1085"/>
      <c r="D75" s="1086"/>
      <c r="E75" s="1087"/>
      <c r="F75" s="1089">
        <f>SUM(F72:F74)</f>
        <v>61673100</v>
      </c>
      <c r="G75" s="1089">
        <f>SUM(G72:G74)</f>
        <v>61673</v>
      </c>
      <c r="H75" s="1097">
        <f>SUM(H72:H74)</f>
        <v>110675</v>
      </c>
      <c r="I75" s="1098">
        <f>SUM(I72:I74)</f>
        <v>110077</v>
      </c>
    </row>
    <row r="76" spans="1:10" ht="30.75" customHeight="1" thickBot="1">
      <c r="A76" s="1126" t="s">
        <v>332</v>
      </c>
      <c r="B76" s="1123" t="s">
        <v>333</v>
      </c>
      <c r="C76" s="247"/>
      <c r="D76" s="248"/>
      <c r="E76" s="1082"/>
      <c r="F76" s="249">
        <f>F46+F63+F66+F71+F75</f>
        <v>528425170</v>
      </c>
      <c r="G76" s="249">
        <f>G46+G63+G66+G71+G75</f>
        <v>528425</v>
      </c>
      <c r="H76" s="249">
        <f>H46+H63+H66+H71+H75</f>
        <v>650865</v>
      </c>
      <c r="I76" s="1093">
        <f>I46+I63+I66+I71+I75</f>
        <v>669437</v>
      </c>
    </row>
    <row r="77" spans="1:10" ht="21" customHeight="1">
      <c r="A77" s="1112" t="s">
        <v>334</v>
      </c>
      <c r="B77" s="1113" t="s">
        <v>335</v>
      </c>
      <c r="C77" s="1066"/>
      <c r="D77" s="1067"/>
      <c r="E77" s="1068"/>
      <c r="F77" s="1069"/>
      <c r="G77" s="1069"/>
      <c r="H77" s="1069"/>
      <c r="I77" s="1070"/>
    </row>
    <row r="78" spans="1:10" ht="27.75" customHeight="1">
      <c r="A78" s="1071" t="s">
        <v>336</v>
      </c>
      <c r="B78" s="1053" t="s">
        <v>337</v>
      </c>
      <c r="C78" s="2070" t="s">
        <v>836</v>
      </c>
      <c r="D78" s="2070"/>
      <c r="E78" s="2070"/>
      <c r="F78" s="243">
        <v>100500000</v>
      </c>
      <c r="G78" s="243">
        <v>100500</v>
      </c>
      <c r="H78" s="1056">
        <v>100800</v>
      </c>
      <c r="I78" s="1081">
        <v>100800</v>
      </c>
    </row>
    <row r="79" spans="1:10">
      <c r="A79" s="1071" t="s">
        <v>338</v>
      </c>
      <c r="B79" s="241" t="s">
        <v>339</v>
      </c>
      <c r="C79" s="243">
        <v>23339</v>
      </c>
      <c r="D79" s="242" t="s">
        <v>253</v>
      </c>
      <c r="E79" s="1040">
        <v>1210</v>
      </c>
      <c r="F79" s="243">
        <f>C79*E79</f>
        <v>28240190</v>
      </c>
      <c r="G79" s="243">
        <v>28240</v>
      </c>
      <c r="H79" s="243">
        <v>28240</v>
      </c>
      <c r="I79" s="1073">
        <f>28240</f>
        <v>28240</v>
      </c>
      <c r="J79" s="123"/>
    </row>
    <row r="80" spans="1:10" ht="27" customHeight="1">
      <c r="A80" s="1071" t="s">
        <v>340</v>
      </c>
      <c r="B80" s="241" t="s">
        <v>341</v>
      </c>
      <c r="C80" s="2071" t="s">
        <v>837</v>
      </c>
      <c r="D80" s="2071"/>
      <c r="E80" s="2071"/>
      <c r="F80" s="243"/>
      <c r="G80" s="243"/>
      <c r="H80" s="243"/>
      <c r="I80" s="1073">
        <v>191</v>
      </c>
    </row>
    <row r="81" spans="1:10" ht="35.25" customHeight="1">
      <c r="A81" s="1076" t="s">
        <v>342</v>
      </c>
      <c r="B81" s="241" t="s">
        <v>343</v>
      </c>
      <c r="C81" s="240" t="s">
        <v>344</v>
      </c>
      <c r="D81" s="242"/>
      <c r="E81" s="1040"/>
      <c r="F81" s="243"/>
      <c r="G81" s="243"/>
      <c r="H81" s="243">
        <v>3015</v>
      </c>
      <c r="I81" s="1073">
        <v>7488</v>
      </c>
    </row>
    <row r="82" spans="1:10" ht="16.5" thickBot="1">
      <c r="A82" s="1126" t="s">
        <v>345</v>
      </c>
      <c r="B82" s="1119" t="s">
        <v>346</v>
      </c>
      <c r="C82" s="247"/>
      <c r="D82" s="248"/>
      <c r="E82" s="1082"/>
      <c r="F82" s="249">
        <f>SUM(F78:F81)</f>
        <v>128740190</v>
      </c>
      <c r="G82" s="249">
        <f>SUM(G78:G81)</f>
        <v>128740</v>
      </c>
      <c r="H82" s="249">
        <f>SUM(H78:H81)</f>
        <v>132055</v>
      </c>
      <c r="I82" s="1093">
        <f>SUM(I78:I81)</f>
        <v>136719</v>
      </c>
    </row>
    <row r="83" spans="1:10">
      <c r="A83" s="1124"/>
      <c r="B83" s="1125" t="s">
        <v>347</v>
      </c>
      <c r="C83" s="244"/>
      <c r="D83" s="245"/>
      <c r="E83" s="1037"/>
      <c r="F83" s="246"/>
      <c r="G83" s="246"/>
      <c r="H83" s="246"/>
      <c r="I83" s="1118"/>
    </row>
    <row r="84" spans="1:10">
      <c r="A84" s="1075"/>
      <c r="B84" s="241" t="s">
        <v>843</v>
      </c>
      <c r="C84" s="243">
        <v>74302616698</v>
      </c>
      <c r="D84" s="242" t="s">
        <v>348</v>
      </c>
      <c r="E84" s="1061">
        <v>5.4999999999999997E-3</v>
      </c>
      <c r="F84" s="243">
        <f>C84*E84</f>
        <v>408664391.83899999</v>
      </c>
      <c r="G84" s="243"/>
      <c r="H84" s="243"/>
      <c r="I84" s="1073"/>
    </row>
    <row r="85" spans="1:10" ht="34.5" customHeight="1">
      <c r="A85" s="1075"/>
      <c r="B85" s="1062" t="s">
        <v>844</v>
      </c>
      <c r="C85" s="1063" t="s">
        <v>838</v>
      </c>
      <c r="D85" s="243"/>
      <c r="E85" s="1061"/>
      <c r="F85" s="243">
        <v>390547973</v>
      </c>
      <c r="G85" s="243"/>
      <c r="H85" s="243"/>
      <c r="I85" s="1073"/>
    </row>
    <row r="86" spans="1:10" ht="36" customHeight="1">
      <c r="A86" s="1080"/>
      <c r="B86" s="1053" t="s">
        <v>845</v>
      </c>
      <c r="C86" s="2065" t="s">
        <v>350</v>
      </c>
      <c r="D86" s="2065"/>
      <c r="E86" s="2065"/>
      <c r="F86" s="1051">
        <v>-390547973</v>
      </c>
      <c r="G86" s="1051"/>
      <c r="H86" s="243"/>
      <c r="I86" s="1073"/>
    </row>
    <row r="87" spans="1:10" ht="37.5" customHeight="1" thickBot="1">
      <c r="A87" s="1083"/>
      <c r="B87" s="1084" t="s">
        <v>351</v>
      </c>
      <c r="C87" s="1085"/>
      <c r="D87" s="1086"/>
      <c r="E87" s="1087"/>
      <c r="F87" s="1088">
        <f>F29+F45+F76+F82</f>
        <v>1286949110</v>
      </c>
      <c r="G87" s="1088">
        <f>G29+G45+G76+G82</f>
        <v>1175495</v>
      </c>
      <c r="H87" s="1089">
        <f>H29+H45+H76+H82</f>
        <v>1346078</v>
      </c>
      <c r="I87" s="1090">
        <f>I29+I45+I76+I82</f>
        <v>1372456</v>
      </c>
    </row>
    <row r="88" spans="1:10" ht="26.25" customHeight="1">
      <c r="A88" s="1091" t="s">
        <v>349</v>
      </c>
      <c r="B88" s="1092" t="s">
        <v>823</v>
      </c>
      <c r="C88" s="1066"/>
      <c r="D88" s="1067"/>
      <c r="E88" s="1068"/>
      <c r="F88" s="1069">
        <v>0</v>
      </c>
      <c r="G88" s="1069">
        <v>0</v>
      </c>
      <c r="H88" s="1069">
        <v>0</v>
      </c>
      <c r="I88" s="1070">
        <v>0</v>
      </c>
    </row>
    <row r="89" spans="1:10" ht="24" customHeight="1">
      <c r="A89" s="1074"/>
      <c r="B89" s="1041" t="s">
        <v>824</v>
      </c>
      <c r="C89" s="240"/>
      <c r="D89" s="242"/>
      <c r="E89" s="1040"/>
      <c r="F89" s="243">
        <f>SUM(F87:F88)</f>
        <v>1286949110</v>
      </c>
      <c r="G89" s="243">
        <f>SUM(G87:G88)</f>
        <v>1175495</v>
      </c>
      <c r="H89" s="1043">
        <f>SUM(H87:H88)</f>
        <v>1346078</v>
      </c>
      <c r="I89" s="1072">
        <f>SUM(I87:I88)</f>
        <v>1372456</v>
      </c>
    </row>
    <row r="90" spans="1:10" s="1285" customFormat="1">
      <c r="A90" s="1286"/>
      <c r="B90" s="1287" t="s">
        <v>928</v>
      </c>
      <c r="C90" s="1288"/>
      <c r="D90" s="1280"/>
      <c r="E90" s="2066"/>
      <c r="F90" s="2066"/>
      <c r="G90" s="1289"/>
      <c r="H90" s="1282">
        <v>634</v>
      </c>
      <c r="I90" s="1290">
        <v>2120</v>
      </c>
    </row>
    <row r="91" spans="1:10" s="1285" customFormat="1">
      <c r="A91" s="1300"/>
      <c r="B91" s="1301" t="s">
        <v>1024</v>
      </c>
      <c r="C91" s="1302"/>
      <c r="D91" s="1303"/>
      <c r="E91" s="1304"/>
      <c r="F91" s="1304"/>
      <c r="G91" s="1304"/>
      <c r="H91" s="1305"/>
      <c r="I91" s="1306">
        <v>90207</v>
      </c>
    </row>
    <row r="92" spans="1:10" s="1285" customFormat="1">
      <c r="A92" s="1300"/>
      <c r="B92" s="1301" t="s">
        <v>1025</v>
      </c>
      <c r="C92" s="1302"/>
      <c r="D92" s="1303"/>
      <c r="E92" s="1304"/>
      <c r="F92" s="1304"/>
      <c r="G92" s="1304"/>
      <c r="H92" s="1305"/>
      <c r="I92" s="1306">
        <v>5033</v>
      </c>
    </row>
    <row r="93" spans="1:10" ht="16.5" thickBot="1">
      <c r="A93" s="1094"/>
      <c r="B93" s="1095" t="s">
        <v>929</v>
      </c>
      <c r="C93" s="1085"/>
      <c r="D93" s="1086"/>
      <c r="E93" s="1096"/>
      <c r="F93" s="1096"/>
      <c r="G93" s="1088">
        <f>SUM(G89:G90)</f>
        <v>1175495</v>
      </c>
      <c r="H93" s="1097">
        <f>SUM(H89:H90)</f>
        <v>1346712</v>
      </c>
      <c r="I93" s="1098">
        <f>SUM(I89:I92)</f>
        <v>1469816</v>
      </c>
    </row>
    <row r="94" spans="1:10" ht="31.5">
      <c r="A94" s="1099"/>
      <c r="B94" s="1100" t="s">
        <v>930</v>
      </c>
      <c r="C94" s="1066"/>
      <c r="D94" s="1067"/>
      <c r="E94" s="1101"/>
      <c r="F94" s="1101"/>
      <c r="G94" s="1069">
        <v>0</v>
      </c>
      <c r="H94" s="1069">
        <v>150000</v>
      </c>
      <c r="I94" s="1070">
        <v>150000</v>
      </c>
    </row>
    <row r="95" spans="1:10" ht="16.5" thickBot="1">
      <c r="A95" s="1094"/>
      <c r="B95" s="1102" t="s">
        <v>931</v>
      </c>
      <c r="C95" s="1085"/>
      <c r="D95" s="1086"/>
      <c r="E95" s="1096"/>
      <c r="F95" s="1096"/>
      <c r="G95" s="1088">
        <f>SUM(G94)</f>
        <v>0</v>
      </c>
      <c r="H95" s="1097">
        <f>SUM(H94)</f>
        <v>150000</v>
      </c>
      <c r="I95" s="1098">
        <f>SUM(I94)</f>
        <v>150000</v>
      </c>
    </row>
    <row r="96" spans="1:10" ht="16.5" thickBot="1">
      <c r="A96" s="1103"/>
      <c r="B96" s="1104" t="s">
        <v>932</v>
      </c>
      <c r="C96" s="1105"/>
      <c r="D96" s="1106"/>
      <c r="E96" s="1107"/>
      <c r="F96" s="1107"/>
      <c r="G96" s="1108">
        <f>SUM(G93,G95)</f>
        <v>1175495</v>
      </c>
      <c r="H96" s="1109">
        <f>SUM(H93,H95)</f>
        <v>1496712</v>
      </c>
      <c r="I96" s="1110">
        <f>SUM(I93,I95)</f>
        <v>1619816</v>
      </c>
      <c r="J96" s="123"/>
    </row>
    <row r="97" spans="2:11">
      <c r="B97" s="120"/>
      <c r="E97" s="2067"/>
      <c r="F97" s="2067"/>
      <c r="G97" s="163"/>
      <c r="H97" s="125"/>
      <c r="I97" s="125"/>
    </row>
    <row r="98" spans="2:11">
      <c r="B98" s="120"/>
      <c r="D98" s="121" t="s">
        <v>352</v>
      </c>
    </row>
    <row r="99" spans="2:11" ht="16.5" thickBot="1">
      <c r="B99" s="251" t="s">
        <v>353</v>
      </c>
      <c r="C99" s="252"/>
      <c r="D99" s="252"/>
      <c r="E99" s="253"/>
      <c r="F99" s="254"/>
      <c r="G99" s="257"/>
      <c r="H99" s="257"/>
      <c r="I99" s="257"/>
      <c r="J99" s="257"/>
    </row>
    <row r="100" spans="2:11">
      <c r="B100" s="255" t="s">
        <v>354</v>
      </c>
      <c r="C100" s="258" t="s">
        <v>4</v>
      </c>
      <c r="D100" s="259">
        <v>390547973</v>
      </c>
      <c r="E100" s="259" t="s">
        <v>882</v>
      </c>
      <c r="F100" s="259" t="s">
        <v>882</v>
      </c>
      <c r="G100" s="260">
        <v>345157855</v>
      </c>
      <c r="H100" s="257"/>
      <c r="I100" s="257"/>
    </row>
    <row r="101" spans="2:11">
      <c r="B101" s="256" t="s">
        <v>269</v>
      </c>
      <c r="C101" s="261">
        <v>63015300</v>
      </c>
      <c r="D101" s="262">
        <v>327532673</v>
      </c>
      <c r="E101" s="263">
        <v>63015300</v>
      </c>
      <c r="F101" s="262"/>
      <c r="G101" s="264">
        <v>282142555</v>
      </c>
      <c r="H101" s="257"/>
      <c r="I101" s="257"/>
    </row>
    <row r="102" spans="2:11">
      <c r="B102" s="256" t="s">
        <v>270</v>
      </c>
      <c r="C102" s="261">
        <v>1343850</v>
      </c>
      <c r="D102" s="265">
        <v>326188823</v>
      </c>
      <c r="E102" s="261">
        <v>1343850</v>
      </c>
      <c r="F102" s="265"/>
      <c r="G102" s="266">
        <v>280798705</v>
      </c>
      <c r="H102" s="257"/>
      <c r="I102" s="257"/>
      <c r="K102" s="123"/>
    </row>
    <row r="103" spans="2:11">
      <c r="B103" s="256" t="s">
        <v>257</v>
      </c>
      <c r="C103" s="261">
        <v>38028190</v>
      </c>
      <c r="D103" s="265">
        <v>288160633</v>
      </c>
      <c r="E103" s="261">
        <v>38028190</v>
      </c>
      <c r="F103" s="265"/>
      <c r="G103" s="266">
        <v>242770515</v>
      </c>
      <c r="H103" s="257"/>
      <c r="I103" s="257"/>
      <c r="K103" s="123"/>
    </row>
    <row r="104" spans="2:11">
      <c r="B104" s="256" t="s">
        <v>260</v>
      </c>
      <c r="C104" s="261">
        <v>83760000</v>
      </c>
      <c r="D104" s="265">
        <v>204400633</v>
      </c>
      <c r="E104" s="261">
        <v>83760000</v>
      </c>
      <c r="F104" s="265"/>
      <c r="G104" s="266">
        <v>159010515</v>
      </c>
      <c r="H104" s="257"/>
      <c r="I104" s="257"/>
      <c r="K104" s="123"/>
    </row>
    <row r="105" spans="2:11">
      <c r="B105" s="256" t="s">
        <v>263</v>
      </c>
      <c r="C105" s="261">
        <v>13458016</v>
      </c>
      <c r="D105" s="265">
        <v>190942617</v>
      </c>
      <c r="E105" s="261">
        <v>13458016</v>
      </c>
      <c r="F105" s="265"/>
      <c r="G105" s="266">
        <v>145552499</v>
      </c>
      <c r="H105" s="257"/>
      <c r="I105" s="257"/>
      <c r="K105" s="123"/>
    </row>
    <row r="106" spans="2:11">
      <c r="B106" s="256" t="s">
        <v>266</v>
      </c>
      <c r="C106" s="261">
        <v>302110950</v>
      </c>
      <c r="D106" s="265">
        <v>160731667</v>
      </c>
      <c r="E106" s="261">
        <v>30210950</v>
      </c>
      <c r="F106" s="265"/>
      <c r="G106" s="266">
        <v>115341549</v>
      </c>
      <c r="H106" s="257"/>
      <c r="I106" s="257"/>
      <c r="K106" s="123"/>
    </row>
    <row r="107" spans="2:11">
      <c r="B107" s="256" t="s">
        <v>272</v>
      </c>
      <c r="C107" s="261">
        <v>49277190</v>
      </c>
      <c r="D107" s="265">
        <v>111454477</v>
      </c>
      <c r="E107" s="261">
        <v>49277190</v>
      </c>
      <c r="F107" s="265"/>
      <c r="G107" s="266">
        <v>66064359</v>
      </c>
      <c r="H107" s="257"/>
      <c r="I107" s="257"/>
      <c r="K107" s="123"/>
    </row>
    <row r="108" spans="2:11" ht="16.5" thickBot="1">
      <c r="B108" s="256" t="s">
        <v>252</v>
      </c>
      <c r="C108" s="267">
        <f>D107</f>
        <v>111454477</v>
      </c>
      <c r="D108" s="268">
        <v>0</v>
      </c>
      <c r="E108" s="267">
        <v>66064359</v>
      </c>
      <c r="F108" s="268"/>
      <c r="G108" s="269">
        <v>0</v>
      </c>
      <c r="H108" s="257"/>
      <c r="I108" s="257"/>
      <c r="K108" s="123"/>
    </row>
    <row r="109" spans="2:11">
      <c r="B109" s="250"/>
      <c r="C109" s="123"/>
      <c r="E109" s="123"/>
      <c r="F109" s="123">
        <v>0</v>
      </c>
      <c r="J109" s="123"/>
      <c r="K109" s="123"/>
    </row>
    <row r="110" spans="2:11">
      <c r="B110" s="120"/>
      <c r="J110" s="123"/>
    </row>
    <row r="112" spans="2:11">
      <c r="B112" s="208"/>
    </row>
    <row r="113" spans="2:2">
      <c r="B113" s="208"/>
    </row>
  </sheetData>
  <mergeCells count="18">
    <mergeCell ref="A1:I1"/>
    <mergeCell ref="A2:I2"/>
    <mergeCell ref="A4:A5"/>
    <mergeCell ref="B4:B5"/>
    <mergeCell ref="C4:F4"/>
    <mergeCell ref="I4:I5"/>
    <mergeCell ref="C5:D5"/>
    <mergeCell ref="G4:G5"/>
    <mergeCell ref="H4:H5"/>
    <mergeCell ref="C86:E86"/>
    <mergeCell ref="E90:F90"/>
    <mergeCell ref="E97:F97"/>
    <mergeCell ref="C60:E60"/>
    <mergeCell ref="C65:E65"/>
    <mergeCell ref="C69:E69"/>
    <mergeCell ref="C74:E74"/>
    <mergeCell ref="C78:E78"/>
    <mergeCell ref="C80:E80"/>
  </mergeCells>
  <pageMargins left="0.70866141732283472" right="0.70866141732283472" top="0.74803149606299213" bottom="0.74803149606299213" header="0.31496062992125984" footer="0.31496062992125984"/>
  <pageSetup paperSize="9" scale="36" orientation="portrait" r:id="rId1"/>
  <headerFooter>
    <oddHeader>&amp;L&amp;"Times New Roman,Normál"&amp;8 15. melléklet 1, 2, 3</oddHeader>
    <oddFooter>&amp;L1. Mód.: 3/2019 (II.27.) önk. rend. 2.§. Hat.: 2019.03.01. napjától
2. Mód.: 9/2019 (IV.24.) önk. rend. 2.§ Hat.: 2019.04.25. napjától
3. Mód.: 18/2019 (IX.11.) önk. rend. 2.§ Hat.:2019.09.12. napjától</oddFooter>
  </headerFooter>
  <rowBreaks count="1" manualBreakCount="1">
    <brk id="9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view="pageLayout" topLeftCell="A37" zoomScaleNormal="100" workbookViewId="0">
      <selection activeCell="A3" sqref="A3"/>
    </sheetView>
  </sheetViews>
  <sheetFormatPr defaultRowHeight="15"/>
  <cols>
    <col min="1" max="1" width="59.28515625" style="87" bestFit="1" customWidth="1"/>
    <col min="2" max="2" width="12.28515625" style="87" customWidth="1"/>
    <col min="3" max="4" width="13" style="88" customWidth="1"/>
    <col min="5" max="16384" width="9.140625" style="82"/>
  </cols>
  <sheetData>
    <row r="2" spans="1:7">
      <c r="A2" s="2084" t="s">
        <v>428</v>
      </c>
      <c r="B2" s="2084"/>
      <c r="C2" s="2084"/>
      <c r="D2" s="2084"/>
    </row>
    <row r="3" spans="1:7" ht="15.75" thickBot="1">
      <c r="A3" s="83"/>
      <c r="B3" s="83"/>
      <c r="C3" s="84"/>
      <c r="D3" s="84"/>
    </row>
    <row r="4" spans="1:7" ht="15.75" thickBot="1">
      <c r="A4" s="1150" t="s">
        <v>2</v>
      </c>
      <c r="B4" s="116" t="s">
        <v>3</v>
      </c>
      <c r="C4" s="1147" t="s">
        <v>882</v>
      </c>
      <c r="D4" s="1217" t="s">
        <v>984</v>
      </c>
    </row>
    <row r="5" spans="1:7">
      <c r="A5" s="1151" t="s">
        <v>355</v>
      </c>
      <c r="B5" s="1142">
        <f>B7+B10+B14</f>
        <v>174000</v>
      </c>
      <c r="C5" s="1143">
        <f>C7+C10+C14</f>
        <v>188335</v>
      </c>
      <c r="D5" s="1144">
        <f>D7+D10+D14</f>
        <v>194846</v>
      </c>
    </row>
    <row r="6" spans="1:7" s="85" customFormat="1" ht="14.25">
      <c r="A6" s="1152"/>
      <c r="B6" s="1136"/>
      <c r="C6" s="1131"/>
      <c r="D6" s="1137"/>
    </row>
    <row r="7" spans="1:7" s="85" customFormat="1" ht="14.25">
      <c r="A7" s="1153" t="s">
        <v>356</v>
      </c>
      <c r="B7" s="1134">
        <f>B8</f>
        <v>15000</v>
      </c>
      <c r="C7" s="1130">
        <f>C8</f>
        <v>10713</v>
      </c>
      <c r="D7" s="1135">
        <f>D8</f>
        <v>14998</v>
      </c>
    </row>
    <row r="8" spans="1:7" s="86" customFormat="1">
      <c r="A8" s="1154" t="s">
        <v>356</v>
      </c>
      <c r="B8" s="1138">
        <v>15000</v>
      </c>
      <c r="C8" s="1132">
        <v>10713</v>
      </c>
      <c r="D8" s="1139">
        <v>14998</v>
      </c>
      <c r="E8" s="100"/>
      <c r="G8" s="100"/>
    </row>
    <row r="9" spans="1:7">
      <c r="A9" s="1154"/>
      <c r="B9" s="1138"/>
      <c r="C9" s="1132"/>
      <c r="D9" s="1139"/>
    </row>
    <row r="10" spans="1:7">
      <c r="A10" s="1153" t="s">
        <v>357</v>
      </c>
      <c r="B10" s="1134">
        <f>B11</f>
        <v>150000</v>
      </c>
      <c r="C10" s="1130">
        <f>C11</f>
        <v>150518</v>
      </c>
      <c r="D10" s="1135">
        <f>D11</f>
        <v>152744</v>
      </c>
    </row>
    <row r="11" spans="1:7" s="86" customFormat="1">
      <c r="A11" s="1154" t="s">
        <v>357</v>
      </c>
      <c r="B11" s="1138">
        <v>150000</v>
      </c>
      <c r="C11" s="1132">
        <v>150518</v>
      </c>
      <c r="D11" s="1139">
        <v>152744</v>
      </c>
      <c r="E11" s="100"/>
    </row>
    <row r="12" spans="1:7" s="86" customFormat="1">
      <c r="A12" s="1218" t="s">
        <v>983</v>
      </c>
      <c r="B12" s="1138"/>
      <c r="C12" s="1132"/>
      <c r="D12" s="1139">
        <v>97510</v>
      </c>
      <c r="E12" s="100"/>
    </row>
    <row r="13" spans="1:7" s="86" customFormat="1">
      <c r="A13" s="1154"/>
      <c r="B13" s="1138"/>
      <c r="C13" s="1132"/>
      <c r="D13" s="1139"/>
    </row>
    <row r="14" spans="1:7" s="86" customFormat="1" ht="14.25">
      <c r="A14" s="1153" t="s">
        <v>358</v>
      </c>
      <c r="B14" s="1134">
        <f>B15</f>
        <v>9000</v>
      </c>
      <c r="C14" s="1130">
        <f>SUM(C15:C16)</f>
        <v>27104</v>
      </c>
      <c r="D14" s="1135">
        <f>SUM(D15:D16)</f>
        <v>27104</v>
      </c>
    </row>
    <row r="15" spans="1:7" s="86" customFormat="1">
      <c r="A15" s="1155" t="s">
        <v>703</v>
      </c>
      <c r="B15" s="1140">
        <v>9000</v>
      </c>
      <c r="C15" s="1132">
        <v>9000</v>
      </c>
      <c r="D15" s="1139">
        <v>9000</v>
      </c>
      <c r="E15" s="100"/>
    </row>
    <row r="16" spans="1:7" s="86" customFormat="1">
      <c r="A16" s="1155" t="s">
        <v>901</v>
      </c>
      <c r="B16" s="1140"/>
      <c r="C16" s="1132">
        <v>18104</v>
      </c>
      <c r="D16" s="1139">
        <v>18104</v>
      </c>
      <c r="E16" s="100"/>
    </row>
    <row r="17" spans="1:6">
      <c r="A17" s="1154"/>
      <c r="B17" s="1138"/>
      <c r="C17" s="1133"/>
      <c r="D17" s="1141"/>
      <c r="F17" s="88"/>
    </row>
    <row r="18" spans="1:6">
      <c r="A18" s="1153" t="s">
        <v>359</v>
      </c>
      <c r="B18" s="1134">
        <f>B23+B20</f>
        <v>60000</v>
      </c>
      <c r="C18" s="1130">
        <f>C23+C20</f>
        <v>60000</v>
      </c>
      <c r="D18" s="1135">
        <f>D23+D20</f>
        <v>10000</v>
      </c>
    </row>
    <row r="19" spans="1:6">
      <c r="A19" s="1153"/>
      <c r="B19" s="1134"/>
      <c r="C19" s="1130"/>
      <c r="D19" s="1135"/>
    </row>
    <row r="20" spans="1:6">
      <c r="A20" s="1153" t="s">
        <v>360</v>
      </c>
      <c r="B20" s="1134">
        <f>B21</f>
        <v>50000</v>
      </c>
      <c r="C20" s="1130">
        <f>C21</f>
        <v>50000</v>
      </c>
      <c r="D20" s="1135">
        <f>D21</f>
        <v>0</v>
      </c>
    </row>
    <row r="21" spans="1:6">
      <c r="A21" s="1154" t="s">
        <v>360</v>
      </c>
      <c r="B21" s="1138">
        <v>50000</v>
      </c>
      <c r="C21" s="1132">
        <v>50000</v>
      </c>
      <c r="D21" s="1139">
        <v>0</v>
      </c>
      <c r="E21" s="88"/>
    </row>
    <row r="22" spans="1:6">
      <c r="A22" s="1154"/>
      <c r="B22" s="1138"/>
      <c r="C22" s="1132"/>
      <c r="D22" s="1139"/>
    </row>
    <row r="23" spans="1:6">
      <c r="A23" s="1153" t="s">
        <v>702</v>
      </c>
      <c r="B23" s="1134">
        <f>B24</f>
        <v>10000</v>
      </c>
      <c r="C23" s="1130">
        <f>C24</f>
        <v>10000</v>
      </c>
      <c r="D23" s="1135">
        <f>D24</f>
        <v>10000</v>
      </c>
    </row>
    <row r="24" spans="1:6">
      <c r="A24" s="1155" t="s">
        <v>704</v>
      </c>
      <c r="B24" s="1140">
        <v>10000</v>
      </c>
      <c r="C24" s="1132">
        <v>10000</v>
      </c>
      <c r="D24" s="1139">
        <v>10000</v>
      </c>
      <c r="E24" s="88"/>
    </row>
    <row r="25" spans="1:6" ht="15.75" thickBot="1">
      <c r="A25" s="1156"/>
      <c r="B25" s="1149"/>
      <c r="C25" s="1145"/>
      <c r="D25" s="1146"/>
    </row>
    <row r="26" spans="1:6" ht="15.75" thickBot="1">
      <c r="A26" s="1157" t="s">
        <v>361</v>
      </c>
      <c r="B26" s="117">
        <f>B5+B18</f>
        <v>234000</v>
      </c>
      <c r="C26" s="1147">
        <f>C5+C18</f>
        <v>248335</v>
      </c>
      <c r="D26" s="1148">
        <f>D5+D18</f>
        <v>204846</v>
      </c>
      <c r="F26" s="88"/>
    </row>
    <row r="27" spans="1:6" s="86" customFormat="1" ht="14.25">
      <c r="A27" s="1129"/>
      <c r="B27" s="164"/>
      <c r="C27" s="100"/>
      <c r="D27" s="100"/>
    </row>
    <row r="29" spans="1:6">
      <c r="A29" s="208"/>
    </row>
    <row r="30" spans="1:6">
      <c r="A30" s="208"/>
    </row>
  </sheetData>
  <mergeCells count="1">
    <mergeCell ref="A2:D2"/>
  </mergeCells>
  <printOptions horizontalCentered="1"/>
  <pageMargins left="0.70866141732283472" right="0.58458333333333334" top="0.74803149606299213" bottom="0.74803149606299213" header="0.31496062992125984" footer="0.31496062992125984"/>
  <pageSetup paperSize="9" scale="91" orientation="portrait" r:id="rId1"/>
  <headerFooter>
    <oddHeader>&amp;L&amp;"Times New Roman,Normál"&amp;8 16. melléklet 1, 2, 3</oddHeader>
    <oddFooter>&amp;L&amp;"Times New Roman,Normál"&amp;10 1. Mód.: 3/2019 (II.27.) önk. rend. 2.§. Hat.: 2019.03.01. napjától
2. Mód.: 9/2019 (IV.24.) önk. rend. 2.§ Hat.: 2019.04.25. napjától
3. Mód.: 18/2019 (IX.11.) önk. rend. 2.§ Hat.:2019.09.12. napjától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32"/>
  <sheetViews>
    <sheetView view="pageLayout" topLeftCell="A28" zoomScale="142" zoomScaleNormal="80" zoomScalePageLayoutView="142" workbookViewId="0">
      <selection activeCell="G26" sqref="G26"/>
    </sheetView>
  </sheetViews>
  <sheetFormatPr defaultRowHeight="15"/>
  <cols>
    <col min="1" max="1" width="58.28515625" style="1169" customWidth="1"/>
    <col min="2" max="2" width="38.140625" style="49" customWidth="1"/>
    <col min="3" max="14" width="17.42578125" style="49" customWidth="1"/>
    <col min="15" max="18" width="9.140625" style="270"/>
    <col min="19" max="262" width="9.140625" style="49"/>
    <col min="263" max="263" width="78.7109375" style="49" customWidth="1"/>
    <col min="264" max="264" width="55.140625" style="49" customWidth="1"/>
    <col min="265" max="265" width="34" style="49" customWidth="1"/>
    <col min="266" max="266" width="31.42578125" style="49" customWidth="1"/>
    <col min="267" max="267" width="18.7109375" style="49" customWidth="1"/>
    <col min="268" max="268" width="13" style="49" customWidth="1"/>
    <col min="269" max="269" width="16.28515625" style="49" customWidth="1"/>
    <col min="270" max="270" width="21.5703125" style="49" bestFit="1" customWidth="1"/>
    <col min="271" max="518" width="9.140625" style="49"/>
    <col min="519" max="519" width="78.7109375" style="49" customWidth="1"/>
    <col min="520" max="520" width="55.140625" style="49" customWidth="1"/>
    <col min="521" max="521" width="34" style="49" customWidth="1"/>
    <col min="522" max="522" width="31.42578125" style="49" customWidth="1"/>
    <col min="523" max="523" width="18.7109375" style="49" customWidth="1"/>
    <col min="524" max="524" width="13" style="49" customWidth="1"/>
    <col min="525" max="525" width="16.28515625" style="49" customWidth="1"/>
    <col min="526" max="526" width="21.5703125" style="49" bestFit="1" customWidth="1"/>
    <col min="527" max="774" width="9.140625" style="49"/>
    <col min="775" max="775" width="78.7109375" style="49" customWidth="1"/>
    <col min="776" max="776" width="55.140625" style="49" customWidth="1"/>
    <col min="777" max="777" width="34" style="49" customWidth="1"/>
    <col min="778" max="778" width="31.42578125" style="49" customWidth="1"/>
    <col min="779" max="779" width="18.7109375" style="49" customWidth="1"/>
    <col min="780" max="780" width="13" style="49" customWidth="1"/>
    <col min="781" max="781" width="16.28515625" style="49" customWidth="1"/>
    <col min="782" max="782" width="21.5703125" style="49" bestFit="1" customWidth="1"/>
    <col min="783" max="1030" width="9.140625" style="49"/>
    <col min="1031" max="1031" width="78.7109375" style="49" customWidth="1"/>
    <col min="1032" max="1032" width="55.140625" style="49" customWidth="1"/>
    <col min="1033" max="1033" width="34" style="49" customWidth="1"/>
    <col min="1034" max="1034" width="31.42578125" style="49" customWidth="1"/>
    <col min="1035" max="1035" width="18.7109375" style="49" customWidth="1"/>
    <col min="1036" max="1036" width="13" style="49" customWidth="1"/>
    <col min="1037" max="1037" width="16.28515625" style="49" customWidth="1"/>
    <col min="1038" max="1038" width="21.5703125" style="49" bestFit="1" customWidth="1"/>
    <col min="1039" max="1286" width="9.140625" style="49"/>
    <col min="1287" max="1287" width="78.7109375" style="49" customWidth="1"/>
    <col min="1288" max="1288" width="55.140625" style="49" customWidth="1"/>
    <col min="1289" max="1289" width="34" style="49" customWidth="1"/>
    <col min="1290" max="1290" width="31.42578125" style="49" customWidth="1"/>
    <col min="1291" max="1291" width="18.7109375" style="49" customWidth="1"/>
    <col min="1292" max="1292" width="13" style="49" customWidth="1"/>
    <col min="1293" max="1293" width="16.28515625" style="49" customWidth="1"/>
    <col min="1294" max="1294" width="21.5703125" style="49" bestFit="1" customWidth="1"/>
    <col min="1295" max="1542" width="9.140625" style="49"/>
    <col min="1543" max="1543" width="78.7109375" style="49" customWidth="1"/>
    <col min="1544" max="1544" width="55.140625" style="49" customWidth="1"/>
    <col min="1545" max="1545" width="34" style="49" customWidth="1"/>
    <col min="1546" max="1546" width="31.42578125" style="49" customWidth="1"/>
    <col min="1547" max="1547" width="18.7109375" style="49" customWidth="1"/>
    <col min="1548" max="1548" width="13" style="49" customWidth="1"/>
    <col min="1549" max="1549" width="16.28515625" style="49" customWidth="1"/>
    <col min="1550" max="1550" width="21.5703125" style="49" bestFit="1" customWidth="1"/>
    <col min="1551" max="1798" width="9.140625" style="49"/>
    <col min="1799" max="1799" width="78.7109375" style="49" customWidth="1"/>
    <col min="1800" max="1800" width="55.140625" style="49" customWidth="1"/>
    <col min="1801" max="1801" width="34" style="49" customWidth="1"/>
    <col min="1802" max="1802" width="31.42578125" style="49" customWidth="1"/>
    <col min="1803" max="1803" width="18.7109375" style="49" customWidth="1"/>
    <col min="1804" max="1804" width="13" style="49" customWidth="1"/>
    <col min="1805" max="1805" width="16.28515625" style="49" customWidth="1"/>
    <col min="1806" max="1806" width="21.5703125" style="49" bestFit="1" customWidth="1"/>
    <col min="1807" max="2054" width="9.140625" style="49"/>
    <col min="2055" max="2055" width="78.7109375" style="49" customWidth="1"/>
    <col min="2056" max="2056" width="55.140625" style="49" customWidth="1"/>
    <col min="2057" max="2057" width="34" style="49" customWidth="1"/>
    <col min="2058" max="2058" width="31.42578125" style="49" customWidth="1"/>
    <col min="2059" max="2059" width="18.7109375" style="49" customWidth="1"/>
    <col min="2060" max="2060" width="13" style="49" customWidth="1"/>
    <col min="2061" max="2061" width="16.28515625" style="49" customWidth="1"/>
    <col min="2062" max="2062" width="21.5703125" style="49" bestFit="1" customWidth="1"/>
    <col min="2063" max="2310" width="9.140625" style="49"/>
    <col min="2311" max="2311" width="78.7109375" style="49" customWidth="1"/>
    <col min="2312" max="2312" width="55.140625" style="49" customWidth="1"/>
    <col min="2313" max="2313" width="34" style="49" customWidth="1"/>
    <col min="2314" max="2314" width="31.42578125" style="49" customWidth="1"/>
    <col min="2315" max="2315" width="18.7109375" style="49" customWidth="1"/>
    <col min="2316" max="2316" width="13" style="49" customWidth="1"/>
    <col min="2317" max="2317" width="16.28515625" style="49" customWidth="1"/>
    <col min="2318" max="2318" width="21.5703125" style="49" bestFit="1" customWidth="1"/>
    <col min="2319" max="2566" width="9.140625" style="49"/>
    <col min="2567" max="2567" width="78.7109375" style="49" customWidth="1"/>
    <col min="2568" max="2568" width="55.140625" style="49" customWidth="1"/>
    <col min="2569" max="2569" width="34" style="49" customWidth="1"/>
    <col min="2570" max="2570" width="31.42578125" style="49" customWidth="1"/>
    <col min="2571" max="2571" width="18.7109375" style="49" customWidth="1"/>
    <col min="2572" max="2572" width="13" style="49" customWidth="1"/>
    <col min="2573" max="2573" width="16.28515625" style="49" customWidth="1"/>
    <col min="2574" max="2574" width="21.5703125" style="49" bestFit="1" customWidth="1"/>
    <col min="2575" max="2822" width="9.140625" style="49"/>
    <col min="2823" max="2823" width="78.7109375" style="49" customWidth="1"/>
    <col min="2824" max="2824" width="55.140625" style="49" customWidth="1"/>
    <col min="2825" max="2825" width="34" style="49" customWidth="1"/>
    <col min="2826" max="2826" width="31.42578125" style="49" customWidth="1"/>
    <col min="2827" max="2827" width="18.7109375" style="49" customWidth="1"/>
    <col min="2828" max="2828" width="13" style="49" customWidth="1"/>
    <col min="2829" max="2829" width="16.28515625" style="49" customWidth="1"/>
    <col min="2830" max="2830" width="21.5703125" style="49" bestFit="1" customWidth="1"/>
    <col min="2831" max="3078" width="9.140625" style="49"/>
    <col min="3079" max="3079" width="78.7109375" style="49" customWidth="1"/>
    <col min="3080" max="3080" width="55.140625" style="49" customWidth="1"/>
    <col min="3081" max="3081" width="34" style="49" customWidth="1"/>
    <col min="3082" max="3082" width="31.42578125" style="49" customWidth="1"/>
    <col min="3083" max="3083" width="18.7109375" style="49" customWidth="1"/>
    <col min="3084" max="3084" width="13" style="49" customWidth="1"/>
    <col min="3085" max="3085" width="16.28515625" style="49" customWidth="1"/>
    <col min="3086" max="3086" width="21.5703125" style="49" bestFit="1" customWidth="1"/>
    <col min="3087" max="3334" width="9.140625" style="49"/>
    <col min="3335" max="3335" width="78.7109375" style="49" customWidth="1"/>
    <col min="3336" max="3336" width="55.140625" style="49" customWidth="1"/>
    <col min="3337" max="3337" width="34" style="49" customWidth="1"/>
    <col min="3338" max="3338" width="31.42578125" style="49" customWidth="1"/>
    <col min="3339" max="3339" width="18.7109375" style="49" customWidth="1"/>
    <col min="3340" max="3340" width="13" style="49" customWidth="1"/>
    <col min="3341" max="3341" width="16.28515625" style="49" customWidth="1"/>
    <col min="3342" max="3342" width="21.5703125" style="49" bestFit="1" customWidth="1"/>
    <col min="3343" max="3590" width="9.140625" style="49"/>
    <col min="3591" max="3591" width="78.7109375" style="49" customWidth="1"/>
    <col min="3592" max="3592" width="55.140625" style="49" customWidth="1"/>
    <col min="3593" max="3593" width="34" style="49" customWidth="1"/>
    <col min="3594" max="3594" width="31.42578125" style="49" customWidth="1"/>
    <col min="3595" max="3595" width="18.7109375" style="49" customWidth="1"/>
    <col min="3596" max="3596" width="13" style="49" customWidth="1"/>
    <col min="3597" max="3597" width="16.28515625" style="49" customWidth="1"/>
    <col min="3598" max="3598" width="21.5703125" style="49" bestFit="1" customWidth="1"/>
    <col min="3599" max="3846" width="9.140625" style="49"/>
    <col min="3847" max="3847" width="78.7109375" style="49" customWidth="1"/>
    <col min="3848" max="3848" width="55.140625" style="49" customWidth="1"/>
    <col min="3849" max="3849" width="34" style="49" customWidth="1"/>
    <col min="3850" max="3850" width="31.42578125" style="49" customWidth="1"/>
    <col min="3851" max="3851" width="18.7109375" style="49" customWidth="1"/>
    <col min="3852" max="3852" width="13" style="49" customWidth="1"/>
    <col min="3853" max="3853" width="16.28515625" style="49" customWidth="1"/>
    <col min="3854" max="3854" width="21.5703125" style="49" bestFit="1" customWidth="1"/>
    <col min="3855" max="4102" width="9.140625" style="49"/>
    <col min="4103" max="4103" width="78.7109375" style="49" customWidth="1"/>
    <col min="4104" max="4104" width="55.140625" style="49" customWidth="1"/>
    <col min="4105" max="4105" width="34" style="49" customWidth="1"/>
    <col min="4106" max="4106" width="31.42578125" style="49" customWidth="1"/>
    <col min="4107" max="4107" width="18.7109375" style="49" customWidth="1"/>
    <col min="4108" max="4108" width="13" style="49" customWidth="1"/>
    <col min="4109" max="4109" width="16.28515625" style="49" customWidth="1"/>
    <col min="4110" max="4110" width="21.5703125" style="49" bestFit="1" customWidth="1"/>
    <col min="4111" max="4358" width="9.140625" style="49"/>
    <col min="4359" max="4359" width="78.7109375" style="49" customWidth="1"/>
    <col min="4360" max="4360" width="55.140625" style="49" customWidth="1"/>
    <col min="4361" max="4361" width="34" style="49" customWidth="1"/>
    <col min="4362" max="4362" width="31.42578125" style="49" customWidth="1"/>
    <col min="4363" max="4363" width="18.7109375" style="49" customWidth="1"/>
    <col min="4364" max="4364" width="13" style="49" customWidth="1"/>
    <col min="4365" max="4365" width="16.28515625" style="49" customWidth="1"/>
    <col min="4366" max="4366" width="21.5703125" style="49" bestFit="1" customWidth="1"/>
    <col min="4367" max="4614" width="9.140625" style="49"/>
    <col min="4615" max="4615" width="78.7109375" style="49" customWidth="1"/>
    <col min="4616" max="4616" width="55.140625" style="49" customWidth="1"/>
    <col min="4617" max="4617" width="34" style="49" customWidth="1"/>
    <col min="4618" max="4618" width="31.42578125" style="49" customWidth="1"/>
    <col min="4619" max="4619" width="18.7109375" style="49" customWidth="1"/>
    <col min="4620" max="4620" width="13" style="49" customWidth="1"/>
    <col min="4621" max="4621" width="16.28515625" style="49" customWidth="1"/>
    <col min="4622" max="4622" width="21.5703125" style="49" bestFit="1" customWidth="1"/>
    <col min="4623" max="4870" width="9.140625" style="49"/>
    <col min="4871" max="4871" width="78.7109375" style="49" customWidth="1"/>
    <col min="4872" max="4872" width="55.140625" style="49" customWidth="1"/>
    <col min="4873" max="4873" width="34" style="49" customWidth="1"/>
    <col min="4874" max="4874" width="31.42578125" style="49" customWidth="1"/>
    <col min="4875" max="4875" width="18.7109375" style="49" customWidth="1"/>
    <col min="4876" max="4876" width="13" style="49" customWidth="1"/>
    <col min="4877" max="4877" width="16.28515625" style="49" customWidth="1"/>
    <col min="4878" max="4878" width="21.5703125" style="49" bestFit="1" customWidth="1"/>
    <col min="4879" max="5126" width="9.140625" style="49"/>
    <col min="5127" max="5127" width="78.7109375" style="49" customWidth="1"/>
    <col min="5128" max="5128" width="55.140625" style="49" customWidth="1"/>
    <col min="5129" max="5129" width="34" style="49" customWidth="1"/>
    <col min="5130" max="5130" width="31.42578125" style="49" customWidth="1"/>
    <col min="5131" max="5131" width="18.7109375" style="49" customWidth="1"/>
    <col min="5132" max="5132" width="13" style="49" customWidth="1"/>
    <col min="5133" max="5133" width="16.28515625" style="49" customWidth="1"/>
    <col min="5134" max="5134" width="21.5703125" style="49" bestFit="1" customWidth="1"/>
    <col min="5135" max="5382" width="9.140625" style="49"/>
    <col min="5383" max="5383" width="78.7109375" style="49" customWidth="1"/>
    <col min="5384" max="5384" width="55.140625" style="49" customWidth="1"/>
    <col min="5385" max="5385" width="34" style="49" customWidth="1"/>
    <col min="5386" max="5386" width="31.42578125" style="49" customWidth="1"/>
    <col min="5387" max="5387" width="18.7109375" style="49" customWidth="1"/>
    <col min="5388" max="5388" width="13" style="49" customWidth="1"/>
    <col min="5389" max="5389" width="16.28515625" style="49" customWidth="1"/>
    <col min="5390" max="5390" width="21.5703125" style="49" bestFit="1" customWidth="1"/>
    <col min="5391" max="5638" width="9.140625" style="49"/>
    <col min="5639" max="5639" width="78.7109375" style="49" customWidth="1"/>
    <col min="5640" max="5640" width="55.140625" style="49" customWidth="1"/>
    <col min="5641" max="5641" width="34" style="49" customWidth="1"/>
    <col min="5642" max="5642" width="31.42578125" style="49" customWidth="1"/>
    <col min="5643" max="5643" width="18.7109375" style="49" customWidth="1"/>
    <col min="5644" max="5644" width="13" style="49" customWidth="1"/>
    <col min="5645" max="5645" width="16.28515625" style="49" customWidth="1"/>
    <col min="5646" max="5646" width="21.5703125" style="49" bestFit="1" customWidth="1"/>
    <col min="5647" max="5894" width="9.140625" style="49"/>
    <col min="5895" max="5895" width="78.7109375" style="49" customWidth="1"/>
    <col min="5896" max="5896" width="55.140625" style="49" customWidth="1"/>
    <col min="5897" max="5897" width="34" style="49" customWidth="1"/>
    <col min="5898" max="5898" width="31.42578125" style="49" customWidth="1"/>
    <col min="5899" max="5899" width="18.7109375" style="49" customWidth="1"/>
    <col min="5900" max="5900" width="13" style="49" customWidth="1"/>
    <col min="5901" max="5901" width="16.28515625" style="49" customWidth="1"/>
    <col min="5902" max="5902" width="21.5703125" style="49" bestFit="1" customWidth="1"/>
    <col min="5903" max="6150" width="9.140625" style="49"/>
    <col min="6151" max="6151" width="78.7109375" style="49" customWidth="1"/>
    <col min="6152" max="6152" width="55.140625" style="49" customWidth="1"/>
    <col min="6153" max="6153" width="34" style="49" customWidth="1"/>
    <col min="6154" max="6154" width="31.42578125" style="49" customWidth="1"/>
    <col min="6155" max="6155" width="18.7109375" style="49" customWidth="1"/>
    <col min="6156" max="6156" width="13" style="49" customWidth="1"/>
    <col min="6157" max="6157" width="16.28515625" style="49" customWidth="1"/>
    <col min="6158" max="6158" width="21.5703125" style="49" bestFit="1" customWidth="1"/>
    <col min="6159" max="6406" width="9.140625" style="49"/>
    <col min="6407" max="6407" width="78.7109375" style="49" customWidth="1"/>
    <col min="6408" max="6408" width="55.140625" style="49" customWidth="1"/>
    <col min="6409" max="6409" width="34" style="49" customWidth="1"/>
    <col min="6410" max="6410" width="31.42578125" style="49" customWidth="1"/>
    <col min="6411" max="6411" width="18.7109375" style="49" customWidth="1"/>
    <col min="6412" max="6412" width="13" style="49" customWidth="1"/>
    <col min="6413" max="6413" width="16.28515625" style="49" customWidth="1"/>
    <col min="6414" max="6414" width="21.5703125" style="49" bestFit="1" customWidth="1"/>
    <col min="6415" max="6662" width="9.140625" style="49"/>
    <col min="6663" max="6663" width="78.7109375" style="49" customWidth="1"/>
    <col min="6664" max="6664" width="55.140625" style="49" customWidth="1"/>
    <col min="6665" max="6665" width="34" style="49" customWidth="1"/>
    <col min="6666" max="6666" width="31.42578125" style="49" customWidth="1"/>
    <col min="6667" max="6667" width="18.7109375" style="49" customWidth="1"/>
    <col min="6668" max="6668" width="13" style="49" customWidth="1"/>
    <col min="6669" max="6669" width="16.28515625" style="49" customWidth="1"/>
    <col min="6670" max="6670" width="21.5703125" style="49" bestFit="1" customWidth="1"/>
    <col min="6671" max="6918" width="9.140625" style="49"/>
    <col min="6919" max="6919" width="78.7109375" style="49" customWidth="1"/>
    <col min="6920" max="6920" width="55.140625" style="49" customWidth="1"/>
    <col min="6921" max="6921" width="34" style="49" customWidth="1"/>
    <col min="6922" max="6922" width="31.42578125" style="49" customWidth="1"/>
    <col min="6923" max="6923" width="18.7109375" style="49" customWidth="1"/>
    <col min="6924" max="6924" width="13" style="49" customWidth="1"/>
    <col min="6925" max="6925" width="16.28515625" style="49" customWidth="1"/>
    <col min="6926" max="6926" width="21.5703125" style="49" bestFit="1" customWidth="1"/>
    <col min="6927" max="7174" width="9.140625" style="49"/>
    <col min="7175" max="7175" width="78.7109375" style="49" customWidth="1"/>
    <col min="7176" max="7176" width="55.140625" style="49" customWidth="1"/>
    <col min="7177" max="7177" width="34" style="49" customWidth="1"/>
    <col min="7178" max="7178" width="31.42578125" style="49" customWidth="1"/>
    <col min="7179" max="7179" width="18.7109375" style="49" customWidth="1"/>
    <col min="7180" max="7180" width="13" style="49" customWidth="1"/>
    <col min="7181" max="7181" width="16.28515625" style="49" customWidth="1"/>
    <col min="7182" max="7182" width="21.5703125" style="49" bestFit="1" customWidth="1"/>
    <col min="7183" max="7430" width="9.140625" style="49"/>
    <col min="7431" max="7431" width="78.7109375" style="49" customWidth="1"/>
    <col min="7432" max="7432" width="55.140625" style="49" customWidth="1"/>
    <col min="7433" max="7433" width="34" style="49" customWidth="1"/>
    <col min="7434" max="7434" width="31.42578125" style="49" customWidth="1"/>
    <col min="7435" max="7435" width="18.7109375" style="49" customWidth="1"/>
    <col min="7436" max="7436" width="13" style="49" customWidth="1"/>
    <col min="7437" max="7437" width="16.28515625" style="49" customWidth="1"/>
    <col min="7438" max="7438" width="21.5703125" style="49" bestFit="1" customWidth="1"/>
    <col min="7439" max="7686" width="9.140625" style="49"/>
    <col min="7687" max="7687" width="78.7109375" style="49" customWidth="1"/>
    <col min="7688" max="7688" width="55.140625" style="49" customWidth="1"/>
    <col min="7689" max="7689" width="34" style="49" customWidth="1"/>
    <col min="7690" max="7690" width="31.42578125" style="49" customWidth="1"/>
    <col min="7691" max="7691" width="18.7109375" style="49" customWidth="1"/>
    <col min="7692" max="7692" width="13" style="49" customWidth="1"/>
    <col min="7693" max="7693" width="16.28515625" style="49" customWidth="1"/>
    <col min="7694" max="7694" width="21.5703125" style="49" bestFit="1" customWidth="1"/>
    <col min="7695" max="7942" width="9.140625" style="49"/>
    <col min="7943" max="7943" width="78.7109375" style="49" customWidth="1"/>
    <col min="7944" max="7944" width="55.140625" style="49" customWidth="1"/>
    <col min="7945" max="7945" width="34" style="49" customWidth="1"/>
    <col min="7946" max="7946" width="31.42578125" style="49" customWidth="1"/>
    <col min="7947" max="7947" width="18.7109375" style="49" customWidth="1"/>
    <col min="7948" max="7948" width="13" style="49" customWidth="1"/>
    <col min="7949" max="7949" width="16.28515625" style="49" customWidth="1"/>
    <col min="7950" max="7950" width="21.5703125" style="49" bestFit="1" customWidth="1"/>
    <col min="7951" max="8198" width="9.140625" style="49"/>
    <col min="8199" max="8199" width="78.7109375" style="49" customWidth="1"/>
    <col min="8200" max="8200" width="55.140625" style="49" customWidth="1"/>
    <col min="8201" max="8201" width="34" style="49" customWidth="1"/>
    <col min="8202" max="8202" width="31.42578125" style="49" customWidth="1"/>
    <col min="8203" max="8203" width="18.7109375" style="49" customWidth="1"/>
    <col min="8204" max="8204" width="13" style="49" customWidth="1"/>
    <col min="8205" max="8205" width="16.28515625" style="49" customWidth="1"/>
    <col min="8206" max="8206" width="21.5703125" style="49" bestFit="1" customWidth="1"/>
    <col min="8207" max="8454" width="9.140625" style="49"/>
    <col min="8455" max="8455" width="78.7109375" style="49" customWidth="1"/>
    <col min="8456" max="8456" width="55.140625" style="49" customWidth="1"/>
    <col min="8457" max="8457" width="34" style="49" customWidth="1"/>
    <col min="8458" max="8458" width="31.42578125" style="49" customWidth="1"/>
    <col min="8459" max="8459" width="18.7109375" style="49" customWidth="1"/>
    <col min="8460" max="8460" width="13" style="49" customWidth="1"/>
    <col min="8461" max="8461" width="16.28515625" style="49" customWidth="1"/>
    <col min="8462" max="8462" width="21.5703125" style="49" bestFit="1" customWidth="1"/>
    <col min="8463" max="8710" width="9.140625" style="49"/>
    <col min="8711" max="8711" width="78.7109375" style="49" customWidth="1"/>
    <col min="8712" max="8712" width="55.140625" style="49" customWidth="1"/>
    <col min="8713" max="8713" width="34" style="49" customWidth="1"/>
    <col min="8714" max="8714" width="31.42578125" style="49" customWidth="1"/>
    <col min="8715" max="8715" width="18.7109375" style="49" customWidth="1"/>
    <col min="8716" max="8716" width="13" style="49" customWidth="1"/>
    <col min="8717" max="8717" width="16.28515625" style="49" customWidth="1"/>
    <col min="8718" max="8718" width="21.5703125" style="49" bestFit="1" customWidth="1"/>
    <col min="8719" max="8966" width="9.140625" style="49"/>
    <col min="8967" max="8967" width="78.7109375" style="49" customWidth="1"/>
    <col min="8968" max="8968" width="55.140625" style="49" customWidth="1"/>
    <col min="8969" max="8969" width="34" style="49" customWidth="1"/>
    <col min="8970" max="8970" width="31.42578125" style="49" customWidth="1"/>
    <col min="8971" max="8971" width="18.7109375" style="49" customWidth="1"/>
    <col min="8972" max="8972" width="13" style="49" customWidth="1"/>
    <col min="8973" max="8973" width="16.28515625" style="49" customWidth="1"/>
    <col min="8974" max="8974" width="21.5703125" style="49" bestFit="1" customWidth="1"/>
    <col min="8975" max="9222" width="9.140625" style="49"/>
    <col min="9223" max="9223" width="78.7109375" style="49" customWidth="1"/>
    <col min="9224" max="9224" width="55.140625" style="49" customWidth="1"/>
    <col min="9225" max="9225" width="34" style="49" customWidth="1"/>
    <col min="9226" max="9226" width="31.42578125" style="49" customWidth="1"/>
    <col min="9227" max="9227" width="18.7109375" style="49" customWidth="1"/>
    <col min="9228" max="9228" width="13" style="49" customWidth="1"/>
    <col min="9229" max="9229" width="16.28515625" style="49" customWidth="1"/>
    <col min="9230" max="9230" width="21.5703125" style="49" bestFit="1" customWidth="1"/>
    <col min="9231" max="9478" width="9.140625" style="49"/>
    <col min="9479" max="9479" width="78.7109375" style="49" customWidth="1"/>
    <col min="9480" max="9480" width="55.140625" style="49" customWidth="1"/>
    <col min="9481" max="9481" width="34" style="49" customWidth="1"/>
    <col min="9482" max="9482" width="31.42578125" style="49" customWidth="1"/>
    <col min="9483" max="9483" width="18.7109375" style="49" customWidth="1"/>
    <col min="9484" max="9484" width="13" style="49" customWidth="1"/>
    <col min="9485" max="9485" width="16.28515625" style="49" customWidth="1"/>
    <col min="9486" max="9486" width="21.5703125" style="49" bestFit="1" customWidth="1"/>
    <col min="9487" max="9734" width="9.140625" style="49"/>
    <col min="9735" max="9735" width="78.7109375" style="49" customWidth="1"/>
    <col min="9736" max="9736" width="55.140625" style="49" customWidth="1"/>
    <col min="9737" max="9737" width="34" style="49" customWidth="1"/>
    <col min="9738" max="9738" width="31.42578125" style="49" customWidth="1"/>
    <col min="9739" max="9739" width="18.7109375" style="49" customWidth="1"/>
    <col min="9740" max="9740" width="13" style="49" customWidth="1"/>
    <col min="9741" max="9741" width="16.28515625" style="49" customWidth="1"/>
    <col min="9742" max="9742" width="21.5703125" style="49" bestFit="1" customWidth="1"/>
    <col min="9743" max="9990" width="9.140625" style="49"/>
    <col min="9991" max="9991" width="78.7109375" style="49" customWidth="1"/>
    <col min="9992" max="9992" width="55.140625" style="49" customWidth="1"/>
    <col min="9993" max="9993" width="34" style="49" customWidth="1"/>
    <col min="9994" max="9994" width="31.42578125" style="49" customWidth="1"/>
    <col min="9995" max="9995" width="18.7109375" style="49" customWidth="1"/>
    <col min="9996" max="9996" width="13" style="49" customWidth="1"/>
    <col min="9997" max="9997" width="16.28515625" style="49" customWidth="1"/>
    <col min="9998" max="9998" width="21.5703125" style="49" bestFit="1" customWidth="1"/>
    <col min="9999" max="10246" width="9.140625" style="49"/>
    <col min="10247" max="10247" width="78.7109375" style="49" customWidth="1"/>
    <col min="10248" max="10248" width="55.140625" style="49" customWidth="1"/>
    <col min="10249" max="10249" width="34" style="49" customWidth="1"/>
    <col min="10250" max="10250" width="31.42578125" style="49" customWidth="1"/>
    <col min="10251" max="10251" width="18.7109375" style="49" customWidth="1"/>
    <col min="10252" max="10252" width="13" style="49" customWidth="1"/>
    <col min="10253" max="10253" width="16.28515625" style="49" customWidth="1"/>
    <col min="10254" max="10254" width="21.5703125" style="49" bestFit="1" customWidth="1"/>
    <col min="10255" max="10502" width="9.140625" style="49"/>
    <col min="10503" max="10503" width="78.7109375" style="49" customWidth="1"/>
    <col min="10504" max="10504" width="55.140625" style="49" customWidth="1"/>
    <col min="10505" max="10505" width="34" style="49" customWidth="1"/>
    <col min="10506" max="10506" width="31.42578125" style="49" customWidth="1"/>
    <col min="10507" max="10507" width="18.7109375" style="49" customWidth="1"/>
    <col min="10508" max="10508" width="13" style="49" customWidth="1"/>
    <col min="10509" max="10509" width="16.28515625" style="49" customWidth="1"/>
    <col min="10510" max="10510" width="21.5703125" style="49" bestFit="1" customWidth="1"/>
    <col min="10511" max="10758" width="9.140625" style="49"/>
    <col min="10759" max="10759" width="78.7109375" style="49" customWidth="1"/>
    <col min="10760" max="10760" width="55.140625" style="49" customWidth="1"/>
    <col min="10761" max="10761" width="34" style="49" customWidth="1"/>
    <col min="10762" max="10762" width="31.42578125" style="49" customWidth="1"/>
    <col min="10763" max="10763" width="18.7109375" style="49" customWidth="1"/>
    <col min="10764" max="10764" width="13" style="49" customWidth="1"/>
    <col min="10765" max="10765" width="16.28515625" style="49" customWidth="1"/>
    <col min="10766" max="10766" width="21.5703125" style="49" bestFit="1" customWidth="1"/>
    <col min="10767" max="11014" width="9.140625" style="49"/>
    <col min="11015" max="11015" width="78.7109375" style="49" customWidth="1"/>
    <col min="11016" max="11016" width="55.140625" style="49" customWidth="1"/>
    <col min="11017" max="11017" width="34" style="49" customWidth="1"/>
    <col min="11018" max="11018" width="31.42578125" style="49" customWidth="1"/>
    <col min="11019" max="11019" width="18.7109375" style="49" customWidth="1"/>
    <col min="11020" max="11020" width="13" style="49" customWidth="1"/>
    <col min="11021" max="11021" width="16.28515625" style="49" customWidth="1"/>
    <col min="11022" max="11022" width="21.5703125" style="49" bestFit="1" customWidth="1"/>
    <col min="11023" max="11270" width="9.140625" style="49"/>
    <col min="11271" max="11271" width="78.7109375" style="49" customWidth="1"/>
    <col min="11272" max="11272" width="55.140625" style="49" customWidth="1"/>
    <col min="11273" max="11273" width="34" style="49" customWidth="1"/>
    <col min="11274" max="11274" width="31.42578125" style="49" customWidth="1"/>
    <col min="11275" max="11275" width="18.7109375" style="49" customWidth="1"/>
    <col min="11276" max="11276" width="13" style="49" customWidth="1"/>
    <col min="11277" max="11277" width="16.28515625" style="49" customWidth="1"/>
    <col min="11278" max="11278" width="21.5703125" style="49" bestFit="1" customWidth="1"/>
    <col min="11279" max="11526" width="9.140625" style="49"/>
    <col min="11527" max="11527" width="78.7109375" style="49" customWidth="1"/>
    <col min="11528" max="11528" width="55.140625" style="49" customWidth="1"/>
    <col min="11529" max="11529" width="34" style="49" customWidth="1"/>
    <col min="11530" max="11530" width="31.42578125" style="49" customWidth="1"/>
    <col min="11531" max="11531" width="18.7109375" style="49" customWidth="1"/>
    <col min="11532" max="11532" width="13" style="49" customWidth="1"/>
    <col min="11533" max="11533" width="16.28515625" style="49" customWidth="1"/>
    <col min="11534" max="11534" width="21.5703125" style="49" bestFit="1" customWidth="1"/>
    <col min="11535" max="11782" width="9.140625" style="49"/>
    <col min="11783" max="11783" width="78.7109375" style="49" customWidth="1"/>
    <col min="11784" max="11784" width="55.140625" style="49" customWidth="1"/>
    <col min="11785" max="11785" width="34" style="49" customWidth="1"/>
    <col min="11786" max="11786" width="31.42578125" style="49" customWidth="1"/>
    <col min="11787" max="11787" width="18.7109375" style="49" customWidth="1"/>
    <col min="11788" max="11788" width="13" style="49" customWidth="1"/>
    <col min="11789" max="11789" width="16.28515625" style="49" customWidth="1"/>
    <col min="11790" max="11790" width="21.5703125" style="49" bestFit="1" customWidth="1"/>
    <col min="11791" max="12038" width="9.140625" style="49"/>
    <col min="12039" max="12039" width="78.7109375" style="49" customWidth="1"/>
    <col min="12040" max="12040" width="55.140625" style="49" customWidth="1"/>
    <col min="12041" max="12041" width="34" style="49" customWidth="1"/>
    <col min="12042" max="12042" width="31.42578125" style="49" customWidth="1"/>
    <col min="12043" max="12043" width="18.7109375" style="49" customWidth="1"/>
    <col min="12044" max="12044" width="13" style="49" customWidth="1"/>
    <col min="12045" max="12045" width="16.28515625" style="49" customWidth="1"/>
    <col min="12046" max="12046" width="21.5703125" style="49" bestFit="1" customWidth="1"/>
    <col min="12047" max="12294" width="9.140625" style="49"/>
    <col min="12295" max="12295" width="78.7109375" style="49" customWidth="1"/>
    <col min="12296" max="12296" width="55.140625" style="49" customWidth="1"/>
    <col min="12297" max="12297" width="34" style="49" customWidth="1"/>
    <col min="12298" max="12298" width="31.42578125" style="49" customWidth="1"/>
    <col min="12299" max="12299" width="18.7109375" style="49" customWidth="1"/>
    <col min="12300" max="12300" width="13" style="49" customWidth="1"/>
    <col min="12301" max="12301" width="16.28515625" style="49" customWidth="1"/>
    <col min="12302" max="12302" width="21.5703125" style="49" bestFit="1" customWidth="1"/>
    <col min="12303" max="12550" width="9.140625" style="49"/>
    <col min="12551" max="12551" width="78.7109375" style="49" customWidth="1"/>
    <col min="12552" max="12552" width="55.140625" style="49" customWidth="1"/>
    <col min="12553" max="12553" width="34" style="49" customWidth="1"/>
    <col min="12554" max="12554" width="31.42578125" style="49" customWidth="1"/>
    <col min="12555" max="12555" width="18.7109375" style="49" customWidth="1"/>
    <col min="12556" max="12556" width="13" style="49" customWidth="1"/>
    <col min="12557" max="12557" width="16.28515625" style="49" customWidth="1"/>
    <col min="12558" max="12558" width="21.5703125" style="49" bestFit="1" customWidth="1"/>
    <col min="12559" max="12806" width="9.140625" style="49"/>
    <col min="12807" max="12807" width="78.7109375" style="49" customWidth="1"/>
    <col min="12808" max="12808" width="55.140625" style="49" customWidth="1"/>
    <col min="12809" max="12809" width="34" style="49" customWidth="1"/>
    <col min="12810" max="12810" width="31.42578125" style="49" customWidth="1"/>
    <col min="12811" max="12811" width="18.7109375" style="49" customWidth="1"/>
    <col min="12812" max="12812" width="13" style="49" customWidth="1"/>
    <col min="12813" max="12813" width="16.28515625" style="49" customWidth="1"/>
    <col min="12814" max="12814" width="21.5703125" style="49" bestFit="1" customWidth="1"/>
    <col min="12815" max="13062" width="9.140625" style="49"/>
    <col min="13063" max="13063" width="78.7109375" style="49" customWidth="1"/>
    <col min="13064" max="13064" width="55.140625" style="49" customWidth="1"/>
    <col min="13065" max="13065" width="34" style="49" customWidth="1"/>
    <col min="13066" max="13066" width="31.42578125" style="49" customWidth="1"/>
    <col min="13067" max="13067" width="18.7109375" style="49" customWidth="1"/>
    <col min="13068" max="13068" width="13" style="49" customWidth="1"/>
    <col min="13069" max="13069" width="16.28515625" style="49" customWidth="1"/>
    <col min="13070" max="13070" width="21.5703125" style="49" bestFit="1" customWidth="1"/>
    <col min="13071" max="13318" width="9.140625" style="49"/>
    <col min="13319" max="13319" width="78.7109375" style="49" customWidth="1"/>
    <col min="13320" max="13320" width="55.140625" style="49" customWidth="1"/>
    <col min="13321" max="13321" width="34" style="49" customWidth="1"/>
    <col min="13322" max="13322" width="31.42578125" style="49" customWidth="1"/>
    <col min="13323" max="13323" width="18.7109375" style="49" customWidth="1"/>
    <col min="13324" max="13324" width="13" style="49" customWidth="1"/>
    <col min="13325" max="13325" width="16.28515625" style="49" customWidth="1"/>
    <col min="13326" max="13326" width="21.5703125" style="49" bestFit="1" customWidth="1"/>
    <col min="13327" max="13574" width="9.140625" style="49"/>
    <col min="13575" max="13575" width="78.7109375" style="49" customWidth="1"/>
    <col min="13576" max="13576" width="55.140625" style="49" customWidth="1"/>
    <col min="13577" max="13577" width="34" style="49" customWidth="1"/>
    <col min="13578" max="13578" width="31.42578125" style="49" customWidth="1"/>
    <col min="13579" max="13579" width="18.7109375" style="49" customWidth="1"/>
    <col min="13580" max="13580" width="13" style="49" customWidth="1"/>
    <col min="13581" max="13581" width="16.28515625" style="49" customWidth="1"/>
    <col min="13582" max="13582" width="21.5703125" style="49" bestFit="1" customWidth="1"/>
    <col min="13583" max="13830" width="9.140625" style="49"/>
    <col min="13831" max="13831" width="78.7109375" style="49" customWidth="1"/>
    <col min="13832" max="13832" width="55.140625" style="49" customWidth="1"/>
    <col min="13833" max="13833" width="34" style="49" customWidth="1"/>
    <col min="13834" max="13834" width="31.42578125" style="49" customWidth="1"/>
    <col min="13835" max="13835" width="18.7109375" style="49" customWidth="1"/>
    <col min="13836" max="13836" width="13" style="49" customWidth="1"/>
    <col min="13837" max="13837" width="16.28515625" style="49" customWidth="1"/>
    <col min="13838" max="13838" width="21.5703125" style="49" bestFit="1" customWidth="1"/>
    <col min="13839" max="14086" width="9.140625" style="49"/>
    <col min="14087" max="14087" width="78.7109375" style="49" customWidth="1"/>
    <col min="14088" max="14088" width="55.140625" style="49" customWidth="1"/>
    <col min="14089" max="14089" width="34" style="49" customWidth="1"/>
    <col min="14090" max="14090" width="31.42578125" style="49" customWidth="1"/>
    <col min="14091" max="14091" width="18.7109375" style="49" customWidth="1"/>
    <col min="14092" max="14092" width="13" style="49" customWidth="1"/>
    <col min="14093" max="14093" width="16.28515625" style="49" customWidth="1"/>
    <col min="14094" max="14094" width="21.5703125" style="49" bestFit="1" customWidth="1"/>
    <col min="14095" max="14342" width="9.140625" style="49"/>
    <col min="14343" max="14343" width="78.7109375" style="49" customWidth="1"/>
    <col min="14344" max="14344" width="55.140625" style="49" customWidth="1"/>
    <col min="14345" max="14345" width="34" style="49" customWidth="1"/>
    <col min="14346" max="14346" width="31.42578125" style="49" customWidth="1"/>
    <col min="14347" max="14347" width="18.7109375" style="49" customWidth="1"/>
    <col min="14348" max="14348" width="13" style="49" customWidth="1"/>
    <col min="14349" max="14349" width="16.28515625" style="49" customWidth="1"/>
    <col min="14350" max="14350" width="21.5703125" style="49" bestFit="1" customWidth="1"/>
    <col min="14351" max="14598" width="9.140625" style="49"/>
    <col min="14599" max="14599" width="78.7109375" style="49" customWidth="1"/>
    <col min="14600" max="14600" width="55.140625" style="49" customWidth="1"/>
    <col min="14601" max="14601" width="34" style="49" customWidth="1"/>
    <col min="14602" max="14602" width="31.42578125" style="49" customWidth="1"/>
    <col min="14603" max="14603" width="18.7109375" style="49" customWidth="1"/>
    <col min="14604" max="14604" width="13" style="49" customWidth="1"/>
    <col min="14605" max="14605" width="16.28515625" style="49" customWidth="1"/>
    <col min="14606" max="14606" width="21.5703125" style="49" bestFit="1" customWidth="1"/>
    <col min="14607" max="14854" width="9.140625" style="49"/>
    <col min="14855" max="14855" width="78.7109375" style="49" customWidth="1"/>
    <col min="14856" max="14856" width="55.140625" style="49" customWidth="1"/>
    <col min="14857" max="14857" width="34" style="49" customWidth="1"/>
    <col min="14858" max="14858" width="31.42578125" style="49" customWidth="1"/>
    <col min="14859" max="14859" width="18.7109375" style="49" customWidth="1"/>
    <col min="14860" max="14860" width="13" style="49" customWidth="1"/>
    <col min="14861" max="14861" width="16.28515625" style="49" customWidth="1"/>
    <col min="14862" max="14862" width="21.5703125" style="49" bestFit="1" customWidth="1"/>
    <col min="14863" max="15110" width="9.140625" style="49"/>
    <col min="15111" max="15111" width="78.7109375" style="49" customWidth="1"/>
    <col min="15112" max="15112" width="55.140625" style="49" customWidth="1"/>
    <col min="15113" max="15113" width="34" style="49" customWidth="1"/>
    <col min="15114" max="15114" width="31.42578125" style="49" customWidth="1"/>
    <col min="15115" max="15115" width="18.7109375" style="49" customWidth="1"/>
    <col min="15116" max="15116" width="13" style="49" customWidth="1"/>
    <col min="15117" max="15117" width="16.28515625" style="49" customWidth="1"/>
    <col min="15118" max="15118" width="21.5703125" style="49" bestFit="1" customWidth="1"/>
    <col min="15119" max="15366" width="9.140625" style="49"/>
    <col min="15367" max="15367" width="78.7109375" style="49" customWidth="1"/>
    <col min="15368" max="15368" width="55.140625" style="49" customWidth="1"/>
    <col min="15369" max="15369" width="34" style="49" customWidth="1"/>
    <col min="15370" max="15370" width="31.42578125" style="49" customWidth="1"/>
    <col min="15371" max="15371" width="18.7109375" style="49" customWidth="1"/>
    <col min="15372" max="15372" width="13" style="49" customWidth="1"/>
    <col min="15373" max="15373" width="16.28515625" style="49" customWidth="1"/>
    <col min="15374" max="15374" width="21.5703125" style="49" bestFit="1" customWidth="1"/>
    <col min="15375" max="15622" width="9.140625" style="49"/>
    <col min="15623" max="15623" width="78.7109375" style="49" customWidth="1"/>
    <col min="15624" max="15624" width="55.140625" style="49" customWidth="1"/>
    <col min="15625" max="15625" width="34" style="49" customWidth="1"/>
    <col min="15626" max="15626" width="31.42578125" style="49" customWidth="1"/>
    <col min="15627" max="15627" width="18.7109375" style="49" customWidth="1"/>
    <col min="15628" max="15628" width="13" style="49" customWidth="1"/>
    <col min="15629" max="15629" width="16.28515625" style="49" customWidth="1"/>
    <col min="15630" max="15630" width="21.5703125" style="49" bestFit="1" customWidth="1"/>
    <col min="15631" max="15878" width="9.140625" style="49"/>
    <col min="15879" max="15879" width="78.7109375" style="49" customWidth="1"/>
    <col min="15880" max="15880" width="55.140625" style="49" customWidth="1"/>
    <col min="15881" max="15881" width="34" style="49" customWidth="1"/>
    <col min="15882" max="15882" width="31.42578125" style="49" customWidth="1"/>
    <col min="15883" max="15883" width="18.7109375" style="49" customWidth="1"/>
    <col min="15884" max="15884" width="13" style="49" customWidth="1"/>
    <col min="15885" max="15885" width="16.28515625" style="49" customWidth="1"/>
    <col min="15886" max="15886" width="21.5703125" style="49" bestFit="1" customWidth="1"/>
    <col min="15887" max="16134" width="9.140625" style="49"/>
    <col min="16135" max="16135" width="78.7109375" style="49" customWidth="1"/>
    <col min="16136" max="16136" width="55.140625" style="49" customWidth="1"/>
    <col min="16137" max="16137" width="34" style="49" customWidth="1"/>
    <col min="16138" max="16138" width="31.42578125" style="49" customWidth="1"/>
    <col min="16139" max="16139" width="18.7109375" style="49" customWidth="1"/>
    <col min="16140" max="16140" width="13" style="49" customWidth="1"/>
    <col min="16141" max="16141" width="16.28515625" style="49" customWidth="1"/>
    <col min="16142" max="16142" width="21.5703125" style="49" bestFit="1" customWidth="1"/>
    <col min="16143" max="16384" width="9.140625" style="49"/>
  </cols>
  <sheetData>
    <row r="1" spans="1:14" ht="21" customHeight="1">
      <c r="A1" s="2089" t="s">
        <v>362</v>
      </c>
      <c r="B1" s="2089"/>
      <c r="C1" s="2089"/>
      <c r="D1" s="2089"/>
      <c r="E1" s="2089"/>
      <c r="F1" s="2089"/>
      <c r="G1" s="2089"/>
      <c r="H1" s="2089"/>
      <c r="I1" s="2089"/>
      <c r="J1" s="2089"/>
      <c r="K1" s="2089"/>
      <c r="L1" s="2089"/>
      <c r="M1" s="2089"/>
      <c r="N1" s="2089"/>
    </row>
    <row r="2" spans="1:14" ht="15.75" thickBot="1">
      <c r="A2" s="89"/>
      <c r="B2" s="90"/>
      <c r="C2" s="91"/>
      <c r="D2" s="91"/>
      <c r="E2" s="91"/>
      <c r="F2" s="92"/>
      <c r="G2" s="92"/>
      <c r="H2" s="92"/>
      <c r="I2" s="92"/>
      <c r="J2" s="92"/>
      <c r="K2" s="92"/>
      <c r="L2" s="92"/>
      <c r="M2" s="93"/>
      <c r="N2" s="93"/>
    </row>
    <row r="3" spans="1:14" ht="31.5" customHeight="1">
      <c r="A3" s="2092" t="s">
        <v>363</v>
      </c>
      <c r="B3" s="2094" t="s">
        <v>364</v>
      </c>
      <c r="C3" s="2096" t="s">
        <v>710</v>
      </c>
      <c r="D3" s="2096" t="s">
        <v>972</v>
      </c>
      <c r="E3" s="2090" t="s">
        <v>420</v>
      </c>
      <c r="F3" s="2098" t="s">
        <v>421</v>
      </c>
      <c r="G3" s="2099"/>
      <c r="H3" s="2090" t="s">
        <v>422</v>
      </c>
      <c r="I3" s="2085" t="s">
        <v>975</v>
      </c>
      <c r="J3" s="2086"/>
      <c r="K3" s="2087"/>
      <c r="L3" s="2085" t="s">
        <v>973</v>
      </c>
      <c r="M3" s="2086"/>
      <c r="N3" s="2087"/>
    </row>
    <row r="4" spans="1:14" ht="57" customHeight="1" thickBot="1">
      <c r="A4" s="2093"/>
      <c r="B4" s="2095"/>
      <c r="C4" s="2097"/>
      <c r="D4" s="2097"/>
      <c r="E4" s="2091"/>
      <c r="F4" s="1162" t="s">
        <v>423</v>
      </c>
      <c r="G4" s="1159" t="s">
        <v>424</v>
      </c>
      <c r="H4" s="2091"/>
      <c r="I4" s="1195" t="s">
        <v>3</v>
      </c>
      <c r="J4" s="1196" t="s">
        <v>974</v>
      </c>
      <c r="K4" s="1216" t="s">
        <v>982</v>
      </c>
      <c r="L4" s="1195" t="s">
        <v>3</v>
      </c>
      <c r="M4" s="1196" t="s">
        <v>974</v>
      </c>
      <c r="N4" s="1216" t="s">
        <v>982</v>
      </c>
    </row>
    <row r="5" spans="1:14" ht="45" customHeight="1">
      <c r="A5" s="1167" t="s">
        <v>379</v>
      </c>
      <c r="B5" s="1683" t="s">
        <v>380</v>
      </c>
      <c r="C5" s="1684">
        <v>43077</v>
      </c>
      <c r="D5" s="1685">
        <v>44165</v>
      </c>
      <c r="E5" s="1686">
        <f t="shared" ref="E5:E25" si="0">SUM(F5:G5)</f>
        <v>118233</v>
      </c>
      <c r="F5" s="1687"/>
      <c r="G5" s="628">
        <v>118233</v>
      </c>
      <c r="H5" s="1686">
        <f t="shared" ref="H5:H25" si="1">E5</f>
        <v>118233</v>
      </c>
      <c r="I5" s="1160"/>
      <c r="J5" s="625"/>
      <c r="K5" s="1164"/>
      <c r="L5" s="1163">
        <v>99275</v>
      </c>
      <c r="M5" s="625">
        <v>99275</v>
      </c>
      <c r="N5" s="1158">
        <v>49845</v>
      </c>
    </row>
    <row r="6" spans="1:14" ht="45" customHeight="1">
      <c r="A6" s="688" t="s">
        <v>706</v>
      </c>
      <c r="B6" s="1688" t="s">
        <v>390</v>
      </c>
      <c r="C6" s="1689">
        <v>43165</v>
      </c>
      <c r="D6" s="1690">
        <v>44255</v>
      </c>
      <c r="E6" s="1351">
        <f t="shared" si="0"/>
        <v>410821</v>
      </c>
      <c r="F6" s="1349"/>
      <c r="G6" s="1350">
        <v>410821</v>
      </c>
      <c r="H6" s="1351">
        <f t="shared" si="1"/>
        <v>410821</v>
      </c>
      <c r="I6" s="427"/>
      <c r="J6" s="842"/>
      <c r="K6" s="1165">
        <v>19676</v>
      </c>
      <c r="L6" s="408">
        <v>125183</v>
      </c>
      <c r="M6" s="842">
        <v>125333</v>
      </c>
      <c r="N6" s="226">
        <v>92898</v>
      </c>
    </row>
    <row r="7" spans="1:14" ht="45" customHeight="1">
      <c r="A7" s="688" t="s">
        <v>399</v>
      </c>
      <c r="B7" s="1688" t="s">
        <v>400</v>
      </c>
      <c r="C7" s="1689">
        <v>43138</v>
      </c>
      <c r="D7" s="1690">
        <v>43830</v>
      </c>
      <c r="E7" s="1351">
        <f t="shared" si="0"/>
        <v>14985</v>
      </c>
      <c r="F7" s="1349"/>
      <c r="G7" s="1350">
        <v>14985</v>
      </c>
      <c r="H7" s="1351">
        <f t="shared" si="1"/>
        <v>14985</v>
      </c>
      <c r="I7" s="427"/>
      <c r="J7" s="842"/>
      <c r="K7" s="1165"/>
      <c r="L7" s="408">
        <v>4548</v>
      </c>
      <c r="M7" s="842">
        <v>4548</v>
      </c>
      <c r="N7" s="226">
        <v>1445</v>
      </c>
    </row>
    <row r="8" spans="1:14" ht="45" customHeight="1">
      <c r="A8" s="688" t="s">
        <v>391</v>
      </c>
      <c r="B8" s="1688" t="s">
        <v>392</v>
      </c>
      <c r="C8" s="1689">
        <v>43136</v>
      </c>
      <c r="D8" s="1690">
        <v>44286</v>
      </c>
      <c r="E8" s="1351">
        <f t="shared" si="0"/>
        <v>29807</v>
      </c>
      <c r="F8" s="1349"/>
      <c r="G8" s="1350">
        <v>29807</v>
      </c>
      <c r="H8" s="1351">
        <f t="shared" si="1"/>
        <v>29807</v>
      </c>
      <c r="I8" s="427"/>
      <c r="J8" s="842"/>
      <c r="K8" s="1165"/>
      <c r="L8" s="408">
        <v>10028</v>
      </c>
      <c r="M8" s="842">
        <v>10028</v>
      </c>
      <c r="N8" s="226">
        <v>4326</v>
      </c>
    </row>
    <row r="9" spans="1:14" ht="45" customHeight="1">
      <c r="A9" s="688" t="s">
        <v>393</v>
      </c>
      <c r="B9" s="1688" t="s">
        <v>394</v>
      </c>
      <c r="C9" s="1689">
        <v>43222</v>
      </c>
      <c r="D9" s="1690">
        <v>44316</v>
      </c>
      <c r="E9" s="1351">
        <f t="shared" si="0"/>
        <v>38428</v>
      </c>
      <c r="F9" s="1349"/>
      <c r="G9" s="1350">
        <v>38428</v>
      </c>
      <c r="H9" s="1351">
        <f t="shared" si="1"/>
        <v>38428</v>
      </c>
      <c r="I9" s="427"/>
      <c r="J9" s="842"/>
      <c r="K9" s="1165"/>
      <c r="L9" s="408">
        <v>20951</v>
      </c>
      <c r="M9" s="842">
        <v>20951</v>
      </c>
      <c r="N9" s="226">
        <v>17470</v>
      </c>
    </row>
    <row r="10" spans="1:14" ht="45" customHeight="1">
      <c r="A10" s="688" t="s">
        <v>395</v>
      </c>
      <c r="B10" s="1688" t="s">
        <v>396</v>
      </c>
      <c r="C10" s="1689">
        <v>43112</v>
      </c>
      <c r="D10" s="1690">
        <v>43646</v>
      </c>
      <c r="E10" s="1351">
        <f t="shared" si="0"/>
        <v>139298</v>
      </c>
      <c r="F10" s="1349">
        <v>21108</v>
      </c>
      <c r="G10" s="1350">
        <v>118190</v>
      </c>
      <c r="H10" s="1351">
        <f t="shared" si="1"/>
        <v>139298</v>
      </c>
      <c r="I10" s="427"/>
      <c r="J10" s="842"/>
      <c r="K10" s="1165"/>
      <c r="L10" s="408">
        <v>121272</v>
      </c>
      <c r="M10" s="842">
        <v>121272</v>
      </c>
      <c r="N10" s="226">
        <v>75140</v>
      </c>
    </row>
    <row r="11" spans="1:14" ht="45" customHeight="1">
      <c r="A11" s="688" t="s">
        <v>397</v>
      </c>
      <c r="B11" s="1688" t="s">
        <v>398</v>
      </c>
      <c r="C11" s="1689">
        <v>43117</v>
      </c>
      <c r="D11" s="1690">
        <v>43738</v>
      </c>
      <c r="E11" s="1351">
        <f t="shared" si="0"/>
        <v>45611</v>
      </c>
      <c r="F11" s="1349"/>
      <c r="G11" s="1350">
        <v>45611</v>
      </c>
      <c r="H11" s="1351">
        <f t="shared" si="1"/>
        <v>45611</v>
      </c>
      <c r="I11" s="427"/>
      <c r="J11" s="842"/>
      <c r="K11" s="1165"/>
      <c r="L11" s="408">
        <v>13676</v>
      </c>
      <c r="M11" s="842">
        <v>13676</v>
      </c>
      <c r="N11" s="226">
        <v>43172</v>
      </c>
    </row>
    <row r="12" spans="1:14" ht="45" customHeight="1">
      <c r="A12" s="688" t="s">
        <v>375</v>
      </c>
      <c r="B12" s="1688" t="s">
        <v>376</v>
      </c>
      <c r="C12" s="1689">
        <v>42943</v>
      </c>
      <c r="D12" s="1690">
        <v>43646</v>
      </c>
      <c r="E12" s="1351">
        <f t="shared" si="0"/>
        <v>9000</v>
      </c>
      <c r="F12" s="1349"/>
      <c r="G12" s="1350">
        <v>9000</v>
      </c>
      <c r="H12" s="1351">
        <f t="shared" si="1"/>
        <v>9000</v>
      </c>
      <c r="I12" s="427"/>
      <c r="J12" s="842"/>
      <c r="K12" s="1165"/>
      <c r="L12" s="408">
        <v>5745</v>
      </c>
      <c r="M12" s="842">
        <v>5745</v>
      </c>
      <c r="N12" s="226">
        <v>5923</v>
      </c>
    </row>
    <row r="13" spans="1:14" ht="45" customHeight="1">
      <c r="A13" s="688" t="s">
        <v>673</v>
      </c>
      <c r="B13" s="1688" t="s">
        <v>377</v>
      </c>
      <c r="C13" s="1689">
        <v>43210</v>
      </c>
      <c r="D13" s="1690">
        <v>43861</v>
      </c>
      <c r="E13" s="1351">
        <f t="shared" si="0"/>
        <v>106593</v>
      </c>
      <c r="F13" s="1349">
        <f>5330</f>
        <v>5330</v>
      </c>
      <c r="G13" s="1350">
        <v>101263</v>
      </c>
      <c r="H13" s="1351">
        <f t="shared" si="1"/>
        <v>106593</v>
      </c>
      <c r="I13" s="427">
        <v>101263</v>
      </c>
      <c r="J13" s="842">
        <v>101263</v>
      </c>
      <c r="K13" s="1165">
        <v>101263</v>
      </c>
      <c r="L13" s="408">
        <v>106593</v>
      </c>
      <c r="M13" s="842">
        <v>106593</v>
      </c>
      <c r="N13" s="226">
        <v>109190</v>
      </c>
    </row>
    <row r="14" spans="1:14" ht="45" customHeight="1">
      <c r="A14" s="688" t="s">
        <v>674</v>
      </c>
      <c r="B14" s="1688" t="s">
        <v>378</v>
      </c>
      <c r="C14" s="1689">
        <v>43109</v>
      </c>
      <c r="D14" s="1690">
        <v>43830</v>
      </c>
      <c r="E14" s="1351">
        <f t="shared" si="0"/>
        <v>94097</v>
      </c>
      <c r="F14" s="1349">
        <v>4481</v>
      </c>
      <c r="G14" s="1350">
        <v>89616</v>
      </c>
      <c r="H14" s="1351">
        <f t="shared" si="1"/>
        <v>94097</v>
      </c>
      <c r="I14" s="427">
        <v>85135</v>
      </c>
      <c r="J14" s="842">
        <v>85135</v>
      </c>
      <c r="K14" s="1165">
        <v>85135</v>
      </c>
      <c r="L14" s="408">
        <v>89616</v>
      </c>
      <c r="M14" s="842">
        <v>89616</v>
      </c>
      <c r="N14" s="226">
        <v>89616</v>
      </c>
    </row>
    <row r="15" spans="1:14" ht="45" customHeight="1">
      <c r="A15" s="688" t="s">
        <v>388</v>
      </c>
      <c r="B15" s="1688" t="s">
        <v>389</v>
      </c>
      <c r="C15" s="1689">
        <v>43363</v>
      </c>
      <c r="D15" s="1690">
        <v>44105</v>
      </c>
      <c r="E15" s="1351">
        <f t="shared" si="0"/>
        <v>399459</v>
      </c>
      <c r="F15" s="1349"/>
      <c r="G15" s="1350">
        <v>399459</v>
      </c>
      <c r="H15" s="1351">
        <f t="shared" si="1"/>
        <v>399459</v>
      </c>
      <c r="I15" s="427">
        <v>399459</v>
      </c>
      <c r="J15" s="842">
        <v>399459</v>
      </c>
      <c r="K15" s="1165">
        <v>399459</v>
      </c>
      <c r="L15" s="408">
        <v>504640</v>
      </c>
      <c r="M15" s="842">
        <v>504640</v>
      </c>
      <c r="N15" s="226">
        <v>399459</v>
      </c>
    </row>
    <row r="16" spans="1:14" ht="45" customHeight="1">
      <c r="A16" s="688" t="s">
        <v>373</v>
      </c>
      <c r="B16" s="1688" t="s">
        <v>374</v>
      </c>
      <c r="C16" s="1689">
        <v>43004</v>
      </c>
      <c r="D16" s="1690">
        <v>43823</v>
      </c>
      <c r="E16" s="1351">
        <f t="shared" si="0"/>
        <v>204401</v>
      </c>
      <c r="F16" s="1349">
        <v>24174</v>
      </c>
      <c r="G16" s="1350">
        <v>180227</v>
      </c>
      <c r="H16" s="1351">
        <f t="shared" si="1"/>
        <v>204401</v>
      </c>
      <c r="I16" s="427"/>
      <c r="J16" s="842"/>
      <c r="K16" s="1165"/>
      <c r="L16" s="408">
        <v>199358</v>
      </c>
      <c r="M16" s="842">
        <v>199358</v>
      </c>
      <c r="N16" s="226">
        <v>198514</v>
      </c>
    </row>
    <row r="17" spans="1:14" ht="45" customHeight="1">
      <c r="A17" s="688" t="s">
        <v>371</v>
      </c>
      <c r="B17" s="1688" t="s">
        <v>372</v>
      </c>
      <c r="C17" s="1689">
        <v>42886</v>
      </c>
      <c r="D17" s="1690">
        <v>43830</v>
      </c>
      <c r="E17" s="1351">
        <f t="shared" si="0"/>
        <v>418664</v>
      </c>
      <c r="F17" s="1349">
        <v>193544</v>
      </c>
      <c r="G17" s="1350">
        <v>225120</v>
      </c>
      <c r="H17" s="1351">
        <f t="shared" si="1"/>
        <v>418664</v>
      </c>
      <c r="I17" s="427"/>
      <c r="J17" s="842"/>
      <c r="K17" s="1165"/>
      <c r="L17" s="408">
        <v>305977</v>
      </c>
      <c r="M17" s="842">
        <v>305977</v>
      </c>
      <c r="N17" s="226">
        <v>446989</v>
      </c>
    </row>
    <row r="18" spans="1:14" ht="45" customHeight="1">
      <c r="A18" s="688" t="s">
        <v>367</v>
      </c>
      <c r="B18" s="1688" t="s">
        <v>368</v>
      </c>
      <c r="C18" s="1689">
        <v>42895</v>
      </c>
      <c r="D18" s="1690">
        <v>43830</v>
      </c>
      <c r="E18" s="1351">
        <f t="shared" si="0"/>
        <v>429000</v>
      </c>
      <c r="F18" s="1349">
        <v>79000</v>
      </c>
      <c r="G18" s="1350">
        <v>350000</v>
      </c>
      <c r="H18" s="1351">
        <f t="shared" si="1"/>
        <v>429000</v>
      </c>
      <c r="I18" s="427"/>
      <c r="J18" s="842"/>
      <c r="K18" s="1165"/>
      <c r="L18" s="408">
        <v>354000</v>
      </c>
      <c r="M18" s="842">
        <v>359823</v>
      </c>
      <c r="N18" s="226">
        <v>379543</v>
      </c>
    </row>
    <row r="19" spans="1:14" ht="45" customHeight="1">
      <c r="A19" s="688" t="s">
        <v>384</v>
      </c>
      <c r="B19" s="1688" t="s">
        <v>385</v>
      </c>
      <c r="C19" s="1689">
        <v>43131</v>
      </c>
      <c r="D19" s="1690">
        <v>43830</v>
      </c>
      <c r="E19" s="1351">
        <f t="shared" si="0"/>
        <v>429734</v>
      </c>
      <c r="F19" s="1349">
        <v>89734</v>
      </c>
      <c r="G19" s="1350">
        <v>340000</v>
      </c>
      <c r="H19" s="1351">
        <f t="shared" si="1"/>
        <v>429734</v>
      </c>
      <c r="I19" s="427"/>
      <c r="J19" s="842"/>
      <c r="K19" s="1165"/>
      <c r="L19" s="408">
        <v>426082</v>
      </c>
      <c r="M19" s="842">
        <v>426082</v>
      </c>
      <c r="N19" s="226">
        <v>409699</v>
      </c>
    </row>
    <row r="20" spans="1:14" ht="45" customHeight="1">
      <c r="A20" s="688" t="s">
        <v>369</v>
      </c>
      <c r="B20" s="1688" t="s">
        <v>370</v>
      </c>
      <c r="C20" s="1689">
        <v>42886</v>
      </c>
      <c r="D20" s="1689" t="s">
        <v>711</v>
      </c>
      <c r="E20" s="1351">
        <f t="shared" si="0"/>
        <v>150000</v>
      </c>
      <c r="F20" s="1349"/>
      <c r="G20" s="1350">
        <v>150000</v>
      </c>
      <c r="H20" s="1351">
        <f t="shared" si="1"/>
        <v>150000</v>
      </c>
      <c r="I20" s="427"/>
      <c r="J20" s="842"/>
      <c r="K20" s="1165"/>
      <c r="L20" s="408">
        <v>198117</v>
      </c>
      <c r="M20" s="842">
        <v>198117</v>
      </c>
      <c r="N20" s="226">
        <v>143970</v>
      </c>
    </row>
    <row r="21" spans="1:14" ht="45" customHeight="1">
      <c r="A21" s="688" t="s">
        <v>365</v>
      </c>
      <c r="B21" s="1688" t="s">
        <v>366</v>
      </c>
      <c r="C21" s="1689">
        <v>42744</v>
      </c>
      <c r="D21" s="1690">
        <v>43830</v>
      </c>
      <c r="E21" s="1351">
        <f t="shared" si="0"/>
        <v>486629</v>
      </c>
      <c r="F21" s="1349">
        <v>37684</v>
      </c>
      <c r="G21" s="1350">
        <v>448945</v>
      </c>
      <c r="H21" s="1351">
        <f t="shared" si="1"/>
        <v>486629</v>
      </c>
      <c r="I21" s="427"/>
      <c r="J21" s="842"/>
      <c r="K21" s="1165"/>
      <c r="L21" s="408">
        <v>443709</v>
      </c>
      <c r="M21" s="842">
        <v>532696</v>
      </c>
      <c r="N21" s="226">
        <v>591935</v>
      </c>
    </row>
    <row r="22" spans="1:14" ht="45" customHeight="1">
      <c r="A22" s="688" t="s">
        <v>707</v>
      </c>
      <c r="B22" s="1688" t="s">
        <v>386</v>
      </c>
      <c r="C22" s="1689">
        <v>43147</v>
      </c>
      <c r="D22" s="1690">
        <v>44012</v>
      </c>
      <c r="E22" s="1351">
        <f t="shared" si="0"/>
        <v>281000</v>
      </c>
      <c r="F22" s="1349">
        <f>31000</f>
        <v>31000</v>
      </c>
      <c r="G22" s="1350">
        <v>250000</v>
      </c>
      <c r="H22" s="1351">
        <f t="shared" si="1"/>
        <v>281000</v>
      </c>
      <c r="I22" s="427">
        <v>250000</v>
      </c>
      <c r="J22" s="842">
        <v>250000</v>
      </c>
      <c r="K22" s="1165"/>
      <c r="L22" s="408">
        <v>275026</v>
      </c>
      <c r="M22" s="842">
        <v>275026</v>
      </c>
      <c r="N22" s="226">
        <v>265020</v>
      </c>
    </row>
    <row r="23" spans="1:14" ht="45" customHeight="1">
      <c r="A23" s="688" t="s">
        <v>708</v>
      </c>
      <c r="B23" s="1688" t="s">
        <v>383</v>
      </c>
      <c r="C23" s="1689">
        <v>43280</v>
      </c>
      <c r="D23" s="1690">
        <v>44255</v>
      </c>
      <c r="E23" s="1351">
        <f t="shared" si="0"/>
        <v>53661</v>
      </c>
      <c r="F23" s="1349">
        <v>12147</v>
      </c>
      <c r="G23" s="1350">
        <v>41514</v>
      </c>
      <c r="H23" s="1351">
        <f t="shared" si="1"/>
        <v>53661</v>
      </c>
      <c r="I23" s="427">
        <v>39968</v>
      </c>
      <c r="J23" s="842">
        <v>39968</v>
      </c>
      <c r="K23" s="1165">
        <v>39968</v>
      </c>
      <c r="L23" s="408">
        <v>42750</v>
      </c>
      <c r="M23" s="842">
        <v>47750</v>
      </c>
      <c r="N23" s="226">
        <v>52887</v>
      </c>
    </row>
    <row r="24" spans="1:14" ht="45" customHeight="1">
      <c r="A24" s="688" t="s">
        <v>381</v>
      </c>
      <c r="B24" s="1688" t="s">
        <v>382</v>
      </c>
      <c r="C24" s="1689">
        <v>43256</v>
      </c>
      <c r="D24" s="1690">
        <v>43829</v>
      </c>
      <c r="E24" s="1351">
        <f t="shared" si="0"/>
        <v>72725</v>
      </c>
      <c r="F24" s="1349">
        <v>31860</v>
      </c>
      <c r="G24" s="1350">
        <v>40865</v>
      </c>
      <c r="H24" s="1351">
        <f t="shared" si="1"/>
        <v>72725</v>
      </c>
      <c r="I24" s="427">
        <v>39167</v>
      </c>
      <c r="J24" s="842">
        <v>39167</v>
      </c>
      <c r="K24" s="1165">
        <v>40865</v>
      </c>
      <c r="L24" s="408">
        <v>42664</v>
      </c>
      <c r="M24" s="842">
        <v>57664</v>
      </c>
      <c r="N24" s="226">
        <v>87725</v>
      </c>
    </row>
    <row r="25" spans="1:14" ht="45" customHeight="1" thickBot="1">
      <c r="A25" s="785" t="s">
        <v>709</v>
      </c>
      <c r="B25" s="1691" t="s">
        <v>387</v>
      </c>
      <c r="C25" s="1692">
        <v>43334</v>
      </c>
      <c r="D25" s="1693">
        <v>44834</v>
      </c>
      <c r="E25" s="1694">
        <f t="shared" si="0"/>
        <v>54999</v>
      </c>
      <c r="F25" s="1695"/>
      <c r="G25" s="1696">
        <v>54999</v>
      </c>
      <c r="H25" s="1694">
        <f t="shared" si="1"/>
        <v>54999</v>
      </c>
      <c r="I25" s="1161">
        <v>12066</v>
      </c>
      <c r="J25" s="853">
        <v>12066</v>
      </c>
      <c r="K25" s="1166">
        <v>12066</v>
      </c>
      <c r="L25" s="433">
        <v>37250</v>
      </c>
      <c r="M25" s="853">
        <v>37520</v>
      </c>
      <c r="N25" s="854">
        <v>34980</v>
      </c>
    </row>
    <row r="26" spans="1:14" ht="24.75" customHeight="1" thickBot="1">
      <c r="A26" s="786" t="s">
        <v>72</v>
      </c>
      <c r="B26" s="1697"/>
      <c r="C26" s="1698"/>
      <c r="D26" s="1699"/>
      <c r="E26" s="1700">
        <f t="shared" ref="E26:N26" si="2">SUM(E5:E25)</f>
        <v>3987145</v>
      </c>
      <c r="F26" s="1701">
        <f t="shared" si="2"/>
        <v>530062</v>
      </c>
      <c r="G26" s="1702">
        <f t="shared" si="2"/>
        <v>3457083</v>
      </c>
      <c r="H26" s="1700">
        <f t="shared" si="2"/>
        <v>3987145</v>
      </c>
      <c r="I26" s="431">
        <f t="shared" si="2"/>
        <v>927058</v>
      </c>
      <c r="J26" s="94">
        <f t="shared" ref="J26:K26" si="3">SUM(J5:J25)</f>
        <v>927058</v>
      </c>
      <c r="K26" s="446">
        <f t="shared" si="3"/>
        <v>698432</v>
      </c>
      <c r="L26" s="102">
        <f t="shared" si="2"/>
        <v>3426460</v>
      </c>
      <c r="M26" s="94">
        <f t="shared" ref="M26" si="4">SUM(M5:M25)</f>
        <v>3541690</v>
      </c>
      <c r="N26" s="95">
        <f t="shared" si="2"/>
        <v>3499746</v>
      </c>
    </row>
    <row r="27" spans="1:14">
      <c r="A27" s="54"/>
      <c r="B27" s="23"/>
      <c r="C27" s="96"/>
      <c r="D27" s="47"/>
      <c r="E27" s="47"/>
      <c r="F27" s="26"/>
      <c r="G27" s="26"/>
      <c r="H27" s="26"/>
      <c r="I27" s="26"/>
      <c r="J27" s="26"/>
      <c r="K27" s="26"/>
      <c r="L27" s="26"/>
      <c r="M27" s="26"/>
      <c r="N27" s="26"/>
    </row>
    <row r="28" spans="1:14">
      <c r="A28" s="2088" t="s">
        <v>712</v>
      </c>
      <c r="B28" s="2088"/>
      <c r="C28" s="2088"/>
      <c r="D28" s="2088"/>
      <c r="E28" s="2088"/>
      <c r="F28" s="2088"/>
      <c r="G28" s="2088"/>
      <c r="H28" s="2088"/>
      <c r="I28" s="2088"/>
      <c r="J28" s="2088"/>
      <c r="K28" s="2088"/>
      <c r="L28" s="2088"/>
      <c r="M28" s="2088"/>
      <c r="N28" s="2088"/>
    </row>
    <row r="31" spans="1:14">
      <c r="A31" s="1168"/>
    </row>
    <row r="32" spans="1:14">
      <c r="A32" s="1168"/>
    </row>
  </sheetData>
  <sortState ref="A5:L26">
    <sortCondition ref="B5:B26"/>
  </sortState>
  <mergeCells count="11">
    <mergeCell ref="I3:K3"/>
    <mergeCell ref="A28:N28"/>
    <mergeCell ref="A1:N1"/>
    <mergeCell ref="E3:E4"/>
    <mergeCell ref="A3:A4"/>
    <mergeCell ref="B3:B4"/>
    <mergeCell ref="C3:C4"/>
    <mergeCell ref="D3:D4"/>
    <mergeCell ref="F3:G3"/>
    <mergeCell ref="H3:H4"/>
    <mergeCell ref="L3:N3"/>
  </mergeCells>
  <printOptions horizontalCentered="1"/>
  <pageMargins left="0.70866141732283472" right="0.70866141732283472" top="0.74803149606299213" bottom="0.74803149606299213" header="0.31496062992125984" footer="0.31496062992125984"/>
  <pageSetup paperSize="9" scale="43" orientation="landscape" r:id="rId1"/>
  <headerFooter>
    <oddHeader>&amp;L&amp;"Times New Roman,Normál"&amp;8 17. melléklet 1, 2, 3</oddHeader>
    <oddFooter>&amp;L1. Mód.: 3/2019 (II.27.) önk. rend. 2.§. Hat.: 2019.03.01. napjától
2. Mód.: 9/2019 (IV.24.) önk. rend. 2.§ Hat.: 2019.04.25. napjától
3. Mód.: 18/2019 (IX.11.) önk. rend. 2.§ Hat.:2019.09.12. napjától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view="pageLayout" topLeftCell="A31" zoomScale="60" zoomScaleNormal="100" zoomScalePageLayoutView="60" workbookViewId="0">
      <selection activeCell="A2" sqref="A2"/>
    </sheetView>
  </sheetViews>
  <sheetFormatPr defaultRowHeight="15"/>
  <cols>
    <col min="1" max="1" width="77.85546875" style="23" customWidth="1"/>
    <col min="2" max="13" width="14" style="23" customWidth="1"/>
    <col min="14" max="14" width="11.7109375" style="23" bestFit="1" customWidth="1"/>
    <col min="15" max="16384" width="9.140625" style="23"/>
  </cols>
  <sheetData>
    <row r="1" spans="1:13">
      <c r="A1" s="1716" t="s">
        <v>431</v>
      </c>
      <c r="B1" s="1716"/>
      <c r="C1" s="1716"/>
      <c r="D1" s="1716"/>
      <c r="E1" s="1716"/>
      <c r="F1" s="1716"/>
      <c r="G1" s="1716"/>
      <c r="H1" s="1716"/>
      <c r="I1" s="1716"/>
      <c r="J1" s="1716"/>
      <c r="K1" s="1716"/>
      <c r="L1" s="1716"/>
      <c r="M1" s="1716"/>
    </row>
    <row r="2" spans="1:13" ht="15.75" thickBot="1"/>
    <row r="3" spans="1:13" ht="34.5" customHeight="1" thickBot="1">
      <c r="A3" s="1717" t="s">
        <v>69</v>
      </c>
      <c r="B3" s="1719" t="s">
        <v>70</v>
      </c>
      <c r="C3" s="1720"/>
      <c r="D3" s="1721"/>
      <c r="E3" s="1720" t="s">
        <v>71</v>
      </c>
      <c r="F3" s="1720"/>
      <c r="G3" s="1720"/>
      <c r="H3" s="1719" t="s">
        <v>87</v>
      </c>
      <c r="I3" s="1720"/>
      <c r="J3" s="1721"/>
      <c r="K3" s="1722" t="s">
        <v>72</v>
      </c>
      <c r="L3" s="1723"/>
      <c r="M3" s="1724"/>
    </row>
    <row r="4" spans="1:13" ht="29.25" thickBot="1">
      <c r="A4" s="1718"/>
      <c r="B4" s="274" t="s">
        <v>3</v>
      </c>
      <c r="C4" s="273" t="s">
        <v>950</v>
      </c>
      <c r="D4" s="1254" t="s">
        <v>1015</v>
      </c>
      <c r="E4" s="423" t="s">
        <v>3</v>
      </c>
      <c r="F4" s="273" t="s">
        <v>951</v>
      </c>
      <c r="G4" s="1255" t="s">
        <v>1016</v>
      </c>
      <c r="H4" s="274" t="s">
        <v>3</v>
      </c>
      <c r="I4" s="273" t="s">
        <v>952</v>
      </c>
      <c r="J4" s="1254" t="s">
        <v>1017</v>
      </c>
      <c r="K4" s="1368" t="s">
        <v>3</v>
      </c>
      <c r="L4" s="1480" t="s">
        <v>953</v>
      </c>
      <c r="M4" s="1254" t="s">
        <v>1018</v>
      </c>
    </row>
    <row r="5" spans="1:13" s="24" customFormat="1" ht="15" customHeight="1">
      <c r="A5" s="137" t="s">
        <v>5</v>
      </c>
      <c r="B5" s="415">
        <f t="shared" ref="B5:J5" si="0">SUM(B6:B7)</f>
        <v>1175495</v>
      </c>
      <c r="C5" s="416">
        <f t="shared" ref="C5" si="1">SUM(C6:C7)</f>
        <v>1496712</v>
      </c>
      <c r="D5" s="417">
        <f t="shared" si="0"/>
        <v>1619816</v>
      </c>
      <c r="E5" s="424">
        <f t="shared" si="0"/>
        <v>0</v>
      </c>
      <c r="F5" s="416">
        <f t="shared" ref="F5" si="2">SUM(F6:F7)</f>
        <v>0</v>
      </c>
      <c r="G5" s="439">
        <f t="shared" si="0"/>
        <v>0</v>
      </c>
      <c r="H5" s="415">
        <f t="shared" si="0"/>
        <v>0</v>
      </c>
      <c r="I5" s="416">
        <f t="shared" ref="I5" si="3">SUM(I6:I7)</f>
        <v>0</v>
      </c>
      <c r="J5" s="417">
        <f t="shared" si="0"/>
        <v>0</v>
      </c>
      <c r="K5" s="415">
        <f t="shared" ref="K5:K49" si="4">B5+E5+H5</f>
        <v>1175495</v>
      </c>
      <c r="L5" s="416">
        <f t="shared" ref="L5:M49" si="5">C5+F5+I5</f>
        <v>1496712</v>
      </c>
      <c r="M5" s="417">
        <f t="shared" si="5"/>
        <v>1619816</v>
      </c>
    </row>
    <row r="6" spans="1:13" ht="15" customHeight="1">
      <c r="A6" s="138" t="s">
        <v>73</v>
      </c>
      <c r="B6" s="406">
        <f>'15. melléklet'!G89</f>
        <v>1175495</v>
      </c>
      <c r="C6" s="399">
        <f>'15. melléklet'!H93</f>
        <v>1346712</v>
      </c>
      <c r="D6" s="407">
        <f>'15. melléklet'!I93</f>
        <v>1469816</v>
      </c>
      <c r="E6" s="425"/>
      <c r="F6" s="399"/>
      <c r="G6" s="440"/>
      <c r="H6" s="406"/>
      <c r="I6" s="399"/>
      <c r="J6" s="407"/>
      <c r="K6" s="406">
        <f t="shared" si="4"/>
        <v>1175495</v>
      </c>
      <c r="L6" s="939">
        <f t="shared" si="5"/>
        <v>1346712</v>
      </c>
      <c r="M6" s="407">
        <f t="shared" si="5"/>
        <v>1469816</v>
      </c>
    </row>
    <row r="7" spans="1:13" ht="15" customHeight="1">
      <c r="A7" s="138" t="s">
        <v>74</v>
      </c>
      <c r="B7" s="406"/>
      <c r="C7" s="399">
        <f>'15. melléklet'!H95</f>
        <v>150000</v>
      </c>
      <c r="D7" s="407">
        <f>'15. melléklet'!I95</f>
        <v>150000</v>
      </c>
      <c r="E7" s="425"/>
      <c r="F7" s="399"/>
      <c r="G7" s="440"/>
      <c r="H7" s="406"/>
      <c r="I7" s="399"/>
      <c r="J7" s="407"/>
      <c r="K7" s="406">
        <f t="shared" si="4"/>
        <v>0</v>
      </c>
      <c r="L7" s="939">
        <f t="shared" si="5"/>
        <v>150000</v>
      </c>
      <c r="M7" s="407">
        <f t="shared" si="5"/>
        <v>150000</v>
      </c>
    </row>
    <row r="8" spans="1:13" s="1269" customFormat="1" ht="15" customHeight="1">
      <c r="A8" s="1263" t="s">
        <v>75</v>
      </c>
      <c r="B8" s="1264">
        <f t="shared" ref="B8:J8" si="6">SUM(B9:B10)</f>
        <v>167292</v>
      </c>
      <c r="C8" s="1265">
        <f>'11. melléklet'!C7</f>
        <v>156297</v>
      </c>
      <c r="D8" s="1265">
        <f>'11. melléklet'!D7</f>
        <v>162271</v>
      </c>
      <c r="E8" s="1266">
        <f t="shared" si="6"/>
        <v>44398</v>
      </c>
      <c r="F8" s="1265">
        <f t="shared" ref="F8" si="7">SUM(F9:F10)</f>
        <v>44398</v>
      </c>
      <c r="G8" s="1267">
        <f t="shared" si="6"/>
        <v>52702</v>
      </c>
      <c r="H8" s="1264">
        <f t="shared" si="6"/>
        <v>71227</v>
      </c>
      <c r="I8" s="1265">
        <f t="shared" ref="I8" si="8">SUM(I9:I10)</f>
        <v>72227</v>
      </c>
      <c r="J8" s="1268">
        <f t="shared" si="6"/>
        <v>93937</v>
      </c>
      <c r="K8" s="1264">
        <f t="shared" si="4"/>
        <v>282917</v>
      </c>
      <c r="L8" s="1481">
        <f t="shared" si="5"/>
        <v>272922</v>
      </c>
      <c r="M8" s="1268">
        <f t="shared" si="5"/>
        <v>308910</v>
      </c>
    </row>
    <row r="9" spans="1:13" s="1276" customFormat="1" ht="15" customHeight="1">
      <c r="A9" s="1270" t="s">
        <v>1021</v>
      </c>
      <c r="B9" s="1271"/>
      <c r="C9" s="1272"/>
      <c r="D9" s="1273">
        <f>'11. melléklet'!D9</f>
        <v>3072</v>
      </c>
      <c r="E9" s="1274"/>
      <c r="F9" s="1272"/>
      <c r="G9" s="1275"/>
      <c r="H9" s="1271"/>
      <c r="I9" s="1272"/>
      <c r="J9" s="1273"/>
      <c r="K9" s="1271">
        <f t="shared" si="4"/>
        <v>0</v>
      </c>
      <c r="L9" s="1482">
        <f t="shared" si="5"/>
        <v>0</v>
      </c>
      <c r="M9" s="1273">
        <f t="shared" si="5"/>
        <v>3072</v>
      </c>
    </row>
    <row r="10" spans="1:13" s="1276" customFormat="1" ht="15" customHeight="1">
      <c r="A10" s="1270" t="s">
        <v>8</v>
      </c>
      <c r="B10" s="1271">
        <f>'11. melléklet'!B7</f>
        <v>167292</v>
      </c>
      <c r="C10" s="1272">
        <f>'11. melléklet'!C7</f>
        <v>156297</v>
      </c>
      <c r="D10" s="1273">
        <f>'11. melléklet'!D7-D9</f>
        <v>159199</v>
      </c>
      <c r="E10" s="1274">
        <f>'11. melléklet'!B73</f>
        <v>44398</v>
      </c>
      <c r="F10" s="1272">
        <f>'11. melléklet'!C73</f>
        <v>44398</v>
      </c>
      <c r="G10" s="1275">
        <f>'11. melléklet'!D73</f>
        <v>52702</v>
      </c>
      <c r="H10" s="1271">
        <v>71227</v>
      </c>
      <c r="I10" s="1272">
        <v>72227</v>
      </c>
      <c r="J10" s="1273">
        <v>93937</v>
      </c>
      <c r="K10" s="1271">
        <f t="shared" si="4"/>
        <v>282917</v>
      </c>
      <c r="L10" s="1482">
        <f t="shared" si="5"/>
        <v>272922</v>
      </c>
      <c r="M10" s="1273">
        <f t="shared" si="5"/>
        <v>305838</v>
      </c>
    </row>
    <row r="11" spans="1:13" ht="15" customHeight="1">
      <c r="A11" s="139" t="s">
        <v>10</v>
      </c>
      <c r="B11" s="404">
        <f t="shared" ref="B11:J11" si="9">B12</f>
        <v>657635</v>
      </c>
      <c r="C11" s="398">
        <f t="shared" si="9"/>
        <v>657635</v>
      </c>
      <c r="D11" s="405">
        <f t="shared" si="9"/>
        <v>526663</v>
      </c>
      <c r="E11" s="426">
        <f t="shared" si="9"/>
        <v>0</v>
      </c>
      <c r="F11" s="398">
        <f t="shared" si="9"/>
        <v>0</v>
      </c>
      <c r="G11" s="441">
        <f t="shared" si="9"/>
        <v>0</v>
      </c>
      <c r="H11" s="404">
        <f t="shared" si="9"/>
        <v>0</v>
      </c>
      <c r="I11" s="398">
        <f t="shared" si="9"/>
        <v>0</v>
      </c>
      <c r="J11" s="405">
        <f t="shared" si="9"/>
        <v>0</v>
      </c>
      <c r="K11" s="404">
        <f t="shared" si="4"/>
        <v>657635</v>
      </c>
      <c r="L11" s="1483">
        <f t="shared" si="5"/>
        <v>657635</v>
      </c>
      <c r="M11" s="405">
        <f t="shared" si="5"/>
        <v>526663</v>
      </c>
    </row>
    <row r="12" spans="1:13" ht="15" customHeight="1">
      <c r="A12" s="140" t="s">
        <v>8</v>
      </c>
      <c r="B12" s="406">
        <f>'11. melléklet'!B37</f>
        <v>657635</v>
      </c>
      <c r="C12" s="399">
        <f>'11. melléklet'!C37</f>
        <v>657635</v>
      </c>
      <c r="D12" s="407">
        <f>'11. melléklet'!D37</f>
        <v>526663</v>
      </c>
      <c r="E12" s="425"/>
      <c r="F12" s="399"/>
      <c r="G12" s="440"/>
      <c r="H12" s="406"/>
      <c r="I12" s="399"/>
      <c r="J12" s="407"/>
      <c r="K12" s="406">
        <f t="shared" si="4"/>
        <v>657635</v>
      </c>
      <c r="L12" s="939">
        <f t="shared" si="5"/>
        <v>657635</v>
      </c>
      <c r="M12" s="407">
        <f t="shared" si="5"/>
        <v>526663</v>
      </c>
    </row>
    <row r="13" spans="1:13" s="25" customFormat="1" ht="15" customHeight="1">
      <c r="A13" s="141" t="s">
        <v>76</v>
      </c>
      <c r="B13" s="404">
        <f t="shared" ref="B13:J13" si="10">B14+B17+B21+B22+B23</f>
        <v>2310000</v>
      </c>
      <c r="C13" s="398">
        <f t="shared" ref="C13" si="11">C14+C17+C21+C22+C23</f>
        <v>2350370</v>
      </c>
      <c r="D13" s="405">
        <f t="shared" si="10"/>
        <v>2350370</v>
      </c>
      <c r="E13" s="426">
        <f t="shared" si="10"/>
        <v>0</v>
      </c>
      <c r="F13" s="398">
        <f t="shared" ref="F13" si="12">F14+F17+F21+F22+F23</f>
        <v>0</v>
      </c>
      <c r="G13" s="441">
        <f t="shared" si="10"/>
        <v>0</v>
      </c>
      <c r="H13" s="404">
        <f t="shared" si="10"/>
        <v>0</v>
      </c>
      <c r="I13" s="398">
        <f t="shared" ref="I13" si="13">I14+I17+I21+I22+I23</f>
        <v>0</v>
      </c>
      <c r="J13" s="405">
        <f t="shared" si="10"/>
        <v>0</v>
      </c>
      <c r="K13" s="404">
        <f t="shared" si="4"/>
        <v>2310000</v>
      </c>
      <c r="L13" s="1483">
        <f t="shared" si="5"/>
        <v>2350370</v>
      </c>
      <c r="M13" s="405">
        <f t="shared" si="5"/>
        <v>2350370</v>
      </c>
    </row>
    <row r="14" spans="1:13" s="25" customFormat="1" ht="15" customHeight="1">
      <c r="A14" s="140" t="s">
        <v>13</v>
      </c>
      <c r="B14" s="408">
        <f t="shared" ref="B14:J14" si="14">SUM(B15:B16)</f>
        <v>520000</v>
      </c>
      <c r="C14" s="400">
        <f t="shared" ref="C14" si="15">SUM(C15:C16)</f>
        <v>520000</v>
      </c>
      <c r="D14" s="226">
        <f t="shared" si="14"/>
        <v>520000</v>
      </c>
      <c r="E14" s="427">
        <f t="shared" si="14"/>
        <v>0</v>
      </c>
      <c r="F14" s="400">
        <f t="shared" ref="F14" si="16">SUM(F15:F16)</f>
        <v>0</v>
      </c>
      <c r="G14" s="212">
        <f t="shared" si="14"/>
        <v>0</v>
      </c>
      <c r="H14" s="408">
        <f t="shared" si="14"/>
        <v>0</v>
      </c>
      <c r="I14" s="400">
        <f t="shared" ref="I14" si="17">SUM(I15:I16)</f>
        <v>0</v>
      </c>
      <c r="J14" s="226">
        <f t="shared" si="14"/>
        <v>0</v>
      </c>
      <c r="K14" s="408">
        <f t="shared" si="4"/>
        <v>520000</v>
      </c>
      <c r="L14" s="842">
        <f t="shared" si="5"/>
        <v>520000</v>
      </c>
      <c r="M14" s="226">
        <f t="shared" si="5"/>
        <v>520000</v>
      </c>
    </row>
    <row r="15" spans="1:13" s="25" customFormat="1" ht="15" customHeight="1">
      <c r="A15" s="142" t="s">
        <v>77</v>
      </c>
      <c r="B15" s="409">
        <v>360000</v>
      </c>
      <c r="C15" s="401">
        <v>360000</v>
      </c>
      <c r="D15" s="410">
        <v>360000</v>
      </c>
      <c r="E15" s="428"/>
      <c r="F15" s="401"/>
      <c r="G15" s="442"/>
      <c r="H15" s="409"/>
      <c r="I15" s="401"/>
      <c r="J15" s="410"/>
      <c r="K15" s="409">
        <f t="shared" si="4"/>
        <v>360000</v>
      </c>
      <c r="L15" s="1484">
        <f t="shared" si="5"/>
        <v>360000</v>
      </c>
      <c r="M15" s="410">
        <f t="shared" si="5"/>
        <v>360000</v>
      </c>
    </row>
    <row r="16" spans="1:13" s="25" customFormat="1" ht="15" customHeight="1">
      <c r="A16" s="143" t="s">
        <v>78</v>
      </c>
      <c r="B16" s="411">
        <v>160000</v>
      </c>
      <c r="C16" s="402">
        <v>160000</v>
      </c>
      <c r="D16" s="412">
        <v>160000</v>
      </c>
      <c r="E16" s="429"/>
      <c r="F16" s="402"/>
      <c r="G16" s="443"/>
      <c r="H16" s="411"/>
      <c r="I16" s="402"/>
      <c r="J16" s="412"/>
      <c r="K16" s="411">
        <f t="shared" si="4"/>
        <v>160000</v>
      </c>
      <c r="L16" s="1485">
        <f t="shared" si="5"/>
        <v>160000</v>
      </c>
      <c r="M16" s="412">
        <f t="shared" si="5"/>
        <v>160000</v>
      </c>
    </row>
    <row r="17" spans="1:13" s="25" customFormat="1" ht="15" customHeight="1">
      <c r="A17" s="140" t="s">
        <v>79</v>
      </c>
      <c r="B17" s="408">
        <f t="shared" ref="B17:J17" si="18">SUM(B18:B20)</f>
        <v>1780000</v>
      </c>
      <c r="C17" s="400">
        <f t="shared" ref="C17" si="19">SUM(C18:C20)</f>
        <v>1820370</v>
      </c>
      <c r="D17" s="226">
        <f t="shared" si="18"/>
        <v>1820370</v>
      </c>
      <c r="E17" s="427">
        <f t="shared" si="18"/>
        <v>0</v>
      </c>
      <c r="F17" s="400">
        <f t="shared" ref="F17" si="20">SUM(F18:F20)</f>
        <v>0</v>
      </c>
      <c r="G17" s="212">
        <f t="shared" si="18"/>
        <v>0</v>
      </c>
      <c r="H17" s="408">
        <f t="shared" si="18"/>
        <v>0</v>
      </c>
      <c r="I17" s="400">
        <f t="shared" ref="I17" si="21">SUM(I18:I20)</f>
        <v>0</v>
      </c>
      <c r="J17" s="226">
        <f t="shared" si="18"/>
        <v>0</v>
      </c>
      <c r="K17" s="408">
        <f t="shared" si="4"/>
        <v>1780000</v>
      </c>
      <c r="L17" s="842">
        <f t="shared" si="5"/>
        <v>1820370</v>
      </c>
      <c r="M17" s="226">
        <f t="shared" si="5"/>
        <v>1820370</v>
      </c>
    </row>
    <row r="18" spans="1:13" s="25" customFormat="1" ht="15" customHeight="1">
      <c r="A18" s="142" t="s">
        <v>80</v>
      </c>
      <c r="B18" s="411">
        <v>1635000</v>
      </c>
      <c r="C18" s="402">
        <v>1675370</v>
      </c>
      <c r="D18" s="412">
        <v>1675370</v>
      </c>
      <c r="E18" s="429"/>
      <c r="F18" s="402"/>
      <c r="G18" s="443"/>
      <c r="H18" s="411"/>
      <c r="I18" s="402"/>
      <c r="J18" s="412"/>
      <c r="K18" s="411">
        <f t="shared" si="4"/>
        <v>1635000</v>
      </c>
      <c r="L18" s="1485">
        <f t="shared" si="5"/>
        <v>1675370</v>
      </c>
      <c r="M18" s="412">
        <f t="shared" si="5"/>
        <v>1675370</v>
      </c>
    </row>
    <row r="19" spans="1:13" s="25" customFormat="1" ht="15" customHeight="1">
      <c r="A19" s="142" t="s">
        <v>81</v>
      </c>
      <c r="B19" s="411">
        <v>100000</v>
      </c>
      <c r="C19" s="402">
        <v>100000</v>
      </c>
      <c r="D19" s="412">
        <v>100000</v>
      </c>
      <c r="E19" s="429"/>
      <c r="F19" s="402"/>
      <c r="G19" s="443"/>
      <c r="H19" s="411"/>
      <c r="I19" s="402"/>
      <c r="J19" s="412"/>
      <c r="K19" s="411">
        <f t="shared" si="4"/>
        <v>100000</v>
      </c>
      <c r="L19" s="1485">
        <f t="shared" si="5"/>
        <v>100000</v>
      </c>
      <c r="M19" s="412">
        <f t="shared" si="5"/>
        <v>100000</v>
      </c>
    </row>
    <row r="20" spans="1:13" s="25" customFormat="1" ht="15" customHeight="1">
      <c r="A20" s="142" t="s">
        <v>82</v>
      </c>
      <c r="B20" s="411">
        <v>45000</v>
      </c>
      <c r="C20" s="402">
        <v>45000</v>
      </c>
      <c r="D20" s="412">
        <v>45000</v>
      </c>
      <c r="E20" s="429"/>
      <c r="F20" s="402"/>
      <c r="G20" s="443"/>
      <c r="H20" s="411"/>
      <c r="I20" s="402"/>
      <c r="J20" s="412"/>
      <c r="K20" s="411">
        <f t="shared" si="4"/>
        <v>45000</v>
      </c>
      <c r="L20" s="1485">
        <f t="shared" si="5"/>
        <v>45000</v>
      </c>
      <c r="M20" s="412">
        <f t="shared" si="5"/>
        <v>45000</v>
      </c>
    </row>
    <row r="21" spans="1:13" s="25" customFormat="1" ht="15" customHeight="1">
      <c r="A21" s="144" t="s">
        <v>15</v>
      </c>
      <c r="B21" s="408">
        <v>4000</v>
      </c>
      <c r="C21" s="400">
        <v>4000</v>
      </c>
      <c r="D21" s="226">
        <v>4000</v>
      </c>
      <c r="E21" s="427"/>
      <c r="F21" s="400"/>
      <c r="G21" s="212"/>
      <c r="H21" s="408"/>
      <c r="I21" s="400"/>
      <c r="J21" s="226"/>
      <c r="K21" s="408">
        <f t="shared" si="4"/>
        <v>4000</v>
      </c>
      <c r="L21" s="842">
        <f t="shared" si="5"/>
        <v>4000</v>
      </c>
      <c r="M21" s="226">
        <f t="shared" si="5"/>
        <v>4000</v>
      </c>
    </row>
    <row r="22" spans="1:13" s="25" customFormat="1" ht="15" customHeight="1">
      <c r="A22" s="144" t="s">
        <v>411</v>
      </c>
      <c r="B22" s="408">
        <v>4000</v>
      </c>
      <c r="C22" s="400">
        <v>4000</v>
      </c>
      <c r="D22" s="226">
        <v>4000</v>
      </c>
      <c r="E22" s="427"/>
      <c r="F22" s="400"/>
      <c r="G22" s="212"/>
      <c r="H22" s="408"/>
      <c r="I22" s="400"/>
      <c r="J22" s="226"/>
      <c r="K22" s="408">
        <f t="shared" si="4"/>
        <v>4000</v>
      </c>
      <c r="L22" s="842">
        <f t="shared" si="5"/>
        <v>4000</v>
      </c>
      <c r="M22" s="226">
        <f t="shared" si="5"/>
        <v>4000</v>
      </c>
    </row>
    <row r="23" spans="1:13" s="25" customFormat="1" ht="15" customHeight="1">
      <c r="A23" s="144" t="s">
        <v>88</v>
      </c>
      <c r="B23" s="408">
        <v>2000</v>
      </c>
      <c r="C23" s="400">
        <v>2000</v>
      </c>
      <c r="D23" s="226">
        <v>2000</v>
      </c>
      <c r="E23" s="427"/>
      <c r="F23" s="400"/>
      <c r="G23" s="212"/>
      <c r="H23" s="408"/>
      <c r="I23" s="400"/>
      <c r="J23" s="226"/>
      <c r="K23" s="408">
        <f t="shared" si="4"/>
        <v>2000</v>
      </c>
      <c r="L23" s="842">
        <f t="shared" si="5"/>
        <v>2000</v>
      </c>
      <c r="M23" s="226">
        <f t="shared" si="5"/>
        <v>2000</v>
      </c>
    </row>
    <row r="24" spans="1:13" ht="15" customHeight="1">
      <c r="A24" s="139" t="s">
        <v>20</v>
      </c>
      <c r="B24" s="413">
        <f t="shared" ref="B24:J24" si="22">SUM(B25:B32)</f>
        <v>1941428</v>
      </c>
      <c r="C24" s="403">
        <f t="shared" ref="C24:D24" si="23">SUM(C25:C32)</f>
        <v>1973172</v>
      </c>
      <c r="D24" s="403">
        <f t="shared" si="23"/>
        <v>1973172</v>
      </c>
      <c r="E24" s="418">
        <f t="shared" si="22"/>
        <v>6410</v>
      </c>
      <c r="F24" s="403">
        <f t="shared" ref="F24" si="24">SUM(F25:F32)</f>
        <v>6410</v>
      </c>
      <c r="G24" s="444">
        <f t="shared" si="22"/>
        <v>8075</v>
      </c>
      <c r="H24" s="413">
        <f t="shared" si="22"/>
        <v>234898</v>
      </c>
      <c r="I24" s="403">
        <f t="shared" ref="I24" si="25">SUM(I25:I32)</f>
        <v>488898</v>
      </c>
      <c r="J24" s="414">
        <f t="shared" si="22"/>
        <v>607847</v>
      </c>
      <c r="K24" s="413">
        <f t="shared" si="4"/>
        <v>2182736</v>
      </c>
      <c r="L24" s="841">
        <f t="shared" si="5"/>
        <v>2468480</v>
      </c>
      <c r="M24" s="414">
        <f t="shared" si="5"/>
        <v>2589094</v>
      </c>
    </row>
    <row r="25" spans="1:13" ht="15" customHeight="1">
      <c r="A25" s="140" t="s">
        <v>22</v>
      </c>
      <c r="B25" s="408">
        <f>1464014</f>
        <v>1464014</v>
      </c>
      <c r="C25" s="400">
        <v>1489009</v>
      </c>
      <c r="D25" s="226">
        <v>1489009</v>
      </c>
      <c r="E25" s="427"/>
      <c r="F25" s="400"/>
      <c r="G25" s="212"/>
      <c r="H25" s="408">
        <v>2500</v>
      </c>
      <c r="I25" s="400">
        <v>2500</v>
      </c>
      <c r="J25" s="226">
        <v>4500</v>
      </c>
      <c r="K25" s="408">
        <f t="shared" si="4"/>
        <v>1466514</v>
      </c>
      <c r="L25" s="842">
        <f t="shared" si="5"/>
        <v>1491509</v>
      </c>
      <c r="M25" s="226">
        <f t="shared" si="5"/>
        <v>1493509</v>
      </c>
    </row>
    <row r="26" spans="1:13" ht="15" customHeight="1">
      <c r="A26" s="140" t="s">
        <v>83</v>
      </c>
      <c r="B26" s="408">
        <f>7874+1000</f>
        <v>8874</v>
      </c>
      <c r="C26" s="400">
        <v>8874</v>
      </c>
      <c r="D26" s="226">
        <v>8874</v>
      </c>
      <c r="E26" s="427">
        <f>4000+2000+270+140</f>
        <v>6410</v>
      </c>
      <c r="F26" s="400">
        <v>6410</v>
      </c>
      <c r="G26" s="212">
        <v>8075</v>
      </c>
      <c r="H26" s="408">
        <v>52217</v>
      </c>
      <c r="I26" s="400">
        <v>252217</v>
      </c>
      <c r="J26" s="226">
        <v>341771</v>
      </c>
      <c r="K26" s="408">
        <f t="shared" si="4"/>
        <v>67501</v>
      </c>
      <c r="L26" s="842">
        <f t="shared" si="5"/>
        <v>267501</v>
      </c>
      <c r="M26" s="226">
        <f t="shared" si="5"/>
        <v>358720</v>
      </c>
    </row>
    <row r="27" spans="1:13" ht="15" customHeight="1">
      <c r="A27" s="140" t="s">
        <v>26</v>
      </c>
      <c r="B27" s="408">
        <f>100+25984</f>
        <v>26084</v>
      </c>
      <c r="C27" s="400">
        <v>26084</v>
      </c>
      <c r="D27" s="226">
        <v>26084</v>
      </c>
      <c r="E27" s="427"/>
      <c r="F27" s="400"/>
      <c r="G27" s="212"/>
      <c r="H27" s="408">
        <v>3008</v>
      </c>
      <c r="I27" s="400">
        <v>3008</v>
      </c>
      <c r="J27" s="226">
        <v>3008</v>
      </c>
      <c r="K27" s="408">
        <f t="shared" si="4"/>
        <v>29092</v>
      </c>
      <c r="L27" s="842">
        <f t="shared" si="5"/>
        <v>29092</v>
      </c>
      <c r="M27" s="226">
        <f t="shared" si="5"/>
        <v>29092</v>
      </c>
    </row>
    <row r="28" spans="1:13" ht="15" customHeight="1">
      <c r="A28" s="140" t="s">
        <v>84</v>
      </c>
      <c r="B28" s="408">
        <f>20830+60950</f>
        <v>81780</v>
      </c>
      <c r="C28" s="400">
        <v>81780</v>
      </c>
      <c r="D28" s="226">
        <v>81780</v>
      </c>
      <c r="E28" s="427"/>
      <c r="F28" s="400"/>
      <c r="G28" s="212"/>
      <c r="H28" s="408"/>
      <c r="I28" s="400"/>
      <c r="J28" s="226"/>
      <c r="K28" s="408">
        <f t="shared" si="4"/>
        <v>81780</v>
      </c>
      <c r="L28" s="842">
        <f t="shared" si="5"/>
        <v>81780</v>
      </c>
      <c r="M28" s="226">
        <f t="shared" si="5"/>
        <v>81780</v>
      </c>
    </row>
    <row r="29" spans="1:13" ht="15" customHeight="1">
      <c r="A29" s="140" t="s">
        <v>30</v>
      </c>
      <c r="B29" s="408"/>
      <c r="C29" s="400"/>
      <c r="D29" s="226"/>
      <c r="E29" s="427"/>
      <c r="F29" s="400"/>
      <c r="G29" s="212"/>
      <c r="H29" s="408">
        <v>114014</v>
      </c>
      <c r="I29" s="400">
        <v>114014</v>
      </c>
      <c r="J29" s="226">
        <v>117014</v>
      </c>
      <c r="K29" s="408">
        <f t="shared" si="4"/>
        <v>114014</v>
      </c>
      <c r="L29" s="842">
        <f t="shared" si="5"/>
        <v>114014</v>
      </c>
      <c r="M29" s="226">
        <f t="shared" si="5"/>
        <v>117014</v>
      </c>
    </row>
    <row r="30" spans="1:13" ht="15" customHeight="1">
      <c r="A30" s="145" t="s">
        <v>31</v>
      </c>
      <c r="B30" s="408">
        <f>594+7016+2126+350143+527+270</f>
        <v>360676</v>
      </c>
      <c r="C30" s="400">
        <v>367425</v>
      </c>
      <c r="D30" s="226">
        <v>367425</v>
      </c>
      <c r="E30" s="427"/>
      <c r="F30" s="400"/>
      <c r="G30" s="212"/>
      <c r="H30" s="408">
        <v>63159</v>
      </c>
      <c r="I30" s="400">
        <v>117159</v>
      </c>
      <c r="J30" s="226">
        <v>141554</v>
      </c>
      <c r="K30" s="408">
        <f t="shared" si="4"/>
        <v>423835</v>
      </c>
      <c r="L30" s="842">
        <f t="shared" si="5"/>
        <v>484584</v>
      </c>
      <c r="M30" s="226">
        <f t="shared" si="5"/>
        <v>508979</v>
      </c>
    </row>
    <row r="31" spans="1:13" s="24" customFormat="1" ht="15" customHeight="1">
      <c r="A31" s="140" t="s">
        <v>412</v>
      </c>
      <c r="B31" s="408"/>
      <c r="C31" s="400"/>
      <c r="D31" s="226"/>
      <c r="E31" s="427"/>
      <c r="F31" s="400"/>
      <c r="G31" s="212"/>
      <c r="H31" s="408"/>
      <c r="I31" s="400"/>
      <c r="J31" s="226"/>
      <c r="K31" s="408">
        <f t="shared" si="4"/>
        <v>0</v>
      </c>
      <c r="L31" s="842">
        <f t="shared" si="5"/>
        <v>0</v>
      </c>
      <c r="M31" s="226">
        <f t="shared" si="5"/>
        <v>0</v>
      </c>
    </row>
    <row r="32" spans="1:13" s="24" customFormat="1" ht="15" customHeight="1">
      <c r="A32" s="140" t="s">
        <v>33</v>
      </c>
      <c r="B32" s="408"/>
      <c r="C32" s="400"/>
      <c r="D32" s="226"/>
      <c r="E32" s="427"/>
      <c r="F32" s="400"/>
      <c r="G32" s="212"/>
      <c r="H32" s="408"/>
      <c r="I32" s="400"/>
      <c r="J32" s="226"/>
      <c r="K32" s="408">
        <f t="shared" si="4"/>
        <v>0</v>
      </c>
      <c r="L32" s="842">
        <f t="shared" si="5"/>
        <v>0</v>
      </c>
      <c r="M32" s="226">
        <f t="shared" si="5"/>
        <v>0</v>
      </c>
    </row>
    <row r="33" spans="1:15" ht="15" customHeight="1">
      <c r="A33" s="141" t="s">
        <v>35</v>
      </c>
      <c r="B33" s="413">
        <f t="shared" ref="B33:J33" si="26">SUM(B34:B35)</f>
        <v>3200</v>
      </c>
      <c r="C33" s="403">
        <f t="shared" ref="C33" si="27">SUM(C34:C35)</f>
        <v>3200</v>
      </c>
      <c r="D33" s="414">
        <f t="shared" si="26"/>
        <v>3200</v>
      </c>
      <c r="E33" s="418">
        <f t="shared" si="26"/>
        <v>0</v>
      </c>
      <c r="F33" s="403">
        <f t="shared" ref="F33" si="28">SUM(F34:F35)</f>
        <v>0</v>
      </c>
      <c r="G33" s="444">
        <f t="shared" si="26"/>
        <v>0</v>
      </c>
      <c r="H33" s="413">
        <f t="shared" si="26"/>
        <v>0</v>
      </c>
      <c r="I33" s="403">
        <f t="shared" ref="I33" si="29">SUM(I34:I35)</f>
        <v>0</v>
      </c>
      <c r="J33" s="414">
        <f t="shared" si="26"/>
        <v>79</v>
      </c>
      <c r="K33" s="413">
        <f t="shared" si="4"/>
        <v>3200</v>
      </c>
      <c r="L33" s="841">
        <f t="shared" si="5"/>
        <v>3200</v>
      </c>
      <c r="M33" s="414">
        <f t="shared" si="5"/>
        <v>3279</v>
      </c>
    </row>
    <row r="34" spans="1:15" s="24" customFormat="1" ht="15" customHeight="1">
      <c r="A34" s="140" t="s">
        <v>36</v>
      </c>
      <c r="B34" s="408">
        <f>1000</f>
        <v>1000</v>
      </c>
      <c r="C34" s="400">
        <v>1000</v>
      </c>
      <c r="D34" s="226">
        <v>1000</v>
      </c>
      <c r="E34" s="427"/>
      <c r="F34" s="400"/>
      <c r="G34" s="212"/>
      <c r="H34" s="408"/>
      <c r="I34" s="400"/>
      <c r="J34" s="226"/>
      <c r="K34" s="408">
        <f t="shared" si="4"/>
        <v>1000</v>
      </c>
      <c r="L34" s="842">
        <f t="shared" si="5"/>
        <v>1000</v>
      </c>
      <c r="M34" s="226">
        <f t="shared" si="5"/>
        <v>1000</v>
      </c>
    </row>
    <row r="35" spans="1:15" s="24" customFormat="1" ht="15" customHeight="1">
      <c r="A35" s="140" t="s">
        <v>413</v>
      </c>
      <c r="B35" s="408">
        <f>2200</f>
        <v>2200</v>
      </c>
      <c r="C35" s="400">
        <v>2200</v>
      </c>
      <c r="D35" s="226">
        <v>2200</v>
      </c>
      <c r="E35" s="427"/>
      <c r="F35" s="400"/>
      <c r="G35" s="212"/>
      <c r="H35" s="408"/>
      <c r="I35" s="400"/>
      <c r="J35" s="226">
        <v>79</v>
      </c>
      <c r="K35" s="408">
        <f t="shared" si="4"/>
        <v>2200</v>
      </c>
      <c r="L35" s="842">
        <f t="shared" si="5"/>
        <v>2200</v>
      </c>
      <c r="M35" s="226">
        <f t="shared" si="5"/>
        <v>2279</v>
      </c>
    </row>
    <row r="36" spans="1:15" s="24" customFormat="1" ht="15" customHeight="1">
      <c r="A36" s="141" t="s">
        <v>38</v>
      </c>
      <c r="B36" s="413">
        <f t="shared" ref="B36:J36" si="30">SUM(B37:B38)</f>
        <v>65367</v>
      </c>
      <c r="C36" s="403">
        <f t="shared" ref="C36" si="31">SUM(C37:C38)</f>
        <v>74367</v>
      </c>
      <c r="D36" s="414">
        <f t="shared" si="30"/>
        <v>67960</v>
      </c>
      <c r="E36" s="418">
        <f t="shared" si="30"/>
        <v>0</v>
      </c>
      <c r="F36" s="403">
        <f t="shared" ref="F36" si="32">SUM(F37:F38)</f>
        <v>0</v>
      </c>
      <c r="G36" s="444">
        <f t="shared" si="30"/>
        <v>0</v>
      </c>
      <c r="H36" s="413">
        <f t="shared" si="30"/>
        <v>0</v>
      </c>
      <c r="I36" s="403">
        <f t="shared" ref="I36" si="33">SUM(I37:I38)</f>
        <v>0</v>
      </c>
      <c r="J36" s="414">
        <f t="shared" si="30"/>
        <v>0</v>
      </c>
      <c r="K36" s="413">
        <f t="shared" si="4"/>
        <v>65367</v>
      </c>
      <c r="L36" s="841">
        <f t="shared" si="5"/>
        <v>74367</v>
      </c>
      <c r="M36" s="414">
        <f t="shared" si="5"/>
        <v>67960</v>
      </c>
    </row>
    <row r="37" spans="1:15" s="24" customFormat="1" ht="15" customHeight="1">
      <c r="A37" s="140" t="s">
        <v>85</v>
      </c>
      <c r="B37" s="408">
        <f>'11. melléklet'!B33</f>
        <v>55000</v>
      </c>
      <c r="C37" s="400">
        <f>'11. melléklet'!C33</f>
        <v>55000</v>
      </c>
      <c r="D37" s="226">
        <f>'11. melléklet'!D33</f>
        <v>55000</v>
      </c>
      <c r="E37" s="427"/>
      <c r="F37" s="400"/>
      <c r="G37" s="212"/>
      <c r="H37" s="408"/>
      <c r="I37" s="400"/>
      <c r="J37" s="226"/>
      <c r="K37" s="408">
        <f t="shared" si="4"/>
        <v>55000</v>
      </c>
      <c r="L37" s="842">
        <f t="shared" si="5"/>
        <v>55000</v>
      </c>
      <c r="M37" s="226">
        <f t="shared" si="5"/>
        <v>55000</v>
      </c>
    </row>
    <row r="38" spans="1:15" s="24" customFormat="1" ht="15" customHeight="1">
      <c r="A38" s="140" t="s">
        <v>8</v>
      </c>
      <c r="B38" s="408">
        <f>'11. melléklet'!B21</f>
        <v>10367</v>
      </c>
      <c r="C38" s="400">
        <f>'11. melléklet'!C21</f>
        <v>19367</v>
      </c>
      <c r="D38" s="226">
        <f>'11. melléklet'!D21</f>
        <v>12960</v>
      </c>
      <c r="E38" s="427"/>
      <c r="F38" s="400"/>
      <c r="G38" s="212"/>
      <c r="H38" s="408"/>
      <c r="I38" s="400"/>
      <c r="J38" s="226"/>
      <c r="K38" s="408">
        <f t="shared" si="4"/>
        <v>10367</v>
      </c>
      <c r="L38" s="842">
        <f t="shared" si="5"/>
        <v>19367</v>
      </c>
      <c r="M38" s="226">
        <f t="shared" si="5"/>
        <v>12960</v>
      </c>
    </row>
    <row r="39" spans="1:15" ht="15" customHeight="1">
      <c r="A39" s="146" t="s">
        <v>43</v>
      </c>
      <c r="B39" s="413">
        <f t="shared" ref="B39:J39" si="34">SUM(B40:B41)</f>
        <v>253377</v>
      </c>
      <c r="C39" s="403">
        <f t="shared" ref="C39" si="35">SUM(C40:C41)</f>
        <v>256377</v>
      </c>
      <c r="D39" s="414">
        <f t="shared" si="34"/>
        <v>163021</v>
      </c>
      <c r="E39" s="418">
        <f t="shared" si="34"/>
        <v>250</v>
      </c>
      <c r="F39" s="403">
        <f t="shared" ref="F39" si="36">SUM(F40:F41)</f>
        <v>250</v>
      </c>
      <c r="G39" s="444">
        <f t="shared" si="34"/>
        <v>250</v>
      </c>
      <c r="H39" s="413">
        <f t="shared" si="34"/>
        <v>0</v>
      </c>
      <c r="I39" s="403">
        <f t="shared" ref="I39" si="37">SUM(I40:I41)</f>
        <v>0</v>
      </c>
      <c r="J39" s="414">
        <f t="shared" si="34"/>
        <v>0</v>
      </c>
      <c r="K39" s="413">
        <f t="shared" si="4"/>
        <v>253627</v>
      </c>
      <c r="L39" s="841">
        <f t="shared" si="5"/>
        <v>256627</v>
      </c>
      <c r="M39" s="414">
        <f t="shared" si="5"/>
        <v>163271</v>
      </c>
    </row>
    <row r="40" spans="1:15" ht="15" customHeight="1">
      <c r="A40" s="147" t="s">
        <v>85</v>
      </c>
      <c r="B40" s="408">
        <f>'11. melléklet'!B53</f>
        <v>346</v>
      </c>
      <c r="C40" s="400">
        <f>'11. melléklet'!C53</f>
        <v>346</v>
      </c>
      <c r="D40" s="226">
        <f>'11. melléklet'!D53</f>
        <v>346</v>
      </c>
      <c r="E40" s="427">
        <f>'11. melléklet'!B66</f>
        <v>250</v>
      </c>
      <c r="F40" s="400">
        <f>'11. melléklet'!C66</f>
        <v>250</v>
      </c>
      <c r="G40" s="212">
        <f>'11. melléklet'!D66</f>
        <v>250</v>
      </c>
      <c r="H40" s="408"/>
      <c r="I40" s="400"/>
      <c r="J40" s="226"/>
      <c r="K40" s="408">
        <f t="shared" si="4"/>
        <v>596</v>
      </c>
      <c r="L40" s="842">
        <f t="shared" si="5"/>
        <v>596</v>
      </c>
      <c r="M40" s="226">
        <f t="shared" si="5"/>
        <v>596</v>
      </c>
    </row>
    <row r="41" spans="1:15" s="25" customFormat="1" ht="15" customHeight="1" thickBot="1">
      <c r="A41" s="148" t="s">
        <v>8</v>
      </c>
      <c r="B41" s="433">
        <f>'11. melléklet'!B44</f>
        <v>253031</v>
      </c>
      <c r="C41" s="419">
        <f>'11. melléklet'!C44</f>
        <v>256031</v>
      </c>
      <c r="D41" s="434">
        <f>'11. melléklet'!D44</f>
        <v>162675</v>
      </c>
      <c r="E41" s="430"/>
      <c r="F41" s="419"/>
      <c r="G41" s="445"/>
      <c r="H41" s="433"/>
      <c r="I41" s="419"/>
      <c r="J41" s="434"/>
      <c r="K41" s="852">
        <f t="shared" si="4"/>
        <v>253031</v>
      </c>
      <c r="L41" s="853">
        <f t="shared" si="5"/>
        <v>256031</v>
      </c>
      <c r="M41" s="1486">
        <f t="shared" si="5"/>
        <v>162675</v>
      </c>
    </row>
    <row r="42" spans="1:15" s="24" customFormat="1" ht="15" customHeight="1" thickBot="1">
      <c r="A42" s="27" t="s">
        <v>52</v>
      </c>
      <c r="B42" s="102">
        <f t="shared" ref="B42:J42" si="38">B5+B8+B11+B13+B24+B33+B36+B39</f>
        <v>6573794</v>
      </c>
      <c r="C42" s="94">
        <f t="shared" ref="C42" si="39">C5+C8+C11+C13+C24+C33+C36+C39</f>
        <v>6968130</v>
      </c>
      <c r="D42" s="95">
        <f t="shared" si="38"/>
        <v>6866473</v>
      </c>
      <c r="E42" s="431">
        <f t="shared" si="38"/>
        <v>51058</v>
      </c>
      <c r="F42" s="94">
        <f t="shared" ref="F42" si="40">F5+F8+F11+F13+F24+F33+F36+F39</f>
        <v>51058</v>
      </c>
      <c r="G42" s="446">
        <f t="shared" si="38"/>
        <v>61027</v>
      </c>
      <c r="H42" s="102">
        <f t="shared" si="38"/>
        <v>306125</v>
      </c>
      <c r="I42" s="94">
        <f t="shared" ref="I42" si="41">I5+I8+I11+I13+I24+I33+I36+I39</f>
        <v>561125</v>
      </c>
      <c r="J42" s="95">
        <f t="shared" si="38"/>
        <v>701863</v>
      </c>
      <c r="K42" s="102">
        <f t="shared" si="4"/>
        <v>6930977</v>
      </c>
      <c r="L42" s="94">
        <f t="shared" si="5"/>
        <v>7580313</v>
      </c>
      <c r="M42" s="95">
        <f t="shared" si="5"/>
        <v>7629363</v>
      </c>
    </row>
    <row r="43" spans="1:15" s="24" customFormat="1" ht="15" customHeight="1">
      <c r="A43" s="149" t="s">
        <v>855</v>
      </c>
      <c r="B43" s="435">
        <f>'13. melléklet 3'!B19</f>
        <v>543251</v>
      </c>
      <c r="C43" s="420">
        <f>'13. melléklet 3'!C19</f>
        <v>543251</v>
      </c>
      <c r="D43" s="436">
        <f>'13. melléklet 3'!D19</f>
        <v>543251</v>
      </c>
      <c r="E43" s="422"/>
      <c r="F43" s="420"/>
      <c r="G43" s="447"/>
      <c r="H43" s="435"/>
      <c r="I43" s="420"/>
      <c r="J43" s="436"/>
      <c r="K43" s="435">
        <f t="shared" si="4"/>
        <v>543251</v>
      </c>
      <c r="L43" s="420">
        <f t="shared" si="5"/>
        <v>543251</v>
      </c>
      <c r="M43" s="436">
        <f t="shared" si="5"/>
        <v>543251</v>
      </c>
    </row>
    <row r="44" spans="1:15" s="24" customFormat="1" ht="15" customHeight="1">
      <c r="A44" s="149" t="s">
        <v>89</v>
      </c>
      <c r="B44" s="413">
        <v>1000000</v>
      </c>
      <c r="C44" s="403">
        <v>1000000</v>
      </c>
      <c r="D44" s="414">
        <v>1000000</v>
      </c>
      <c r="E44" s="418"/>
      <c r="F44" s="403"/>
      <c r="G44" s="444"/>
      <c r="H44" s="413"/>
      <c r="I44" s="403"/>
      <c r="J44" s="414"/>
      <c r="K44" s="413">
        <f t="shared" si="4"/>
        <v>1000000</v>
      </c>
      <c r="L44" s="841">
        <f t="shared" si="5"/>
        <v>1000000</v>
      </c>
      <c r="M44" s="414">
        <f t="shared" si="5"/>
        <v>1000000</v>
      </c>
    </row>
    <row r="45" spans="1:15" s="24" customFormat="1" ht="15" customHeight="1">
      <c r="A45" s="150" t="s">
        <v>86</v>
      </c>
      <c r="B45" s="413">
        <v>40000</v>
      </c>
      <c r="C45" s="403">
        <v>44000</v>
      </c>
      <c r="D45" s="414">
        <v>49200</v>
      </c>
      <c r="E45" s="418"/>
      <c r="F45" s="403"/>
      <c r="G45" s="444"/>
      <c r="H45" s="413"/>
      <c r="I45" s="403"/>
      <c r="J45" s="414"/>
      <c r="K45" s="413">
        <f t="shared" si="4"/>
        <v>40000</v>
      </c>
      <c r="L45" s="841">
        <f t="shared" si="5"/>
        <v>44000</v>
      </c>
      <c r="M45" s="414">
        <f t="shared" si="5"/>
        <v>49200</v>
      </c>
    </row>
    <row r="46" spans="1:15" s="24" customFormat="1" ht="15" customHeight="1">
      <c r="A46" s="146" t="s">
        <v>409</v>
      </c>
      <c r="B46" s="413">
        <v>2338615</v>
      </c>
      <c r="C46" s="403">
        <v>2398629</v>
      </c>
      <c r="D46" s="414">
        <v>2407691</v>
      </c>
      <c r="E46" s="418">
        <v>99275</v>
      </c>
      <c r="F46" s="403">
        <v>99275</v>
      </c>
      <c r="G46" s="444">
        <v>63628</v>
      </c>
      <c r="H46" s="413">
        <v>20000</v>
      </c>
      <c r="I46" s="403">
        <v>20000</v>
      </c>
      <c r="J46" s="414">
        <v>18821</v>
      </c>
      <c r="K46" s="413">
        <f t="shared" si="4"/>
        <v>2457890</v>
      </c>
      <c r="L46" s="841">
        <f t="shared" si="5"/>
        <v>2517904</v>
      </c>
      <c r="M46" s="414">
        <f t="shared" si="5"/>
        <v>2490140</v>
      </c>
    </row>
    <row r="47" spans="1:15" s="24" customFormat="1" ht="15" customHeight="1" thickBot="1">
      <c r="A47" s="151" t="s">
        <v>57</v>
      </c>
      <c r="B47" s="437"/>
      <c r="C47" s="421"/>
      <c r="D47" s="438"/>
      <c r="E47" s="432">
        <v>868498</v>
      </c>
      <c r="F47" s="421">
        <v>868560</v>
      </c>
      <c r="G47" s="448">
        <v>868574</v>
      </c>
      <c r="H47" s="437">
        <v>1446039</v>
      </c>
      <c r="I47" s="421">
        <v>1407531</v>
      </c>
      <c r="J47" s="438">
        <v>1418893</v>
      </c>
      <c r="K47" s="1487">
        <f t="shared" si="4"/>
        <v>2314537</v>
      </c>
      <c r="L47" s="1488">
        <f t="shared" si="5"/>
        <v>2276091</v>
      </c>
      <c r="M47" s="1489">
        <f t="shared" si="5"/>
        <v>2287467</v>
      </c>
      <c r="N47" s="98"/>
      <c r="O47" s="98"/>
    </row>
    <row r="48" spans="1:15" s="24" customFormat="1" ht="15" customHeight="1" thickBot="1">
      <c r="A48" s="29" t="s">
        <v>51</v>
      </c>
      <c r="B48" s="102">
        <f t="shared" ref="B48:J48" si="42">SUM(B43:B47)</f>
        <v>3921866</v>
      </c>
      <c r="C48" s="94">
        <f t="shared" ref="C48" si="43">SUM(C43:C47)</f>
        <v>3985880</v>
      </c>
      <c r="D48" s="95">
        <f t="shared" si="42"/>
        <v>4000142</v>
      </c>
      <c r="E48" s="431">
        <f t="shared" si="42"/>
        <v>967773</v>
      </c>
      <c r="F48" s="94">
        <f t="shared" ref="F48" si="44">SUM(F43:F47)</f>
        <v>967835</v>
      </c>
      <c r="G48" s="446">
        <f t="shared" si="42"/>
        <v>932202</v>
      </c>
      <c r="H48" s="102">
        <f t="shared" si="42"/>
        <v>1466039</v>
      </c>
      <c r="I48" s="94">
        <f t="shared" ref="I48" si="45">SUM(I43:I47)</f>
        <v>1427531</v>
      </c>
      <c r="J48" s="95">
        <f t="shared" si="42"/>
        <v>1437714</v>
      </c>
      <c r="K48" s="102">
        <f t="shared" si="4"/>
        <v>6355678</v>
      </c>
      <c r="L48" s="94">
        <f t="shared" si="5"/>
        <v>6381246</v>
      </c>
      <c r="M48" s="95">
        <f t="shared" si="5"/>
        <v>6370058</v>
      </c>
    </row>
    <row r="49" spans="1:13" s="24" customFormat="1" ht="15" customHeight="1" thickBot="1">
      <c r="A49" s="28" t="s">
        <v>49</v>
      </c>
      <c r="B49" s="102">
        <f t="shared" ref="B49:J49" si="46">B42+B48</f>
        <v>10495660</v>
      </c>
      <c r="C49" s="94">
        <f t="shared" ref="C49" si="47">C42+C48</f>
        <v>10954010</v>
      </c>
      <c r="D49" s="95">
        <f t="shared" si="46"/>
        <v>10866615</v>
      </c>
      <c r="E49" s="431">
        <f t="shared" si="46"/>
        <v>1018831</v>
      </c>
      <c r="F49" s="94">
        <f t="shared" ref="F49" si="48">F42+F48</f>
        <v>1018893</v>
      </c>
      <c r="G49" s="446">
        <f t="shared" si="46"/>
        <v>993229</v>
      </c>
      <c r="H49" s="102">
        <f t="shared" si="46"/>
        <v>1772164</v>
      </c>
      <c r="I49" s="94">
        <f t="shared" ref="I49" si="49">I42+I48</f>
        <v>1988656</v>
      </c>
      <c r="J49" s="95">
        <f t="shared" si="46"/>
        <v>2139577</v>
      </c>
      <c r="K49" s="102">
        <f t="shared" si="4"/>
        <v>13286655</v>
      </c>
      <c r="L49" s="94">
        <f t="shared" si="5"/>
        <v>13961559</v>
      </c>
      <c r="M49" s="95">
        <f t="shared" si="5"/>
        <v>13999421</v>
      </c>
    </row>
    <row r="50" spans="1:13" s="24" customFormat="1" ht="15" customHeight="1">
      <c r="A50" s="209"/>
      <c r="B50" s="98"/>
      <c r="C50" s="98"/>
      <c r="D50" s="98"/>
      <c r="E50" s="98"/>
      <c r="F50" s="98"/>
      <c r="G50" s="98"/>
      <c r="H50" s="98"/>
      <c r="I50" s="98"/>
      <c r="J50" s="98"/>
      <c r="K50" s="98"/>
      <c r="L50" s="98"/>
      <c r="M50" s="98"/>
    </row>
    <row r="51" spans="1:13">
      <c r="A51" s="208"/>
    </row>
    <row r="52" spans="1:13">
      <c r="A52" s="208"/>
    </row>
    <row r="53" spans="1:13">
      <c r="E53" s="26"/>
      <c r="F53" s="26"/>
      <c r="G53" s="26"/>
      <c r="K53" s="26"/>
      <c r="L53" s="26"/>
      <c r="M53" s="26"/>
    </row>
    <row r="55" spans="1:13">
      <c r="K55" s="26"/>
      <c r="L55" s="26"/>
      <c r="M55" s="26"/>
    </row>
    <row r="58" spans="1:13">
      <c r="H58" s="26"/>
      <c r="I58" s="26"/>
      <c r="J58" s="26"/>
    </row>
    <row r="66" spans="8:13">
      <c r="H66" s="26"/>
      <c r="I66" s="26"/>
      <c r="J66" s="26"/>
      <c r="K66" s="26"/>
      <c r="L66" s="26"/>
      <c r="M66" s="26"/>
    </row>
  </sheetData>
  <mergeCells count="6">
    <mergeCell ref="A1:M1"/>
    <mergeCell ref="A3:A4"/>
    <mergeCell ref="B3:D3"/>
    <mergeCell ref="E3:G3"/>
    <mergeCell ref="H3:J3"/>
    <mergeCell ref="K3:M3"/>
  </mergeCell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oddHeader>&amp;L&amp;"Times New Roman,Normál"3. melléklet 1, 2, 3</oddHeader>
    <oddFooter>&amp;L1. Mód.: 3/2019 (II.27.) önk. rend. 2.§. Hat.: 2019.03.01. napjától
2. Mód.: 9/2019 (IV.24.) önk. rend. 2.§ Hat.: 2019.04.25. napjától
3. Mód.: 18/2019 (IX.11.) önk. rend. 2.§ Hat.:2019.09.12. napjától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Layout" topLeftCell="C46" zoomScale="80" zoomScaleNormal="100" zoomScalePageLayoutView="80" workbookViewId="0">
      <selection activeCell="F19" sqref="F19"/>
    </sheetView>
  </sheetViews>
  <sheetFormatPr defaultRowHeight="25.5" customHeight="1"/>
  <cols>
    <col min="1" max="2" width="0" style="2" hidden="1" customWidth="1"/>
    <col min="3" max="3" width="62.7109375" style="2" customWidth="1"/>
    <col min="4" max="15" width="18.28515625" style="2" customWidth="1"/>
    <col min="16" max="16" width="11.140625" style="2" bestFit="1" customWidth="1"/>
    <col min="17" max="16384" width="9.140625" style="2"/>
  </cols>
  <sheetData>
    <row r="1" spans="1:16" ht="30" customHeight="1">
      <c r="C1" s="1703" t="s">
        <v>430</v>
      </c>
      <c r="D1" s="1703"/>
      <c r="E1" s="1703"/>
      <c r="F1" s="1703"/>
      <c r="G1" s="1703"/>
      <c r="H1" s="1703"/>
      <c r="I1" s="1703"/>
      <c r="J1" s="1703"/>
      <c r="K1" s="1703"/>
      <c r="L1" s="1703"/>
      <c r="M1" s="1703"/>
      <c r="N1" s="1703"/>
      <c r="O1" s="1703"/>
    </row>
    <row r="2" spans="1:16" ht="15">
      <c r="C2" s="1703" t="s">
        <v>705</v>
      </c>
      <c r="D2" s="1703"/>
      <c r="E2" s="1703"/>
      <c r="F2" s="1703"/>
      <c r="G2" s="1703"/>
      <c r="H2" s="1703"/>
      <c r="I2" s="1703"/>
      <c r="J2" s="1703"/>
      <c r="K2" s="1703"/>
      <c r="L2" s="1703"/>
      <c r="M2" s="1703"/>
      <c r="N2" s="1703"/>
      <c r="O2" s="1703"/>
    </row>
    <row r="3" spans="1:16" ht="15.75" thickBot="1">
      <c r="C3" s="32"/>
      <c r="D3" s="32"/>
      <c r="E3" s="271"/>
      <c r="F3" s="32"/>
      <c r="G3" s="32"/>
      <c r="H3" s="271"/>
      <c r="I3" s="32"/>
      <c r="J3" s="32"/>
      <c r="K3" s="32"/>
      <c r="L3" s="32"/>
    </row>
    <row r="4" spans="1:16" ht="39.75" customHeight="1" thickBot="1">
      <c r="A4" s="33"/>
      <c r="C4" s="1725" t="s">
        <v>91</v>
      </c>
      <c r="D4" s="1727" t="s">
        <v>70</v>
      </c>
      <c r="E4" s="1728"/>
      <c r="F4" s="1729"/>
      <c r="G4" s="1730" t="s">
        <v>406</v>
      </c>
      <c r="H4" s="1731"/>
      <c r="I4" s="1731"/>
      <c r="J4" s="1732" t="s">
        <v>87</v>
      </c>
      <c r="K4" s="1731"/>
      <c r="L4" s="1733"/>
      <c r="M4" s="1727" t="s">
        <v>72</v>
      </c>
      <c r="N4" s="1728"/>
      <c r="O4" s="1729"/>
    </row>
    <row r="5" spans="1:16" ht="15.75" thickBot="1">
      <c r="A5" s="4"/>
      <c r="B5" s="34"/>
      <c r="C5" s="1726"/>
      <c r="D5" s="456" t="s">
        <v>3</v>
      </c>
      <c r="E5" s="457" t="s">
        <v>882</v>
      </c>
      <c r="F5" s="1259" t="s">
        <v>981</v>
      </c>
      <c r="G5" s="466" t="s">
        <v>3</v>
      </c>
      <c r="H5" s="457" t="s">
        <v>883</v>
      </c>
      <c r="I5" s="1260" t="s">
        <v>981</v>
      </c>
      <c r="J5" s="456" t="s">
        <v>3</v>
      </c>
      <c r="K5" s="457" t="s">
        <v>883</v>
      </c>
      <c r="L5" s="1259" t="s">
        <v>981</v>
      </c>
      <c r="M5" s="456" t="s">
        <v>3</v>
      </c>
      <c r="N5" s="457" t="s">
        <v>883</v>
      </c>
      <c r="O5" s="1259" t="s">
        <v>981</v>
      </c>
    </row>
    <row r="6" spans="1:16" s="30" customFormat="1" ht="15" customHeight="1">
      <c r="A6" s="35"/>
      <c r="C6" s="126" t="s">
        <v>6</v>
      </c>
      <c r="D6" s="476">
        <v>268614</v>
      </c>
      <c r="E6" s="455">
        <v>269821</v>
      </c>
      <c r="F6" s="477">
        <v>257427</v>
      </c>
      <c r="G6" s="467">
        <v>662585</v>
      </c>
      <c r="H6" s="455">
        <v>662637</v>
      </c>
      <c r="I6" s="455">
        <v>665999</v>
      </c>
      <c r="J6" s="476">
        <v>802674</v>
      </c>
      <c r="K6" s="455">
        <v>835829</v>
      </c>
      <c r="L6" s="477">
        <v>863153</v>
      </c>
      <c r="M6" s="493">
        <f t="shared" ref="M6:M33" si="0">D6+G6+J6</f>
        <v>1733873</v>
      </c>
      <c r="N6" s="279">
        <f t="shared" ref="N6:O33" si="1">E6+H6+K6</f>
        <v>1768287</v>
      </c>
      <c r="O6" s="303">
        <f t="shared" si="1"/>
        <v>1786579</v>
      </c>
    </row>
    <row r="7" spans="1:16" s="30" customFormat="1" ht="15" customHeight="1">
      <c r="A7" s="35"/>
      <c r="C7" s="127" t="s">
        <v>92</v>
      </c>
      <c r="D7" s="478">
        <v>54810</v>
      </c>
      <c r="E7" s="449">
        <v>55302</v>
      </c>
      <c r="F7" s="479">
        <v>55338</v>
      </c>
      <c r="G7" s="458">
        <v>133383</v>
      </c>
      <c r="H7" s="449">
        <v>133393</v>
      </c>
      <c r="I7" s="449">
        <v>134300</v>
      </c>
      <c r="J7" s="478">
        <v>156228</v>
      </c>
      <c r="K7" s="449">
        <v>162116</v>
      </c>
      <c r="L7" s="479">
        <v>167213</v>
      </c>
      <c r="M7" s="494">
        <f t="shared" si="0"/>
        <v>344421</v>
      </c>
      <c r="N7" s="276">
        <f t="shared" si="1"/>
        <v>350811</v>
      </c>
      <c r="O7" s="305">
        <f t="shared" si="1"/>
        <v>356851</v>
      </c>
    </row>
    <row r="8" spans="1:16" s="30" customFormat="1" ht="15" customHeight="1">
      <c r="A8" s="35"/>
      <c r="C8" s="128" t="s">
        <v>12</v>
      </c>
      <c r="D8" s="480">
        <v>1449590</v>
      </c>
      <c r="E8" s="450">
        <v>1460583</v>
      </c>
      <c r="F8" s="481">
        <v>1458973</v>
      </c>
      <c r="G8" s="468">
        <v>202399</v>
      </c>
      <c r="H8" s="450">
        <v>202397</v>
      </c>
      <c r="I8" s="450">
        <v>172464</v>
      </c>
      <c r="J8" s="480">
        <v>673706</v>
      </c>
      <c r="K8" s="450">
        <v>835674</v>
      </c>
      <c r="L8" s="481">
        <v>950447</v>
      </c>
      <c r="M8" s="494">
        <f t="shared" si="0"/>
        <v>2325695</v>
      </c>
      <c r="N8" s="276">
        <f t="shared" si="1"/>
        <v>2498654</v>
      </c>
      <c r="O8" s="305">
        <f t="shared" si="1"/>
        <v>2581884</v>
      </c>
      <c r="P8" s="36"/>
    </row>
    <row r="9" spans="1:16" s="30" customFormat="1" ht="15" customHeight="1">
      <c r="A9" s="35"/>
      <c r="C9" s="129" t="s">
        <v>14</v>
      </c>
      <c r="D9" s="480">
        <f>'9. melléklet'!B20</f>
        <v>64850</v>
      </c>
      <c r="E9" s="450">
        <f>'9. melléklet'!C20</f>
        <v>64550</v>
      </c>
      <c r="F9" s="481">
        <f>'9. melléklet'!D20</f>
        <v>65113</v>
      </c>
      <c r="G9" s="468"/>
      <c r="H9" s="450"/>
      <c r="I9" s="450"/>
      <c r="J9" s="480"/>
      <c r="K9" s="450"/>
      <c r="L9" s="481"/>
      <c r="M9" s="494">
        <f t="shared" si="0"/>
        <v>64850</v>
      </c>
      <c r="N9" s="276">
        <f t="shared" si="1"/>
        <v>64550</v>
      </c>
      <c r="O9" s="305">
        <f t="shared" si="1"/>
        <v>65113</v>
      </c>
    </row>
    <row r="10" spans="1:16" s="30" customFormat="1" ht="15" customHeight="1">
      <c r="A10" s="35"/>
      <c r="C10" s="128" t="s">
        <v>16</v>
      </c>
      <c r="D10" s="480">
        <f t="shared" ref="D10:L10" si="2">SUM(D11:D15)</f>
        <v>1299261</v>
      </c>
      <c r="E10" s="450">
        <f t="shared" ref="E10" si="3">SUM(E11:E15)</f>
        <v>1403434</v>
      </c>
      <c r="F10" s="481">
        <f t="shared" si="2"/>
        <v>1479283</v>
      </c>
      <c r="G10" s="468">
        <f t="shared" si="2"/>
        <v>0</v>
      </c>
      <c r="H10" s="450">
        <f t="shared" ref="H10" si="4">SUM(H11:H15)</f>
        <v>0</v>
      </c>
      <c r="I10" s="450">
        <f t="shared" si="2"/>
        <v>0</v>
      </c>
      <c r="J10" s="480">
        <f t="shared" si="2"/>
        <v>0</v>
      </c>
      <c r="K10" s="450">
        <f t="shared" ref="K10" si="5">SUM(K11:K15)</f>
        <v>0</v>
      </c>
      <c r="L10" s="481">
        <f t="shared" si="2"/>
        <v>0</v>
      </c>
      <c r="M10" s="494">
        <f t="shared" si="0"/>
        <v>1299261</v>
      </c>
      <c r="N10" s="276">
        <f t="shared" si="1"/>
        <v>1403434</v>
      </c>
      <c r="O10" s="305">
        <f t="shared" si="1"/>
        <v>1479283</v>
      </c>
      <c r="P10" s="36"/>
    </row>
    <row r="11" spans="1:16" ht="15" customHeight="1">
      <c r="A11" s="33"/>
      <c r="C11" s="130" t="s">
        <v>17</v>
      </c>
      <c r="D11" s="482"/>
      <c r="E11" s="451"/>
      <c r="F11" s="483"/>
      <c r="G11" s="469"/>
      <c r="H11" s="451"/>
      <c r="I11" s="451"/>
      <c r="J11" s="482"/>
      <c r="K11" s="451"/>
      <c r="L11" s="483"/>
      <c r="M11" s="494">
        <f t="shared" si="0"/>
        <v>0</v>
      </c>
      <c r="N11" s="276">
        <f t="shared" si="1"/>
        <v>0</v>
      </c>
      <c r="O11" s="305">
        <f t="shared" si="1"/>
        <v>0</v>
      </c>
    </row>
    <row r="12" spans="1:16" ht="15" customHeight="1">
      <c r="A12" s="33"/>
      <c r="C12" s="130" t="s">
        <v>18</v>
      </c>
      <c r="D12" s="482">
        <v>18000</v>
      </c>
      <c r="E12" s="451">
        <v>18000</v>
      </c>
      <c r="F12" s="483">
        <v>18000</v>
      </c>
      <c r="G12" s="469"/>
      <c r="H12" s="451"/>
      <c r="I12" s="451"/>
      <c r="J12" s="482"/>
      <c r="K12" s="451"/>
      <c r="L12" s="483"/>
      <c r="M12" s="494">
        <f t="shared" si="0"/>
        <v>18000</v>
      </c>
      <c r="N12" s="276">
        <f t="shared" si="1"/>
        <v>18000</v>
      </c>
      <c r="O12" s="305">
        <f t="shared" si="1"/>
        <v>18000</v>
      </c>
    </row>
    <row r="13" spans="1:16" ht="15" customHeight="1">
      <c r="A13" s="33"/>
      <c r="C13" s="131" t="s">
        <v>19</v>
      </c>
      <c r="D13" s="484">
        <f>'10. melléklet'!B59</f>
        <v>40000</v>
      </c>
      <c r="E13" s="452">
        <f>'10. melléklet'!C59</f>
        <v>40000</v>
      </c>
      <c r="F13" s="485">
        <f>'10. melléklet'!D59</f>
        <v>40000</v>
      </c>
      <c r="G13" s="470"/>
      <c r="H13" s="452"/>
      <c r="I13" s="452"/>
      <c r="J13" s="484"/>
      <c r="K13" s="452"/>
      <c r="L13" s="485"/>
      <c r="M13" s="494">
        <f t="shared" si="0"/>
        <v>40000</v>
      </c>
      <c r="N13" s="276">
        <f t="shared" si="1"/>
        <v>40000</v>
      </c>
      <c r="O13" s="305">
        <f t="shared" si="1"/>
        <v>40000</v>
      </c>
      <c r="P13" s="135"/>
    </row>
    <row r="14" spans="1:16" ht="15" customHeight="1">
      <c r="A14" s="33"/>
      <c r="C14" s="131" t="s">
        <v>21</v>
      </c>
      <c r="D14" s="484">
        <f>'10. melléklet'!B54</f>
        <v>1067261</v>
      </c>
      <c r="E14" s="452">
        <f>'10. melléklet'!C54</f>
        <v>1157099</v>
      </c>
      <c r="F14" s="485">
        <f>'10. melléklet'!D54</f>
        <v>1226437</v>
      </c>
      <c r="G14" s="470"/>
      <c r="H14" s="452"/>
      <c r="I14" s="452"/>
      <c r="J14" s="484"/>
      <c r="K14" s="452"/>
      <c r="L14" s="485"/>
      <c r="M14" s="494">
        <f t="shared" si="0"/>
        <v>1067261</v>
      </c>
      <c r="N14" s="276">
        <f t="shared" si="1"/>
        <v>1157099</v>
      </c>
      <c r="O14" s="305">
        <f t="shared" si="1"/>
        <v>1226437</v>
      </c>
    </row>
    <row r="15" spans="1:16" ht="15" customHeight="1">
      <c r="A15" s="33"/>
      <c r="C15" s="130" t="s">
        <v>23</v>
      </c>
      <c r="D15" s="484">
        <f t="shared" ref="D15:L15" si="6">SUM(D16:D18)</f>
        <v>174000</v>
      </c>
      <c r="E15" s="452">
        <f t="shared" ref="E15" si="7">SUM(E16:E18)</f>
        <v>188335</v>
      </c>
      <c r="F15" s="485">
        <f t="shared" si="6"/>
        <v>194846</v>
      </c>
      <c r="G15" s="470">
        <f t="shared" si="6"/>
        <v>0</v>
      </c>
      <c r="H15" s="452">
        <f t="shared" ref="H15" si="8">SUM(H16:H18)</f>
        <v>0</v>
      </c>
      <c r="I15" s="452">
        <f t="shared" si="6"/>
        <v>0</v>
      </c>
      <c r="J15" s="484">
        <f t="shared" si="6"/>
        <v>0</v>
      </c>
      <c r="K15" s="452">
        <f t="shared" ref="K15" si="9">SUM(K16:K18)</f>
        <v>0</v>
      </c>
      <c r="L15" s="485">
        <f t="shared" si="6"/>
        <v>0</v>
      </c>
      <c r="M15" s="494">
        <f t="shared" si="0"/>
        <v>174000</v>
      </c>
      <c r="N15" s="276">
        <f t="shared" si="1"/>
        <v>188335</v>
      </c>
      <c r="O15" s="305">
        <f t="shared" si="1"/>
        <v>194846</v>
      </c>
      <c r="P15" s="135"/>
    </row>
    <row r="16" spans="1:16" s="38" customFormat="1" ht="15" customHeight="1">
      <c r="A16" s="37"/>
      <c r="C16" s="132" t="s">
        <v>25</v>
      </c>
      <c r="D16" s="486">
        <f>'16. melléklet'!B7</f>
        <v>15000</v>
      </c>
      <c r="E16" s="453">
        <f>'16. melléklet'!C7</f>
        <v>10713</v>
      </c>
      <c r="F16" s="487">
        <f>'16. melléklet'!D7</f>
        <v>14998</v>
      </c>
      <c r="G16" s="471"/>
      <c r="H16" s="453"/>
      <c r="I16" s="453"/>
      <c r="J16" s="486"/>
      <c r="K16" s="453"/>
      <c r="L16" s="487"/>
      <c r="M16" s="495">
        <f t="shared" si="0"/>
        <v>15000</v>
      </c>
      <c r="N16" s="454">
        <f t="shared" si="1"/>
        <v>10713</v>
      </c>
      <c r="O16" s="496">
        <f t="shared" si="1"/>
        <v>14998</v>
      </c>
    </row>
    <row r="17" spans="1:15" s="38" customFormat="1" ht="15" customHeight="1">
      <c r="A17" s="37"/>
      <c r="C17" s="132" t="s">
        <v>93</v>
      </c>
      <c r="D17" s="486">
        <f>'16. melléklet'!B10</f>
        <v>150000</v>
      </c>
      <c r="E17" s="453">
        <f>'16. melléklet'!C10</f>
        <v>150518</v>
      </c>
      <c r="F17" s="487">
        <f>'16. melléklet'!D10</f>
        <v>152744</v>
      </c>
      <c r="G17" s="471"/>
      <c r="H17" s="453"/>
      <c r="I17" s="453"/>
      <c r="J17" s="486"/>
      <c r="K17" s="453"/>
      <c r="L17" s="487"/>
      <c r="M17" s="495">
        <f t="shared" si="0"/>
        <v>150000</v>
      </c>
      <c r="N17" s="454">
        <f t="shared" si="1"/>
        <v>150518</v>
      </c>
      <c r="O17" s="496">
        <f t="shared" si="1"/>
        <v>152744</v>
      </c>
    </row>
    <row r="18" spans="1:15" s="38" customFormat="1" ht="15" customHeight="1">
      <c r="C18" s="132" t="s">
        <v>29</v>
      </c>
      <c r="D18" s="486">
        <f>'16. melléklet'!B14</f>
        <v>9000</v>
      </c>
      <c r="E18" s="453">
        <f>'16. melléklet'!C14</f>
        <v>27104</v>
      </c>
      <c r="F18" s="487">
        <f>'16. melléklet'!D14</f>
        <v>27104</v>
      </c>
      <c r="G18" s="471"/>
      <c r="H18" s="453"/>
      <c r="I18" s="453"/>
      <c r="J18" s="486"/>
      <c r="K18" s="453"/>
      <c r="L18" s="487"/>
      <c r="M18" s="495">
        <f t="shared" si="0"/>
        <v>9000</v>
      </c>
      <c r="N18" s="454">
        <f t="shared" si="1"/>
        <v>27104</v>
      </c>
      <c r="O18" s="496">
        <f t="shared" si="1"/>
        <v>27104</v>
      </c>
    </row>
    <row r="19" spans="1:15" s="30" customFormat="1" ht="15" customHeight="1">
      <c r="C19" s="129" t="s">
        <v>407</v>
      </c>
      <c r="D19" s="478">
        <v>3195554</v>
      </c>
      <c r="E19" s="449">
        <f>'7. melléklet'!C4</f>
        <v>3514230</v>
      </c>
      <c r="F19" s="479">
        <f>'7. melléklet'!D4</f>
        <v>3396248</v>
      </c>
      <c r="G19" s="458">
        <v>18350</v>
      </c>
      <c r="H19" s="449">
        <f>'7. melléklet'!C67</f>
        <v>18352</v>
      </c>
      <c r="I19" s="449">
        <f>'7. melléklet'!D67</f>
        <v>18352</v>
      </c>
      <c r="J19" s="478">
        <v>65485</v>
      </c>
      <c r="K19" s="449">
        <f>'7. melléklet'!C81</f>
        <v>82366</v>
      </c>
      <c r="L19" s="479">
        <v>93634</v>
      </c>
      <c r="M19" s="494">
        <f t="shared" si="0"/>
        <v>3279389</v>
      </c>
      <c r="N19" s="276">
        <f>E19+H19+K19</f>
        <v>3614948</v>
      </c>
      <c r="O19" s="305">
        <f t="shared" si="1"/>
        <v>3508234</v>
      </c>
    </row>
    <row r="20" spans="1:15" s="30" customFormat="1" ht="15" customHeight="1">
      <c r="C20" s="129" t="s">
        <v>408</v>
      </c>
      <c r="D20" s="478">
        <f>'8. melléklet'!B4</f>
        <v>592078</v>
      </c>
      <c r="E20" s="449">
        <f>'8. melléklet'!C4</f>
        <v>649633</v>
      </c>
      <c r="F20" s="479">
        <f>'8. melléklet'!D4</f>
        <v>649258</v>
      </c>
      <c r="G20" s="458">
        <f>'8. melléklet'!B34</f>
        <v>914</v>
      </c>
      <c r="H20" s="449">
        <f>'8. melléklet'!C34</f>
        <v>914</v>
      </c>
      <c r="I20" s="449">
        <f>'8. melléklet'!D34</f>
        <v>914</v>
      </c>
      <c r="J20" s="478">
        <f>'8. melléklet'!B37</f>
        <v>74071</v>
      </c>
      <c r="K20" s="449">
        <f>'8. melléklet'!C37</f>
        <v>72671</v>
      </c>
      <c r="L20" s="479">
        <v>65130</v>
      </c>
      <c r="M20" s="494">
        <f t="shared" si="0"/>
        <v>667063</v>
      </c>
      <c r="N20" s="276">
        <f t="shared" si="1"/>
        <v>723218</v>
      </c>
      <c r="O20" s="305">
        <f t="shared" si="1"/>
        <v>715302</v>
      </c>
    </row>
    <row r="21" spans="1:15" s="30" customFormat="1" ht="15" customHeight="1">
      <c r="C21" s="129" t="s">
        <v>37</v>
      </c>
      <c r="D21" s="478">
        <f t="shared" ref="D21:L21" si="10">SUM(D22:D24)</f>
        <v>65300</v>
      </c>
      <c r="E21" s="449">
        <f t="shared" ref="E21" si="11">SUM(E22:E24)</f>
        <v>65300</v>
      </c>
      <c r="F21" s="479">
        <f t="shared" si="10"/>
        <v>17242</v>
      </c>
      <c r="G21" s="458">
        <f t="shared" si="10"/>
        <v>1200</v>
      </c>
      <c r="H21" s="449">
        <f t="shared" ref="H21" si="12">SUM(H22:H24)</f>
        <v>1200</v>
      </c>
      <c r="I21" s="449">
        <f t="shared" si="10"/>
        <v>1200</v>
      </c>
      <c r="J21" s="478">
        <f t="shared" si="10"/>
        <v>0</v>
      </c>
      <c r="K21" s="449">
        <f t="shared" ref="K21" si="13">SUM(K22:K24)</f>
        <v>0</v>
      </c>
      <c r="L21" s="479">
        <f t="shared" si="10"/>
        <v>0</v>
      </c>
      <c r="M21" s="494">
        <f t="shared" si="0"/>
        <v>66500</v>
      </c>
      <c r="N21" s="276">
        <f t="shared" si="1"/>
        <v>66500</v>
      </c>
      <c r="O21" s="305">
        <f t="shared" si="1"/>
        <v>18442</v>
      </c>
    </row>
    <row r="22" spans="1:15" ht="15" customHeight="1">
      <c r="C22" s="130" t="s">
        <v>19</v>
      </c>
      <c r="D22" s="484">
        <f>'10. melléklet'!B73</f>
        <v>0</v>
      </c>
      <c r="E22" s="452">
        <f>'10. melléklet'!C73</f>
        <v>0</v>
      </c>
      <c r="F22" s="485">
        <f>'10. melléklet'!D73</f>
        <v>0</v>
      </c>
      <c r="G22" s="470">
        <f>'10. melléklet'!B81</f>
        <v>1200</v>
      </c>
      <c r="H22" s="452">
        <f>'10. melléklet'!C81</f>
        <v>1200</v>
      </c>
      <c r="I22" s="452">
        <f>'10. melléklet'!D81</f>
        <v>1200</v>
      </c>
      <c r="J22" s="484"/>
      <c r="K22" s="452"/>
      <c r="L22" s="485"/>
      <c r="M22" s="494">
        <f t="shared" si="0"/>
        <v>1200</v>
      </c>
      <c r="N22" s="276">
        <f t="shared" si="1"/>
        <v>1200</v>
      </c>
      <c r="O22" s="305">
        <f t="shared" si="1"/>
        <v>1200</v>
      </c>
    </row>
    <row r="23" spans="1:15" ht="15" customHeight="1">
      <c r="C23" s="131" t="s">
        <v>39</v>
      </c>
      <c r="D23" s="484">
        <f>'10. melléklet'!B68</f>
        <v>5300</v>
      </c>
      <c r="E23" s="452">
        <f>'10. melléklet'!C68</f>
        <v>5300</v>
      </c>
      <c r="F23" s="485">
        <f>'10. melléklet'!D68</f>
        <v>7242</v>
      </c>
      <c r="G23" s="470"/>
      <c r="H23" s="452"/>
      <c r="I23" s="452"/>
      <c r="J23" s="484"/>
      <c r="K23" s="452"/>
      <c r="L23" s="485"/>
      <c r="M23" s="494">
        <f t="shared" si="0"/>
        <v>5300</v>
      </c>
      <c r="N23" s="276">
        <f t="shared" si="1"/>
        <v>5300</v>
      </c>
      <c r="O23" s="305">
        <f t="shared" si="1"/>
        <v>7242</v>
      </c>
    </row>
    <row r="24" spans="1:15" ht="15" customHeight="1">
      <c r="C24" s="131" t="s">
        <v>94</v>
      </c>
      <c r="D24" s="484">
        <f t="shared" ref="D24:L24" si="14">SUM(D25:D26)</f>
        <v>60000</v>
      </c>
      <c r="E24" s="452">
        <f t="shared" ref="E24" si="15">SUM(E25:E26)</f>
        <v>60000</v>
      </c>
      <c r="F24" s="485">
        <f t="shared" si="14"/>
        <v>10000</v>
      </c>
      <c r="G24" s="470">
        <f t="shared" si="14"/>
        <v>0</v>
      </c>
      <c r="H24" s="452">
        <f t="shared" ref="H24" si="16">SUM(H25:H26)</f>
        <v>0</v>
      </c>
      <c r="I24" s="452">
        <f t="shared" si="14"/>
        <v>0</v>
      </c>
      <c r="J24" s="484">
        <f t="shared" si="14"/>
        <v>0</v>
      </c>
      <c r="K24" s="452">
        <f t="shared" ref="K24" si="17">SUM(K25:K26)</f>
        <v>0</v>
      </c>
      <c r="L24" s="485">
        <f t="shared" si="14"/>
        <v>0</v>
      </c>
      <c r="M24" s="494">
        <f t="shared" si="0"/>
        <v>60000</v>
      </c>
      <c r="N24" s="276">
        <f t="shared" si="1"/>
        <v>60000</v>
      </c>
      <c r="O24" s="305">
        <f t="shared" si="1"/>
        <v>10000</v>
      </c>
    </row>
    <row r="25" spans="1:15" s="39" customFormat="1" ht="15" customHeight="1">
      <c r="C25" s="136" t="s">
        <v>42</v>
      </c>
      <c r="D25" s="486">
        <f>'16. melléklet'!B20</f>
        <v>50000</v>
      </c>
      <c r="E25" s="453">
        <f>'16. melléklet'!C20</f>
        <v>50000</v>
      </c>
      <c r="F25" s="487">
        <f>'16. melléklet'!D20</f>
        <v>0</v>
      </c>
      <c r="G25" s="471"/>
      <c r="H25" s="453"/>
      <c r="I25" s="453"/>
      <c r="J25" s="486"/>
      <c r="K25" s="453"/>
      <c r="L25" s="487"/>
      <c r="M25" s="495">
        <f t="shared" si="0"/>
        <v>50000</v>
      </c>
      <c r="N25" s="454">
        <f>E25+H25+K25</f>
        <v>50000</v>
      </c>
      <c r="O25" s="496">
        <f>F25+I25+L25</f>
        <v>0</v>
      </c>
    </row>
    <row r="26" spans="1:15" s="39" customFormat="1" ht="15" customHeight="1" thickBot="1">
      <c r="C26" s="133" t="s">
        <v>854</v>
      </c>
      <c r="D26" s="488">
        <f>'16. melléklet'!B23</f>
        <v>10000</v>
      </c>
      <c r="E26" s="459">
        <f>'16. melléklet'!C23</f>
        <v>10000</v>
      </c>
      <c r="F26" s="489">
        <f>'16. melléklet'!D23</f>
        <v>10000</v>
      </c>
      <c r="G26" s="472"/>
      <c r="H26" s="459"/>
      <c r="I26" s="459"/>
      <c r="J26" s="488"/>
      <c r="K26" s="459"/>
      <c r="L26" s="489"/>
      <c r="M26" s="497">
        <f t="shared" si="0"/>
        <v>10000</v>
      </c>
      <c r="N26" s="463">
        <f t="shared" si="1"/>
        <v>10000</v>
      </c>
      <c r="O26" s="498">
        <f t="shared" si="1"/>
        <v>10000</v>
      </c>
    </row>
    <row r="27" spans="1:15" s="30" customFormat="1" ht="15" customHeight="1" thickBot="1">
      <c r="C27" s="31" t="s">
        <v>53</v>
      </c>
      <c r="D27" s="460">
        <f t="shared" ref="D27:L27" si="18">D6+D7+D8+D9+D10+D19+D20+D21</f>
        <v>6990057</v>
      </c>
      <c r="E27" s="461">
        <f t="shared" ref="E27" si="19">E6+E7+E8+E9+E10+E19+E20+E21</f>
        <v>7482853</v>
      </c>
      <c r="F27" s="462">
        <f t="shared" si="18"/>
        <v>7378882</v>
      </c>
      <c r="G27" s="473">
        <f t="shared" si="18"/>
        <v>1018831</v>
      </c>
      <c r="H27" s="461">
        <f t="shared" ref="H27" si="20">H6+H7+H8+H9+H10+H19+H20+H21</f>
        <v>1018893</v>
      </c>
      <c r="I27" s="462">
        <f t="shared" si="18"/>
        <v>993229</v>
      </c>
      <c r="J27" s="460">
        <f t="shared" si="18"/>
        <v>1772164</v>
      </c>
      <c r="K27" s="461">
        <f t="shared" ref="K27" si="21">K6+K7+K8+K9+K10+K19+K20+K21</f>
        <v>1988656</v>
      </c>
      <c r="L27" s="462">
        <f t="shared" si="18"/>
        <v>2139577</v>
      </c>
      <c r="M27" s="460">
        <f t="shared" si="0"/>
        <v>9781052</v>
      </c>
      <c r="N27" s="461">
        <f t="shared" si="1"/>
        <v>10490402</v>
      </c>
      <c r="O27" s="462">
        <f t="shared" si="1"/>
        <v>10511688</v>
      </c>
    </row>
    <row r="28" spans="1:15" s="30" customFormat="1" ht="15" customHeight="1">
      <c r="C28" s="126" t="s">
        <v>44</v>
      </c>
      <c r="D28" s="476">
        <v>151066</v>
      </c>
      <c r="E28" s="455">
        <v>151066</v>
      </c>
      <c r="F28" s="477">
        <v>151066</v>
      </c>
      <c r="G28" s="467"/>
      <c r="H28" s="455"/>
      <c r="I28" s="455"/>
      <c r="J28" s="476"/>
      <c r="K28" s="455"/>
      <c r="L28" s="477"/>
      <c r="M28" s="493">
        <f t="shared" si="0"/>
        <v>151066</v>
      </c>
      <c r="N28" s="279">
        <f t="shared" si="1"/>
        <v>151066</v>
      </c>
      <c r="O28" s="303">
        <f t="shared" si="1"/>
        <v>151066</v>
      </c>
    </row>
    <row r="29" spans="1:15" s="30" customFormat="1" ht="15" customHeight="1">
      <c r="C29" s="129" t="s">
        <v>90</v>
      </c>
      <c r="D29" s="478">
        <v>1000000</v>
      </c>
      <c r="E29" s="449">
        <v>1000000</v>
      </c>
      <c r="F29" s="479">
        <v>1000000</v>
      </c>
      <c r="G29" s="458"/>
      <c r="H29" s="449"/>
      <c r="I29" s="449"/>
      <c r="J29" s="478"/>
      <c r="K29" s="449"/>
      <c r="L29" s="479"/>
      <c r="M29" s="494">
        <f t="shared" si="0"/>
        <v>1000000</v>
      </c>
      <c r="N29" s="276">
        <f t="shared" si="1"/>
        <v>1000000</v>
      </c>
      <c r="O29" s="305">
        <f t="shared" si="1"/>
        <v>1000000</v>
      </c>
    </row>
    <row r="30" spans="1:15" s="30" customFormat="1" ht="15" customHeight="1">
      <c r="C30" s="129" t="s">
        <v>99</v>
      </c>
      <c r="D30" s="478">
        <v>40000</v>
      </c>
      <c r="E30" s="449">
        <v>44000</v>
      </c>
      <c r="F30" s="479">
        <v>49200</v>
      </c>
      <c r="G30" s="458"/>
      <c r="H30" s="449"/>
      <c r="I30" s="449"/>
      <c r="J30" s="478"/>
      <c r="K30" s="449"/>
      <c r="L30" s="479"/>
      <c r="M30" s="494">
        <f t="shared" si="0"/>
        <v>40000</v>
      </c>
      <c r="N30" s="276">
        <f t="shared" si="1"/>
        <v>44000</v>
      </c>
      <c r="O30" s="305">
        <f t="shared" si="1"/>
        <v>49200</v>
      </c>
    </row>
    <row r="31" spans="1:15" s="30" customFormat="1" ht="15" customHeight="1" thickBot="1">
      <c r="C31" s="134" t="s">
        <v>100</v>
      </c>
      <c r="D31" s="490">
        <v>2314537</v>
      </c>
      <c r="E31" s="288">
        <v>2276091</v>
      </c>
      <c r="F31" s="315">
        <v>2287467</v>
      </c>
      <c r="G31" s="474"/>
      <c r="H31" s="464"/>
      <c r="I31" s="464"/>
      <c r="J31" s="491"/>
      <c r="K31" s="464"/>
      <c r="L31" s="492"/>
      <c r="M31" s="490">
        <f t="shared" si="0"/>
        <v>2314537</v>
      </c>
      <c r="N31" s="288">
        <f t="shared" si="1"/>
        <v>2276091</v>
      </c>
      <c r="O31" s="315">
        <f t="shared" si="1"/>
        <v>2287467</v>
      </c>
    </row>
    <row r="32" spans="1:15" s="30" customFormat="1" ht="15" customHeight="1" thickBot="1">
      <c r="C32" s="31" t="s">
        <v>54</v>
      </c>
      <c r="D32" s="465">
        <f t="shared" ref="D32:L32" si="22">SUM(D28:D31)</f>
        <v>3505603</v>
      </c>
      <c r="E32" s="291">
        <f t="shared" ref="E32" si="23">SUM(E28:E31)</f>
        <v>3471157</v>
      </c>
      <c r="F32" s="292">
        <f t="shared" si="22"/>
        <v>3487733</v>
      </c>
      <c r="G32" s="475">
        <f t="shared" si="22"/>
        <v>0</v>
      </c>
      <c r="H32" s="291">
        <f t="shared" ref="H32" si="24">SUM(H28:H31)</f>
        <v>0</v>
      </c>
      <c r="I32" s="292">
        <f t="shared" si="22"/>
        <v>0</v>
      </c>
      <c r="J32" s="465">
        <f t="shared" si="22"/>
        <v>0</v>
      </c>
      <c r="K32" s="291">
        <f t="shared" ref="K32" si="25">SUM(K28:K31)</f>
        <v>0</v>
      </c>
      <c r="L32" s="292">
        <f t="shared" si="22"/>
        <v>0</v>
      </c>
      <c r="M32" s="465">
        <f t="shared" si="0"/>
        <v>3505603</v>
      </c>
      <c r="N32" s="291">
        <f t="shared" si="1"/>
        <v>3471157</v>
      </c>
      <c r="O32" s="292">
        <f t="shared" si="1"/>
        <v>3487733</v>
      </c>
    </row>
    <row r="33" spans="3:15" s="30" customFormat="1" ht="15" customHeight="1" thickBot="1">
      <c r="C33" s="40" t="s">
        <v>50</v>
      </c>
      <c r="D33" s="465">
        <f t="shared" ref="D33:L33" si="26">D27+D32</f>
        <v>10495660</v>
      </c>
      <c r="E33" s="291">
        <f t="shared" ref="E33" si="27">E27+E32</f>
        <v>10954010</v>
      </c>
      <c r="F33" s="292">
        <f t="shared" si="26"/>
        <v>10866615</v>
      </c>
      <c r="G33" s="475">
        <f t="shared" si="26"/>
        <v>1018831</v>
      </c>
      <c r="H33" s="291">
        <f t="shared" ref="H33" si="28">H27+H32</f>
        <v>1018893</v>
      </c>
      <c r="I33" s="292">
        <f t="shared" si="26"/>
        <v>993229</v>
      </c>
      <c r="J33" s="465">
        <f t="shared" si="26"/>
        <v>1772164</v>
      </c>
      <c r="K33" s="291">
        <f t="shared" ref="K33" si="29">K27+K32</f>
        <v>1988656</v>
      </c>
      <c r="L33" s="292">
        <f t="shared" si="26"/>
        <v>2139577</v>
      </c>
      <c r="M33" s="465">
        <f t="shared" si="0"/>
        <v>13286655</v>
      </c>
      <c r="N33" s="291">
        <f t="shared" si="1"/>
        <v>13961559</v>
      </c>
      <c r="O33" s="292">
        <f t="shared" si="1"/>
        <v>13999421</v>
      </c>
    </row>
    <row r="34" spans="3:15" ht="15"/>
    <row r="35" spans="3:15" ht="15">
      <c r="C35" s="208"/>
      <c r="D35" s="3"/>
      <c r="E35" s="3"/>
      <c r="F35" s="3"/>
    </row>
    <row r="36" spans="3:15" ht="15">
      <c r="C36" s="208"/>
      <c r="H36" s="3"/>
      <c r="K36" s="3"/>
      <c r="L36" s="3"/>
    </row>
    <row r="37" spans="3:15" ht="25.5" customHeight="1">
      <c r="L37" s="3"/>
    </row>
  </sheetData>
  <mergeCells count="7">
    <mergeCell ref="C4:C5"/>
    <mergeCell ref="C1:O1"/>
    <mergeCell ref="C2:O2"/>
    <mergeCell ref="D4:F4"/>
    <mergeCell ref="G4:I4"/>
    <mergeCell ref="J4:L4"/>
    <mergeCell ref="M4:O4"/>
  </mergeCells>
  <printOptions horizontalCentered="1"/>
  <pageMargins left="0.70866141732283472" right="0.70866141732283472" top="0.74803149606299213" bottom="0.74803149606299213" header="0.31496062992125984" footer="0.31496062992125984"/>
  <pageSetup paperSize="9" scale="46" orientation="landscape" r:id="rId1"/>
  <headerFooter>
    <oddHeader>&amp;L&amp;"Times New Roman,Normál"&amp;8 4. melléklet 1, 2, 3</oddHeader>
    <oddFooter>&amp;L1. Mód.: 3/2019 (II.27.) önk. rend. 2.§. Hat.: 2019.03.01. napjától
2. Mód.: 9/2019 (IV.24.) önk. rend. 2.§ Hat.: 2019.04.25. napjától
3. Mód.: 18/2019 (IX.11.) önk. rend. 2.§ Hat.:2019.09.12. napjától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view="pageLayout" topLeftCell="A61" zoomScale="60" zoomScaleNormal="70" zoomScaleSheetLayoutView="84" zoomScalePageLayoutView="60" workbookViewId="0">
      <selection activeCell="C11" sqref="C11:C13"/>
    </sheetView>
  </sheetViews>
  <sheetFormatPr defaultRowHeight="15"/>
  <cols>
    <col min="1" max="1" width="14.28515625" style="41" customWidth="1"/>
    <col min="2" max="2" width="11.85546875" style="41" bestFit="1" customWidth="1"/>
    <col min="3" max="3" width="100.7109375" style="41" customWidth="1"/>
    <col min="4" max="4" width="13.85546875" style="41" customWidth="1"/>
    <col min="5" max="19" width="14" style="41" customWidth="1"/>
    <col min="20" max="16384" width="9.140625" style="41"/>
  </cols>
  <sheetData>
    <row r="1" spans="1:19">
      <c r="A1" s="1798" t="s">
        <v>600</v>
      </c>
      <c r="B1" s="1798"/>
      <c r="C1" s="1798"/>
      <c r="D1" s="1798"/>
      <c r="E1" s="1798"/>
      <c r="F1" s="1798"/>
      <c r="G1" s="1798"/>
      <c r="H1" s="1798"/>
      <c r="I1" s="1798"/>
      <c r="J1" s="1798"/>
      <c r="K1" s="1798"/>
      <c r="L1" s="1798"/>
      <c r="M1" s="1798"/>
      <c r="N1" s="1798"/>
      <c r="O1" s="1798"/>
      <c r="P1" s="1798"/>
      <c r="Q1" s="1798"/>
      <c r="R1" s="1798"/>
      <c r="S1" s="1798"/>
    </row>
    <row r="2" spans="1:19" ht="15.75" thickBot="1">
      <c r="A2" s="1799"/>
      <c r="B2" s="1799"/>
      <c r="C2" s="1799"/>
      <c r="D2" s="1799"/>
      <c r="E2" s="1799"/>
      <c r="F2" s="1799"/>
      <c r="G2" s="1799"/>
      <c r="H2" s="1799"/>
      <c r="I2" s="1799"/>
      <c r="J2" s="1799"/>
      <c r="K2" s="1799"/>
      <c r="L2" s="1799"/>
      <c r="M2" s="1799"/>
      <c r="N2" s="1799"/>
      <c r="O2" s="1799"/>
      <c r="P2" s="1799"/>
      <c r="Q2" s="1799"/>
      <c r="R2" s="1799"/>
      <c r="S2" s="1799"/>
    </row>
    <row r="3" spans="1:19">
      <c r="A3" s="1800" t="s">
        <v>2</v>
      </c>
      <c r="B3" s="1801"/>
      <c r="C3" s="1801"/>
      <c r="D3" s="1802"/>
      <c r="E3" s="1806" t="s">
        <v>101</v>
      </c>
      <c r="F3" s="1806" t="s">
        <v>102</v>
      </c>
      <c r="G3" s="1800" t="s">
        <v>103</v>
      </c>
      <c r="H3" s="1801"/>
      <c r="I3" s="1801"/>
      <c r="J3" s="1801"/>
      <c r="K3" s="1801"/>
      <c r="L3" s="1802"/>
      <c r="M3" s="1800" t="s">
        <v>104</v>
      </c>
      <c r="N3" s="1801"/>
      <c r="O3" s="1801"/>
      <c r="P3" s="1802"/>
      <c r="Q3" s="1800" t="s">
        <v>59</v>
      </c>
      <c r="R3" s="1802"/>
      <c r="S3" s="1808" t="s">
        <v>122</v>
      </c>
    </row>
    <row r="4" spans="1:19" ht="72" thickBot="1">
      <c r="A4" s="1803"/>
      <c r="B4" s="1804"/>
      <c r="C4" s="1804"/>
      <c r="D4" s="1805"/>
      <c r="E4" s="1807"/>
      <c r="F4" s="1807"/>
      <c r="G4" s="509" t="s">
        <v>405</v>
      </c>
      <c r="H4" s="504" t="s">
        <v>114</v>
      </c>
      <c r="I4" s="504" t="s">
        <v>115</v>
      </c>
      <c r="J4" s="504" t="s">
        <v>116</v>
      </c>
      <c r="K4" s="504" t="s">
        <v>117</v>
      </c>
      <c r="L4" s="510" t="s">
        <v>23</v>
      </c>
      <c r="M4" s="564" t="s">
        <v>60</v>
      </c>
      <c r="N4" s="505" t="s">
        <v>61</v>
      </c>
      <c r="O4" s="504" t="s">
        <v>118</v>
      </c>
      <c r="P4" s="565" t="s">
        <v>119</v>
      </c>
      <c r="Q4" s="521" t="s">
        <v>120</v>
      </c>
      <c r="R4" s="510" t="s">
        <v>121</v>
      </c>
      <c r="S4" s="1809"/>
    </row>
    <row r="5" spans="1:19">
      <c r="A5" s="1789" t="s">
        <v>106</v>
      </c>
      <c r="B5" s="1790" t="s">
        <v>520</v>
      </c>
      <c r="C5" s="1791" t="s">
        <v>451</v>
      </c>
      <c r="D5" s="506" t="s">
        <v>3</v>
      </c>
      <c r="E5" s="176">
        <v>2348525</v>
      </c>
      <c r="F5" s="176">
        <f>SUM(G5:S5)</f>
        <v>718356</v>
      </c>
      <c r="G5" s="511">
        <v>73030</v>
      </c>
      <c r="H5" s="503">
        <v>16030</v>
      </c>
      <c r="I5" s="503">
        <v>385661</v>
      </c>
      <c r="J5" s="503">
        <v>0</v>
      </c>
      <c r="K5" s="503">
        <v>0</v>
      </c>
      <c r="L5" s="512">
        <v>159000</v>
      </c>
      <c r="M5" s="511">
        <v>18135</v>
      </c>
      <c r="N5" s="503">
        <v>6500</v>
      </c>
      <c r="O5" s="503">
        <v>0</v>
      </c>
      <c r="P5" s="512">
        <v>60000</v>
      </c>
      <c r="Q5" s="511">
        <v>0</v>
      </c>
      <c r="R5" s="522">
        <v>0</v>
      </c>
      <c r="S5" s="566">
        <v>0</v>
      </c>
    </row>
    <row r="6" spans="1:19">
      <c r="A6" s="1789"/>
      <c r="B6" s="1790"/>
      <c r="C6" s="1791"/>
      <c r="D6" s="272" t="s">
        <v>882</v>
      </c>
      <c r="E6" s="507">
        <v>2420539</v>
      </c>
      <c r="F6" s="507">
        <f>SUM(G6:S6)</f>
        <v>750877</v>
      </c>
      <c r="G6" s="513">
        <v>73030</v>
      </c>
      <c r="H6" s="500">
        <v>16030</v>
      </c>
      <c r="I6" s="500">
        <v>401410</v>
      </c>
      <c r="J6" s="500">
        <v>0</v>
      </c>
      <c r="K6" s="500">
        <v>0</v>
      </c>
      <c r="L6" s="514">
        <v>177622</v>
      </c>
      <c r="M6" s="513">
        <v>16285</v>
      </c>
      <c r="N6" s="500">
        <v>6500</v>
      </c>
      <c r="O6" s="500">
        <v>0</v>
      </c>
      <c r="P6" s="514">
        <v>60000</v>
      </c>
      <c r="Q6" s="513">
        <v>0</v>
      </c>
      <c r="R6" s="523">
        <v>0</v>
      </c>
      <c r="S6" s="520">
        <v>0</v>
      </c>
    </row>
    <row r="7" spans="1:19" ht="15.75" thickBot="1">
      <c r="A7" s="1789"/>
      <c r="B7" s="1790"/>
      <c r="C7" s="1791"/>
      <c r="D7" s="1522" t="s">
        <v>981</v>
      </c>
      <c r="E7" s="524">
        <v>2429601</v>
      </c>
      <c r="F7" s="524">
        <f t="shared" ref="F7" si="0">SUM(G7:S7)</f>
        <v>654362</v>
      </c>
      <c r="G7" s="525">
        <v>73030</v>
      </c>
      <c r="H7" s="526">
        <v>16030</v>
      </c>
      <c r="I7" s="526">
        <v>352627</v>
      </c>
      <c r="J7" s="526">
        <v>0</v>
      </c>
      <c r="K7" s="526">
        <v>0</v>
      </c>
      <c r="L7" s="527">
        <v>179848</v>
      </c>
      <c r="M7" s="525">
        <v>16327</v>
      </c>
      <c r="N7" s="526">
        <v>6500</v>
      </c>
      <c r="O7" s="526">
        <v>0</v>
      </c>
      <c r="P7" s="527">
        <v>10000</v>
      </c>
      <c r="Q7" s="525">
        <v>0</v>
      </c>
      <c r="R7" s="528">
        <v>0</v>
      </c>
      <c r="S7" s="567">
        <v>0</v>
      </c>
    </row>
    <row r="8" spans="1:19">
      <c r="A8" s="1792" t="s">
        <v>106</v>
      </c>
      <c r="B8" s="1793" t="s">
        <v>519</v>
      </c>
      <c r="C8" s="1794" t="s">
        <v>1023</v>
      </c>
      <c r="D8" s="531" t="s">
        <v>3</v>
      </c>
      <c r="E8" s="532">
        <v>1215495</v>
      </c>
      <c r="F8" s="532">
        <f t="shared" ref="F8:F177" si="1">SUM(G8:S8)</f>
        <v>2372537</v>
      </c>
      <c r="G8" s="533">
        <v>0</v>
      </c>
      <c r="H8" s="534">
        <v>0</v>
      </c>
      <c r="I8" s="534">
        <v>0</v>
      </c>
      <c r="J8" s="534">
        <v>18000</v>
      </c>
      <c r="K8" s="535">
        <v>0</v>
      </c>
      <c r="L8" s="536">
        <v>0</v>
      </c>
      <c r="M8" s="533">
        <v>0</v>
      </c>
      <c r="N8" s="534">
        <v>0</v>
      </c>
      <c r="O8" s="534">
        <v>0</v>
      </c>
      <c r="P8" s="536">
        <v>0</v>
      </c>
      <c r="Q8" s="533">
        <v>40000</v>
      </c>
      <c r="R8" s="537">
        <v>2314537</v>
      </c>
      <c r="S8" s="568"/>
    </row>
    <row r="9" spans="1:19">
      <c r="A9" s="1789"/>
      <c r="B9" s="1790"/>
      <c r="C9" s="1791"/>
      <c r="D9" s="272" t="s">
        <v>882</v>
      </c>
      <c r="E9" s="507">
        <v>1540712</v>
      </c>
      <c r="F9" s="507">
        <f t="shared" si="1"/>
        <v>2338091</v>
      </c>
      <c r="G9" s="515">
        <v>0</v>
      </c>
      <c r="H9" s="501">
        <v>0</v>
      </c>
      <c r="I9" s="501">
        <v>0</v>
      </c>
      <c r="J9" s="501">
        <v>18000</v>
      </c>
      <c r="K9" s="500">
        <v>0</v>
      </c>
      <c r="L9" s="516">
        <v>0</v>
      </c>
      <c r="M9" s="515">
        <v>0</v>
      </c>
      <c r="N9" s="501">
        <v>0</v>
      </c>
      <c r="O9" s="501">
        <v>0</v>
      </c>
      <c r="P9" s="516">
        <v>0</v>
      </c>
      <c r="Q9" s="515">
        <v>44000</v>
      </c>
      <c r="R9" s="514">
        <v>2276091</v>
      </c>
      <c r="S9" s="520"/>
    </row>
    <row r="10" spans="1:19" ht="15.75" thickBot="1">
      <c r="A10" s="1795"/>
      <c r="B10" s="1796"/>
      <c r="C10" s="1797"/>
      <c r="D10" s="1523" t="s">
        <v>981</v>
      </c>
      <c r="E10" s="181">
        <v>1669016</v>
      </c>
      <c r="F10" s="181">
        <f t="shared" ref="F10" si="2">SUM(G10:S10)</f>
        <v>2354667</v>
      </c>
      <c r="G10" s="517">
        <v>0</v>
      </c>
      <c r="H10" s="179">
        <v>0</v>
      </c>
      <c r="I10" s="179">
        <v>0</v>
      </c>
      <c r="J10" s="179">
        <v>18000</v>
      </c>
      <c r="K10" s="518">
        <v>0</v>
      </c>
      <c r="L10" s="519">
        <v>0</v>
      </c>
      <c r="M10" s="517">
        <v>0</v>
      </c>
      <c r="N10" s="179">
        <v>0</v>
      </c>
      <c r="O10" s="179">
        <v>0</v>
      </c>
      <c r="P10" s="519">
        <v>0</v>
      </c>
      <c r="Q10" s="517">
        <v>49200</v>
      </c>
      <c r="R10" s="538">
        <v>2287467</v>
      </c>
      <c r="S10" s="569">
        <v>0</v>
      </c>
    </row>
    <row r="11" spans="1:19">
      <c r="A11" s="1789" t="s">
        <v>106</v>
      </c>
      <c r="B11" s="1790" t="s">
        <v>461</v>
      </c>
      <c r="C11" s="1791" t="s">
        <v>459</v>
      </c>
      <c r="D11" s="506" t="s">
        <v>3</v>
      </c>
      <c r="E11" s="176">
        <v>1543251</v>
      </c>
      <c r="F11" s="176">
        <f t="shared" si="1"/>
        <v>1167416</v>
      </c>
      <c r="G11" s="529">
        <v>0</v>
      </c>
      <c r="H11" s="508">
        <v>0</v>
      </c>
      <c r="I11" s="508">
        <v>16350</v>
      </c>
      <c r="J11" s="508">
        <v>0</v>
      </c>
      <c r="K11" s="508">
        <v>0</v>
      </c>
      <c r="L11" s="530">
        <v>0</v>
      </c>
      <c r="M11" s="529">
        <v>0</v>
      </c>
      <c r="N11" s="508">
        <v>0</v>
      </c>
      <c r="O11" s="508">
        <v>0</v>
      </c>
      <c r="P11" s="530">
        <v>0</v>
      </c>
      <c r="Q11" s="529">
        <v>1151066</v>
      </c>
      <c r="R11" s="522">
        <v>0</v>
      </c>
      <c r="S11" s="566">
        <v>0</v>
      </c>
    </row>
    <row r="12" spans="1:19">
      <c r="A12" s="1789"/>
      <c r="B12" s="1790"/>
      <c r="C12" s="1791"/>
      <c r="D12" s="272" t="s">
        <v>882</v>
      </c>
      <c r="E12" s="507">
        <v>1543251</v>
      </c>
      <c r="F12" s="507">
        <f t="shared" si="1"/>
        <v>1184818</v>
      </c>
      <c r="G12" s="515"/>
      <c r="H12" s="501"/>
      <c r="I12" s="501">
        <v>33752</v>
      </c>
      <c r="J12" s="501"/>
      <c r="K12" s="501"/>
      <c r="L12" s="516"/>
      <c r="M12" s="515"/>
      <c r="N12" s="501"/>
      <c r="O12" s="501"/>
      <c r="P12" s="516"/>
      <c r="Q12" s="515">
        <v>1151066</v>
      </c>
      <c r="R12" s="523"/>
      <c r="S12" s="520"/>
    </row>
    <row r="13" spans="1:19" ht="15.75" thickBot="1">
      <c r="A13" s="1789"/>
      <c r="B13" s="1790"/>
      <c r="C13" s="1791"/>
      <c r="D13" s="1523" t="s">
        <v>981</v>
      </c>
      <c r="E13" s="524">
        <v>1543251</v>
      </c>
      <c r="F13" s="181">
        <f t="shared" ref="F13" si="3">SUM(G13:S13)</f>
        <v>1184818</v>
      </c>
      <c r="G13" s="539">
        <v>0</v>
      </c>
      <c r="H13" s="540">
        <v>0</v>
      </c>
      <c r="I13" s="540">
        <v>33752</v>
      </c>
      <c r="J13" s="540">
        <v>0</v>
      </c>
      <c r="K13" s="540">
        <v>0</v>
      </c>
      <c r="L13" s="541">
        <v>0</v>
      </c>
      <c r="M13" s="539">
        <v>0</v>
      </c>
      <c r="N13" s="540">
        <v>0</v>
      </c>
      <c r="O13" s="540">
        <v>0</v>
      </c>
      <c r="P13" s="541">
        <v>0</v>
      </c>
      <c r="Q13" s="539">
        <v>1151066</v>
      </c>
      <c r="R13" s="528">
        <v>0</v>
      </c>
      <c r="S13" s="567">
        <v>0</v>
      </c>
    </row>
    <row r="14" spans="1:19">
      <c r="A14" s="1792" t="s">
        <v>107</v>
      </c>
      <c r="B14" s="1793" t="s">
        <v>462</v>
      </c>
      <c r="C14" s="1794" t="s">
        <v>460</v>
      </c>
      <c r="D14" s="531" t="s">
        <v>3</v>
      </c>
      <c r="E14" s="532">
        <v>2310000</v>
      </c>
      <c r="F14" s="532">
        <f t="shared" si="1"/>
        <v>0</v>
      </c>
      <c r="G14" s="542"/>
      <c r="H14" s="535"/>
      <c r="I14" s="535"/>
      <c r="J14" s="535"/>
      <c r="K14" s="535"/>
      <c r="L14" s="537"/>
      <c r="M14" s="542"/>
      <c r="N14" s="535"/>
      <c r="O14" s="535"/>
      <c r="P14" s="537"/>
      <c r="Q14" s="542"/>
      <c r="R14" s="543"/>
      <c r="S14" s="568"/>
    </row>
    <row r="15" spans="1:19">
      <c r="A15" s="1789"/>
      <c r="B15" s="1790"/>
      <c r="C15" s="1791"/>
      <c r="D15" s="272" t="s">
        <v>882</v>
      </c>
      <c r="E15" s="507">
        <v>2350370</v>
      </c>
      <c r="F15" s="507">
        <f t="shared" si="1"/>
        <v>0</v>
      </c>
      <c r="G15" s="513"/>
      <c r="H15" s="500"/>
      <c r="I15" s="500"/>
      <c r="J15" s="500"/>
      <c r="K15" s="500"/>
      <c r="L15" s="514"/>
      <c r="M15" s="513"/>
      <c r="N15" s="500"/>
      <c r="O15" s="500"/>
      <c r="P15" s="514"/>
      <c r="Q15" s="513"/>
      <c r="R15" s="523"/>
      <c r="S15" s="520"/>
    </row>
    <row r="16" spans="1:19" ht="15.75" thickBot="1">
      <c r="A16" s="1795"/>
      <c r="B16" s="1796"/>
      <c r="C16" s="1797"/>
      <c r="D16" s="1523" t="s">
        <v>981</v>
      </c>
      <c r="E16" s="181">
        <v>2350370</v>
      </c>
      <c r="F16" s="181">
        <f t="shared" ref="F16" si="4">SUM(G16:S16)</f>
        <v>0</v>
      </c>
      <c r="G16" s="544">
        <v>0</v>
      </c>
      <c r="H16" s="518">
        <v>0</v>
      </c>
      <c r="I16" s="518">
        <v>0</v>
      </c>
      <c r="J16" s="518">
        <v>0</v>
      </c>
      <c r="K16" s="518">
        <v>0</v>
      </c>
      <c r="L16" s="538">
        <v>0</v>
      </c>
      <c r="M16" s="544">
        <v>0</v>
      </c>
      <c r="N16" s="518">
        <v>0</v>
      </c>
      <c r="O16" s="518">
        <v>0</v>
      </c>
      <c r="P16" s="538">
        <v>0</v>
      </c>
      <c r="Q16" s="544">
        <v>0</v>
      </c>
      <c r="R16" s="180">
        <v>0</v>
      </c>
      <c r="S16" s="569">
        <v>0</v>
      </c>
    </row>
    <row r="17" spans="1:19">
      <c r="A17" s="1789" t="s">
        <v>107</v>
      </c>
      <c r="B17" s="1790" t="s">
        <v>463</v>
      </c>
      <c r="C17" s="1791" t="s">
        <v>108</v>
      </c>
      <c r="D17" s="506" t="s">
        <v>3</v>
      </c>
      <c r="E17" s="176">
        <v>10000</v>
      </c>
      <c r="F17" s="176">
        <f t="shared" si="1"/>
        <v>37320</v>
      </c>
      <c r="G17" s="529">
        <v>0</v>
      </c>
      <c r="H17" s="508">
        <v>0</v>
      </c>
      <c r="I17" s="508">
        <v>26000</v>
      </c>
      <c r="J17" s="508">
        <v>0</v>
      </c>
      <c r="K17" s="503">
        <v>0</v>
      </c>
      <c r="L17" s="530">
        <v>0</v>
      </c>
      <c r="M17" s="529">
        <v>1320</v>
      </c>
      <c r="N17" s="508">
        <v>10000</v>
      </c>
      <c r="O17" s="508">
        <v>0</v>
      </c>
      <c r="P17" s="530">
        <v>0</v>
      </c>
      <c r="Q17" s="529">
        <v>0</v>
      </c>
      <c r="R17" s="522">
        <v>0</v>
      </c>
      <c r="S17" s="566">
        <v>0</v>
      </c>
    </row>
    <row r="18" spans="1:19">
      <c r="A18" s="1789"/>
      <c r="B18" s="1790"/>
      <c r="C18" s="1791"/>
      <c r="D18" s="272" t="s">
        <v>882</v>
      </c>
      <c r="E18" s="507">
        <v>10000</v>
      </c>
      <c r="F18" s="507">
        <f t="shared" si="1"/>
        <v>43336</v>
      </c>
      <c r="G18" s="515"/>
      <c r="H18" s="501"/>
      <c r="I18" s="501">
        <v>26000</v>
      </c>
      <c r="J18" s="501"/>
      <c r="K18" s="500"/>
      <c r="L18" s="516"/>
      <c r="M18" s="515">
        <v>1320</v>
      </c>
      <c r="N18" s="501">
        <v>16016</v>
      </c>
      <c r="O18" s="501"/>
      <c r="P18" s="516"/>
      <c r="Q18" s="515"/>
      <c r="R18" s="523"/>
      <c r="S18" s="520"/>
    </row>
    <row r="19" spans="1:19" ht="15.75" thickBot="1">
      <c r="A19" s="1789"/>
      <c r="B19" s="1790"/>
      <c r="C19" s="1791"/>
      <c r="D19" s="1523" t="s">
        <v>981</v>
      </c>
      <c r="E19" s="524">
        <v>10000</v>
      </c>
      <c r="F19" s="181">
        <f t="shared" ref="F19" si="5">SUM(G19:S19)</f>
        <v>43336</v>
      </c>
      <c r="G19" s="539">
        <v>0</v>
      </c>
      <c r="H19" s="540">
        <v>0</v>
      </c>
      <c r="I19" s="540">
        <v>26000</v>
      </c>
      <c r="J19" s="540">
        <v>0</v>
      </c>
      <c r="K19" s="526">
        <v>0</v>
      </c>
      <c r="L19" s="541">
        <v>0</v>
      </c>
      <c r="M19" s="539">
        <v>1320</v>
      </c>
      <c r="N19" s="540">
        <v>16016</v>
      </c>
      <c r="O19" s="540">
        <v>0</v>
      </c>
      <c r="P19" s="541">
        <v>0</v>
      </c>
      <c r="Q19" s="539">
        <v>0</v>
      </c>
      <c r="R19" s="528">
        <v>0</v>
      </c>
      <c r="S19" s="567">
        <v>0</v>
      </c>
    </row>
    <row r="20" spans="1:19">
      <c r="A20" s="1792" t="s">
        <v>107</v>
      </c>
      <c r="B20" s="1793" t="s">
        <v>521</v>
      </c>
      <c r="C20" s="1794" t="s">
        <v>522</v>
      </c>
      <c r="D20" s="531" t="s">
        <v>3</v>
      </c>
      <c r="E20" s="532">
        <v>1861971</v>
      </c>
      <c r="F20" s="532">
        <f t="shared" si="1"/>
        <v>226249</v>
      </c>
      <c r="G20" s="533">
        <v>0</v>
      </c>
      <c r="H20" s="534">
        <v>0</v>
      </c>
      <c r="I20" s="534">
        <v>120500</v>
      </c>
      <c r="J20" s="534">
        <v>0</v>
      </c>
      <c r="K20" s="534">
        <v>0</v>
      </c>
      <c r="L20" s="536">
        <v>0</v>
      </c>
      <c r="M20" s="533">
        <v>86971</v>
      </c>
      <c r="N20" s="534">
        <v>18778</v>
      </c>
      <c r="O20" s="534">
        <v>0</v>
      </c>
      <c r="P20" s="536">
        <v>0</v>
      </c>
      <c r="Q20" s="533">
        <v>0</v>
      </c>
      <c r="R20" s="543">
        <v>0</v>
      </c>
      <c r="S20" s="568">
        <v>0</v>
      </c>
    </row>
    <row r="21" spans="1:19">
      <c r="A21" s="1789"/>
      <c r="B21" s="1790"/>
      <c r="C21" s="1791"/>
      <c r="D21" s="272" t="s">
        <v>882</v>
      </c>
      <c r="E21" s="507">
        <v>1893715</v>
      </c>
      <c r="F21" s="507">
        <f t="shared" si="1"/>
        <v>254316</v>
      </c>
      <c r="G21" s="515"/>
      <c r="H21" s="501"/>
      <c r="I21" s="501">
        <v>120554</v>
      </c>
      <c r="J21" s="501">
        <v>0</v>
      </c>
      <c r="K21" s="501">
        <v>0</v>
      </c>
      <c r="L21" s="516">
        <v>0</v>
      </c>
      <c r="M21" s="515">
        <v>115038</v>
      </c>
      <c r="N21" s="501">
        <v>18724</v>
      </c>
      <c r="O21" s="501">
        <v>0</v>
      </c>
      <c r="P21" s="516">
        <v>0</v>
      </c>
      <c r="Q21" s="515">
        <v>0</v>
      </c>
      <c r="R21" s="523">
        <v>0</v>
      </c>
      <c r="S21" s="520">
        <v>0</v>
      </c>
    </row>
    <row r="22" spans="1:19" ht="15.75" thickBot="1">
      <c r="A22" s="1795"/>
      <c r="B22" s="1796"/>
      <c r="C22" s="1797"/>
      <c r="D22" s="1523" t="s">
        <v>981</v>
      </c>
      <c r="E22" s="181">
        <v>1893715</v>
      </c>
      <c r="F22" s="181">
        <f t="shared" ref="F22" si="6">SUM(G22:S22)</f>
        <v>261316</v>
      </c>
      <c r="G22" s="517">
        <v>0</v>
      </c>
      <c r="H22" s="179">
        <v>0</v>
      </c>
      <c r="I22" s="179">
        <v>120554</v>
      </c>
      <c r="J22" s="179">
        <v>0</v>
      </c>
      <c r="K22" s="179">
        <v>0</v>
      </c>
      <c r="L22" s="519">
        <v>0</v>
      </c>
      <c r="M22" s="517">
        <v>122038</v>
      </c>
      <c r="N22" s="179">
        <v>18724</v>
      </c>
      <c r="O22" s="179">
        <v>0</v>
      </c>
      <c r="P22" s="519">
        <v>0</v>
      </c>
      <c r="Q22" s="517">
        <v>0</v>
      </c>
      <c r="R22" s="180">
        <v>0</v>
      </c>
      <c r="S22" s="569">
        <v>0</v>
      </c>
    </row>
    <row r="23" spans="1:19">
      <c r="A23" s="1789" t="s">
        <v>107</v>
      </c>
      <c r="B23" s="1790" t="s">
        <v>464</v>
      </c>
      <c r="C23" s="1791" t="s">
        <v>465</v>
      </c>
      <c r="D23" s="506" t="s">
        <v>3</v>
      </c>
      <c r="E23" s="176">
        <v>66000</v>
      </c>
      <c r="F23" s="176">
        <f t="shared" si="1"/>
        <v>82240</v>
      </c>
      <c r="G23" s="529">
        <v>64000</v>
      </c>
      <c r="H23" s="508">
        <v>6240</v>
      </c>
      <c r="I23" s="508">
        <v>12000</v>
      </c>
      <c r="J23" s="508">
        <v>0</v>
      </c>
      <c r="K23" s="503">
        <v>0</v>
      </c>
      <c r="L23" s="530">
        <v>0</v>
      </c>
      <c r="M23" s="529">
        <v>0</v>
      </c>
      <c r="N23" s="508">
        <v>0</v>
      </c>
      <c r="O23" s="508">
        <v>0</v>
      </c>
      <c r="P23" s="530">
        <v>0</v>
      </c>
      <c r="Q23" s="529">
        <v>0</v>
      </c>
      <c r="R23" s="522">
        <v>0</v>
      </c>
      <c r="S23" s="566">
        <v>0</v>
      </c>
    </row>
    <row r="24" spans="1:19">
      <c r="A24" s="1789"/>
      <c r="B24" s="1790"/>
      <c r="C24" s="1791"/>
      <c r="D24" s="272" t="s">
        <v>882</v>
      </c>
      <c r="E24" s="507">
        <v>39600</v>
      </c>
      <c r="F24" s="507">
        <f t="shared" si="1"/>
        <v>82240</v>
      </c>
      <c r="G24" s="515">
        <v>64000</v>
      </c>
      <c r="H24" s="501">
        <v>6240</v>
      </c>
      <c r="I24" s="501">
        <v>12000</v>
      </c>
      <c r="J24" s="501">
        <v>0</v>
      </c>
      <c r="K24" s="500">
        <v>0</v>
      </c>
      <c r="L24" s="516">
        <v>0</v>
      </c>
      <c r="M24" s="515">
        <v>0</v>
      </c>
      <c r="N24" s="501">
        <v>0</v>
      </c>
      <c r="O24" s="501">
        <v>0</v>
      </c>
      <c r="P24" s="516">
        <v>0</v>
      </c>
      <c r="Q24" s="515">
        <v>0</v>
      </c>
      <c r="R24" s="523">
        <v>0</v>
      </c>
      <c r="S24" s="520">
        <v>0</v>
      </c>
    </row>
    <row r="25" spans="1:19" ht="15.75" thickBot="1">
      <c r="A25" s="1789"/>
      <c r="B25" s="1790"/>
      <c r="C25" s="1791"/>
      <c r="D25" s="1523" t="s">
        <v>981</v>
      </c>
      <c r="E25" s="524">
        <v>39600</v>
      </c>
      <c r="F25" s="181">
        <f t="shared" ref="F25" si="7">SUM(G25:S25)</f>
        <v>82240</v>
      </c>
      <c r="G25" s="539">
        <v>64000</v>
      </c>
      <c r="H25" s="540">
        <v>6240</v>
      </c>
      <c r="I25" s="540">
        <v>12000</v>
      </c>
      <c r="J25" s="540">
        <v>0</v>
      </c>
      <c r="K25" s="526">
        <v>0</v>
      </c>
      <c r="L25" s="541">
        <v>0</v>
      </c>
      <c r="M25" s="539">
        <v>0</v>
      </c>
      <c r="N25" s="540">
        <v>0</v>
      </c>
      <c r="O25" s="540">
        <v>0</v>
      </c>
      <c r="P25" s="541">
        <v>0</v>
      </c>
      <c r="Q25" s="539">
        <v>0</v>
      </c>
      <c r="R25" s="528">
        <v>0</v>
      </c>
      <c r="S25" s="567">
        <v>0</v>
      </c>
    </row>
    <row r="26" spans="1:19">
      <c r="A26" s="1792" t="s">
        <v>107</v>
      </c>
      <c r="B26" s="1793" t="s">
        <v>466</v>
      </c>
      <c r="C26" s="1794" t="s">
        <v>110</v>
      </c>
      <c r="D26" s="531" t="s">
        <v>3</v>
      </c>
      <c r="E26" s="532"/>
      <c r="F26" s="532">
        <f t="shared" si="1"/>
        <v>11200</v>
      </c>
      <c r="G26" s="533">
        <v>0</v>
      </c>
      <c r="H26" s="534">
        <v>0</v>
      </c>
      <c r="I26" s="534">
        <v>11200</v>
      </c>
      <c r="J26" s="534">
        <v>0</v>
      </c>
      <c r="K26" s="534">
        <v>0</v>
      </c>
      <c r="L26" s="536">
        <v>0</v>
      </c>
      <c r="M26" s="533">
        <v>0</v>
      </c>
      <c r="N26" s="534">
        <v>0</v>
      </c>
      <c r="O26" s="534">
        <v>0</v>
      </c>
      <c r="P26" s="536">
        <v>0</v>
      </c>
      <c r="Q26" s="533">
        <v>0</v>
      </c>
      <c r="R26" s="543">
        <v>0</v>
      </c>
      <c r="S26" s="568">
        <v>0</v>
      </c>
    </row>
    <row r="27" spans="1:19">
      <c r="A27" s="1789"/>
      <c r="B27" s="1790"/>
      <c r="C27" s="1791"/>
      <c r="D27" s="272" t="s">
        <v>882</v>
      </c>
      <c r="E27" s="507"/>
      <c r="F27" s="507">
        <f t="shared" si="1"/>
        <v>11200</v>
      </c>
      <c r="G27" s="515">
        <v>0</v>
      </c>
      <c r="H27" s="501">
        <v>0</v>
      </c>
      <c r="I27" s="501">
        <v>11200</v>
      </c>
      <c r="J27" s="501">
        <v>0</v>
      </c>
      <c r="K27" s="501">
        <v>0</v>
      </c>
      <c r="L27" s="516">
        <v>0</v>
      </c>
      <c r="M27" s="515">
        <v>0</v>
      </c>
      <c r="N27" s="501">
        <v>0</v>
      </c>
      <c r="O27" s="501">
        <v>0</v>
      </c>
      <c r="P27" s="516">
        <v>0</v>
      </c>
      <c r="Q27" s="515">
        <v>0</v>
      </c>
      <c r="R27" s="523">
        <v>0</v>
      </c>
      <c r="S27" s="520">
        <v>0</v>
      </c>
    </row>
    <row r="28" spans="1:19" ht="15.75" thickBot="1">
      <c r="A28" s="1795"/>
      <c r="B28" s="1796"/>
      <c r="C28" s="1797"/>
      <c r="D28" s="1523" t="s">
        <v>981</v>
      </c>
      <c r="E28" s="181">
        <v>0</v>
      </c>
      <c r="F28" s="181">
        <f t="shared" ref="F28" si="8">SUM(G28:S28)</f>
        <v>11200</v>
      </c>
      <c r="G28" s="517">
        <v>0</v>
      </c>
      <c r="H28" s="179">
        <v>0</v>
      </c>
      <c r="I28" s="179">
        <v>11200</v>
      </c>
      <c r="J28" s="179">
        <v>0</v>
      </c>
      <c r="K28" s="179">
        <v>0</v>
      </c>
      <c r="L28" s="519">
        <v>0</v>
      </c>
      <c r="M28" s="517">
        <v>0</v>
      </c>
      <c r="N28" s="179">
        <v>0</v>
      </c>
      <c r="O28" s="179">
        <v>0</v>
      </c>
      <c r="P28" s="519">
        <v>0</v>
      </c>
      <c r="Q28" s="517">
        <v>0</v>
      </c>
      <c r="R28" s="180">
        <v>0</v>
      </c>
      <c r="S28" s="569">
        <v>0</v>
      </c>
    </row>
    <row r="29" spans="1:19">
      <c r="A29" s="1789" t="s">
        <v>107</v>
      </c>
      <c r="B29" s="1790" t="s">
        <v>468</v>
      </c>
      <c r="C29" s="1791" t="s">
        <v>467</v>
      </c>
      <c r="D29" s="506" t="s">
        <v>3</v>
      </c>
      <c r="E29" s="176">
        <v>0</v>
      </c>
      <c r="F29" s="176">
        <f t="shared" si="1"/>
        <v>447020</v>
      </c>
      <c r="G29" s="511">
        <v>0</v>
      </c>
      <c r="H29" s="503">
        <v>0</v>
      </c>
      <c r="I29" s="503">
        <v>127270</v>
      </c>
      <c r="J29" s="503">
        <v>0</v>
      </c>
      <c r="K29" s="503">
        <v>0</v>
      </c>
      <c r="L29" s="512">
        <v>0</v>
      </c>
      <c r="M29" s="511">
        <v>126309</v>
      </c>
      <c r="N29" s="503">
        <f>238441-45000</f>
        <v>193441</v>
      </c>
      <c r="O29" s="503">
        <v>0</v>
      </c>
      <c r="P29" s="512">
        <v>0</v>
      </c>
      <c r="Q29" s="511">
        <v>0</v>
      </c>
      <c r="R29" s="522">
        <v>0</v>
      </c>
      <c r="S29" s="566">
        <v>0</v>
      </c>
    </row>
    <row r="30" spans="1:19">
      <c r="A30" s="1789"/>
      <c r="B30" s="1790"/>
      <c r="C30" s="1791"/>
      <c r="D30" s="272" t="s">
        <v>882</v>
      </c>
      <c r="E30" s="507">
        <v>0</v>
      </c>
      <c r="F30" s="507">
        <f t="shared" si="1"/>
        <v>457525</v>
      </c>
      <c r="G30" s="513"/>
      <c r="H30" s="500"/>
      <c r="I30" s="500">
        <v>124896</v>
      </c>
      <c r="J30" s="500">
        <v>0</v>
      </c>
      <c r="K30" s="500">
        <v>0</v>
      </c>
      <c r="L30" s="514">
        <v>0</v>
      </c>
      <c r="M30" s="513">
        <v>139188</v>
      </c>
      <c r="N30" s="500">
        <v>193441</v>
      </c>
      <c r="O30" s="500">
        <v>0</v>
      </c>
      <c r="P30" s="514">
        <v>0</v>
      </c>
      <c r="Q30" s="513">
        <v>0</v>
      </c>
      <c r="R30" s="523">
        <v>0</v>
      </c>
      <c r="S30" s="520">
        <v>0</v>
      </c>
    </row>
    <row r="31" spans="1:19" ht="15.75" thickBot="1">
      <c r="A31" s="1789"/>
      <c r="B31" s="1790"/>
      <c r="C31" s="1791"/>
      <c r="D31" s="1523" t="s">
        <v>981</v>
      </c>
      <c r="E31" s="524">
        <v>0</v>
      </c>
      <c r="F31" s="181">
        <f t="shared" ref="F31" si="9">SUM(G31:S31)</f>
        <v>382525</v>
      </c>
      <c r="G31" s="525">
        <v>0</v>
      </c>
      <c r="H31" s="526">
        <v>0</v>
      </c>
      <c r="I31" s="526">
        <v>124896</v>
      </c>
      <c r="J31" s="526">
        <v>0</v>
      </c>
      <c r="K31" s="526">
        <v>0</v>
      </c>
      <c r="L31" s="527">
        <v>0</v>
      </c>
      <c r="M31" s="525">
        <v>64188</v>
      </c>
      <c r="N31" s="526">
        <v>193441</v>
      </c>
      <c r="O31" s="526">
        <v>0</v>
      </c>
      <c r="P31" s="527">
        <v>0</v>
      </c>
      <c r="Q31" s="525">
        <v>0</v>
      </c>
      <c r="R31" s="528">
        <v>0</v>
      </c>
      <c r="S31" s="567">
        <v>0</v>
      </c>
    </row>
    <row r="32" spans="1:19">
      <c r="A32" s="1792" t="s">
        <v>107</v>
      </c>
      <c r="B32" s="1793" t="s">
        <v>469</v>
      </c>
      <c r="C32" s="1794" t="s">
        <v>470</v>
      </c>
      <c r="D32" s="531" t="s">
        <v>3</v>
      </c>
      <c r="E32" s="532"/>
      <c r="F32" s="532">
        <f t="shared" si="1"/>
        <v>59170</v>
      </c>
      <c r="G32" s="533"/>
      <c r="H32" s="534"/>
      <c r="I32" s="534">
        <v>59170</v>
      </c>
      <c r="J32" s="534"/>
      <c r="K32" s="534"/>
      <c r="L32" s="536"/>
      <c r="M32" s="533"/>
      <c r="N32" s="534"/>
      <c r="O32" s="534"/>
      <c r="P32" s="536"/>
      <c r="Q32" s="533"/>
      <c r="R32" s="543"/>
      <c r="S32" s="568"/>
    </row>
    <row r="33" spans="1:19">
      <c r="A33" s="1789"/>
      <c r="B33" s="1790"/>
      <c r="C33" s="1791"/>
      <c r="D33" s="272" t="s">
        <v>882</v>
      </c>
      <c r="E33" s="507"/>
      <c r="F33" s="507">
        <f t="shared" si="1"/>
        <v>59170</v>
      </c>
      <c r="G33" s="515"/>
      <c r="H33" s="501"/>
      <c r="I33" s="501">
        <v>59170</v>
      </c>
      <c r="J33" s="501"/>
      <c r="K33" s="501"/>
      <c r="L33" s="516"/>
      <c r="M33" s="515"/>
      <c r="N33" s="501"/>
      <c r="O33" s="501"/>
      <c r="P33" s="516"/>
      <c r="Q33" s="515"/>
      <c r="R33" s="523"/>
      <c r="S33" s="520"/>
    </row>
    <row r="34" spans="1:19" ht="15.75" thickBot="1">
      <c r="A34" s="1795"/>
      <c r="B34" s="1796"/>
      <c r="C34" s="1797"/>
      <c r="D34" s="1523" t="s">
        <v>981</v>
      </c>
      <c r="E34" s="181">
        <v>0</v>
      </c>
      <c r="F34" s="181">
        <f t="shared" ref="F34" si="10">SUM(G34:S34)</f>
        <v>59170</v>
      </c>
      <c r="G34" s="517">
        <v>0</v>
      </c>
      <c r="H34" s="179">
        <v>0</v>
      </c>
      <c r="I34" s="179">
        <v>59170</v>
      </c>
      <c r="J34" s="179">
        <v>0</v>
      </c>
      <c r="K34" s="179">
        <v>0</v>
      </c>
      <c r="L34" s="519">
        <v>0</v>
      </c>
      <c r="M34" s="517">
        <v>0</v>
      </c>
      <c r="N34" s="179">
        <v>0</v>
      </c>
      <c r="O34" s="179">
        <v>0</v>
      </c>
      <c r="P34" s="519">
        <v>0</v>
      </c>
      <c r="Q34" s="517">
        <v>0</v>
      </c>
      <c r="R34" s="180">
        <v>0</v>
      </c>
      <c r="S34" s="569">
        <v>0</v>
      </c>
    </row>
    <row r="35" spans="1:19">
      <c r="A35" s="1789" t="s">
        <v>107</v>
      </c>
      <c r="B35" s="1790" t="s">
        <v>471</v>
      </c>
      <c r="C35" s="1791" t="s">
        <v>472</v>
      </c>
      <c r="D35" s="506" t="s">
        <v>3</v>
      </c>
      <c r="E35" s="176"/>
      <c r="F35" s="176">
        <f t="shared" si="1"/>
        <v>62500</v>
      </c>
      <c r="G35" s="511">
        <v>0</v>
      </c>
      <c r="H35" s="503">
        <v>0</v>
      </c>
      <c r="I35" s="503">
        <v>14000</v>
      </c>
      <c r="J35" s="503">
        <v>0</v>
      </c>
      <c r="K35" s="503">
        <v>0</v>
      </c>
      <c r="L35" s="512">
        <v>0</v>
      </c>
      <c r="M35" s="511">
        <v>0</v>
      </c>
      <c r="N35" s="503">
        <v>48500</v>
      </c>
      <c r="O35" s="503">
        <v>0</v>
      </c>
      <c r="P35" s="512">
        <v>0</v>
      </c>
      <c r="Q35" s="511">
        <v>0</v>
      </c>
      <c r="R35" s="522">
        <v>0</v>
      </c>
      <c r="S35" s="566">
        <v>0</v>
      </c>
    </row>
    <row r="36" spans="1:19">
      <c r="A36" s="1789"/>
      <c r="B36" s="1790"/>
      <c r="C36" s="1791"/>
      <c r="D36" s="272" t="s">
        <v>882</v>
      </c>
      <c r="E36" s="507"/>
      <c r="F36" s="507">
        <f t="shared" si="1"/>
        <v>60600</v>
      </c>
      <c r="G36" s="513">
        <v>0</v>
      </c>
      <c r="H36" s="500">
        <v>0</v>
      </c>
      <c r="I36" s="500">
        <v>14000</v>
      </c>
      <c r="J36" s="500">
        <v>0</v>
      </c>
      <c r="K36" s="500">
        <v>0</v>
      </c>
      <c r="L36" s="514">
        <v>0</v>
      </c>
      <c r="M36" s="513">
        <v>0</v>
      </c>
      <c r="N36" s="500">
        <v>46600</v>
      </c>
      <c r="O36" s="500">
        <v>0</v>
      </c>
      <c r="P36" s="514">
        <v>0</v>
      </c>
      <c r="Q36" s="513">
        <v>0</v>
      </c>
      <c r="R36" s="523">
        <v>0</v>
      </c>
      <c r="S36" s="520">
        <v>0</v>
      </c>
    </row>
    <row r="37" spans="1:19" ht="15.75" thickBot="1">
      <c r="A37" s="1789"/>
      <c r="B37" s="1790"/>
      <c r="C37" s="1791"/>
      <c r="D37" s="1523" t="s">
        <v>981</v>
      </c>
      <c r="E37" s="524">
        <v>0</v>
      </c>
      <c r="F37" s="181">
        <f t="shared" ref="F37" si="11">SUM(G37:S37)</f>
        <v>60600</v>
      </c>
      <c r="G37" s="525">
        <v>0</v>
      </c>
      <c r="H37" s="526">
        <v>0</v>
      </c>
      <c r="I37" s="526">
        <v>14000</v>
      </c>
      <c r="J37" s="526">
        <v>0</v>
      </c>
      <c r="K37" s="526">
        <v>0</v>
      </c>
      <c r="L37" s="527">
        <v>0</v>
      </c>
      <c r="M37" s="525">
        <v>0</v>
      </c>
      <c r="N37" s="526">
        <v>46600</v>
      </c>
      <c r="O37" s="526">
        <v>0</v>
      </c>
      <c r="P37" s="527">
        <v>0</v>
      </c>
      <c r="Q37" s="525">
        <v>0</v>
      </c>
      <c r="R37" s="528">
        <v>0</v>
      </c>
      <c r="S37" s="567">
        <v>0</v>
      </c>
    </row>
    <row r="38" spans="1:19">
      <c r="A38" s="1792" t="s">
        <v>107</v>
      </c>
      <c r="B38" s="1793" t="s">
        <v>473</v>
      </c>
      <c r="C38" s="1794" t="s">
        <v>111</v>
      </c>
      <c r="D38" s="531" t="s">
        <v>3</v>
      </c>
      <c r="E38" s="532"/>
      <c r="F38" s="532">
        <f t="shared" si="1"/>
        <v>34752</v>
      </c>
      <c r="G38" s="533">
        <v>0</v>
      </c>
      <c r="H38" s="534">
        <v>0</v>
      </c>
      <c r="I38" s="534">
        <v>26752</v>
      </c>
      <c r="J38" s="534">
        <v>0</v>
      </c>
      <c r="K38" s="534">
        <v>0</v>
      </c>
      <c r="L38" s="536">
        <v>0</v>
      </c>
      <c r="M38" s="533">
        <v>8000</v>
      </c>
      <c r="N38" s="534">
        <v>0</v>
      </c>
      <c r="O38" s="534">
        <v>0</v>
      </c>
      <c r="P38" s="536">
        <v>0</v>
      </c>
      <c r="Q38" s="533">
        <v>0</v>
      </c>
      <c r="R38" s="543">
        <v>0</v>
      </c>
      <c r="S38" s="568">
        <v>0</v>
      </c>
    </row>
    <row r="39" spans="1:19">
      <c r="A39" s="1789"/>
      <c r="B39" s="1790"/>
      <c r="C39" s="1791"/>
      <c r="D39" s="272" t="s">
        <v>882</v>
      </c>
      <c r="E39" s="507"/>
      <c r="F39" s="507">
        <f t="shared" si="1"/>
        <v>30952</v>
      </c>
      <c r="G39" s="515">
        <v>0</v>
      </c>
      <c r="H39" s="501">
        <v>0</v>
      </c>
      <c r="I39" s="501">
        <v>22952</v>
      </c>
      <c r="J39" s="501">
        <v>0</v>
      </c>
      <c r="K39" s="501">
        <v>0</v>
      </c>
      <c r="L39" s="516">
        <v>0</v>
      </c>
      <c r="M39" s="515">
        <v>8000</v>
      </c>
      <c r="N39" s="501">
        <v>0</v>
      </c>
      <c r="O39" s="501">
        <v>0</v>
      </c>
      <c r="P39" s="516">
        <v>0</v>
      </c>
      <c r="Q39" s="515">
        <v>0</v>
      </c>
      <c r="R39" s="523">
        <v>0</v>
      </c>
      <c r="S39" s="520">
        <v>0</v>
      </c>
    </row>
    <row r="40" spans="1:19" ht="15.75" thickBot="1">
      <c r="A40" s="1795"/>
      <c r="B40" s="1796"/>
      <c r="C40" s="1797"/>
      <c r="D40" s="1523" t="s">
        <v>981</v>
      </c>
      <c r="E40" s="181">
        <v>0</v>
      </c>
      <c r="F40" s="181">
        <f t="shared" ref="F40" si="12">SUM(G40:S40)</f>
        <v>30082</v>
      </c>
      <c r="G40" s="517">
        <v>0</v>
      </c>
      <c r="H40" s="179">
        <v>0</v>
      </c>
      <c r="I40" s="179">
        <v>22952</v>
      </c>
      <c r="J40" s="179">
        <v>0</v>
      </c>
      <c r="K40" s="179">
        <v>0</v>
      </c>
      <c r="L40" s="519">
        <v>0</v>
      </c>
      <c r="M40" s="517">
        <v>7130</v>
      </c>
      <c r="N40" s="179">
        <v>0</v>
      </c>
      <c r="O40" s="179">
        <v>0</v>
      </c>
      <c r="P40" s="519">
        <v>0</v>
      </c>
      <c r="Q40" s="517">
        <v>0</v>
      </c>
      <c r="R40" s="180">
        <v>0</v>
      </c>
      <c r="S40" s="569">
        <v>0</v>
      </c>
    </row>
    <row r="41" spans="1:19">
      <c r="A41" s="1789" t="s">
        <v>107</v>
      </c>
      <c r="B41" s="1790" t="s">
        <v>474</v>
      </c>
      <c r="C41" s="1791" t="s">
        <v>475</v>
      </c>
      <c r="D41" s="506" t="s">
        <v>3</v>
      </c>
      <c r="E41" s="176">
        <v>27000</v>
      </c>
      <c r="F41" s="176">
        <f t="shared" si="1"/>
        <v>235000</v>
      </c>
      <c r="G41" s="529">
        <v>0</v>
      </c>
      <c r="H41" s="508">
        <v>0</v>
      </c>
      <c r="I41" s="508">
        <v>54150</v>
      </c>
      <c r="J41" s="508">
        <v>0</v>
      </c>
      <c r="K41" s="508">
        <v>0</v>
      </c>
      <c r="L41" s="530">
        <v>0</v>
      </c>
      <c r="M41" s="529">
        <v>33350</v>
      </c>
      <c r="N41" s="508">
        <f>102500+45000</f>
        <v>147500</v>
      </c>
      <c r="O41" s="508">
        <v>0</v>
      </c>
      <c r="P41" s="530">
        <v>0</v>
      </c>
      <c r="Q41" s="529">
        <v>0</v>
      </c>
      <c r="R41" s="522">
        <v>0</v>
      </c>
      <c r="S41" s="566">
        <v>0</v>
      </c>
    </row>
    <row r="42" spans="1:19">
      <c r="A42" s="1789"/>
      <c r="B42" s="1790"/>
      <c r="C42" s="1791"/>
      <c r="D42" s="272" t="s">
        <v>882</v>
      </c>
      <c r="E42" s="507">
        <v>27000</v>
      </c>
      <c r="F42" s="507">
        <f t="shared" si="1"/>
        <v>440014</v>
      </c>
      <c r="G42" s="515">
        <v>0</v>
      </c>
      <c r="H42" s="501">
        <v>0</v>
      </c>
      <c r="I42" s="501">
        <v>54150</v>
      </c>
      <c r="J42" s="501">
        <v>0</v>
      </c>
      <c r="K42" s="501">
        <v>0</v>
      </c>
      <c r="L42" s="516">
        <v>0</v>
      </c>
      <c r="M42" s="515">
        <v>183350</v>
      </c>
      <c r="N42" s="501">
        <v>202514</v>
      </c>
      <c r="O42" s="501">
        <v>0</v>
      </c>
      <c r="P42" s="516">
        <v>0</v>
      </c>
      <c r="Q42" s="515">
        <v>0</v>
      </c>
      <c r="R42" s="523">
        <v>0</v>
      </c>
      <c r="S42" s="520">
        <v>0</v>
      </c>
    </row>
    <row r="43" spans="1:19" ht="15.75" thickBot="1">
      <c r="A43" s="1789"/>
      <c r="B43" s="1790"/>
      <c r="C43" s="1791"/>
      <c r="D43" s="1523" t="s">
        <v>981</v>
      </c>
      <c r="E43" s="524">
        <v>27000</v>
      </c>
      <c r="F43" s="181">
        <f t="shared" ref="F43" si="13">SUM(G43:S43)</f>
        <v>437787</v>
      </c>
      <c r="G43" s="539">
        <v>18</v>
      </c>
      <c r="H43" s="540">
        <v>8</v>
      </c>
      <c r="I43" s="540">
        <v>51924</v>
      </c>
      <c r="J43" s="540">
        <v>0</v>
      </c>
      <c r="K43" s="540">
        <v>0</v>
      </c>
      <c r="L43" s="541">
        <v>0</v>
      </c>
      <c r="M43" s="539">
        <v>183350</v>
      </c>
      <c r="N43" s="540">
        <v>202487</v>
      </c>
      <c r="O43" s="540">
        <v>0</v>
      </c>
      <c r="P43" s="541">
        <v>0</v>
      </c>
      <c r="Q43" s="539">
        <v>0</v>
      </c>
      <c r="R43" s="528">
        <v>0</v>
      </c>
      <c r="S43" s="567">
        <v>0</v>
      </c>
    </row>
    <row r="44" spans="1:19">
      <c r="A44" s="1792" t="s">
        <v>107</v>
      </c>
      <c r="B44" s="1793" t="s">
        <v>476</v>
      </c>
      <c r="C44" s="1794" t="s">
        <v>112</v>
      </c>
      <c r="D44" s="531" t="s">
        <v>3</v>
      </c>
      <c r="E44" s="532"/>
      <c r="F44" s="532">
        <f t="shared" si="1"/>
        <v>73200</v>
      </c>
      <c r="G44" s="542">
        <v>0</v>
      </c>
      <c r="H44" s="535">
        <v>0</v>
      </c>
      <c r="I44" s="535">
        <v>50965</v>
      </c>
      <c r="J44" s="535">
        <v>0</v>
      </c>
      <c r="K44" s="535">
        <v>0</v>
      </c>
      <c r="L44" s="537">
        <v>0</v>
      </c>
      <c r="M44" s="542">
        <v>14500</v>
      </c>
      <c r="N44" s="535">
        <v>7735</v>
      </c>
      <c r="O44" s="535">
        <v>0</v>
      </c>
      <c r="P44" s="537">
        <v>0</v>
      </c>
      <c r="Q44" s="542">
        <v>0</v>
      </c>
      <c r="R44" s="537">
        <v>0</v>
      </c>
      <c r="S44" s="570">
        <v>0</v>
      </c>
    </row>
    <row r="45" spans="1:19">
      <c r="A45" s="1789"/>
      <c r="B45" s="1790"/>
      <c r="C45" s="1791"/>
      <c r="D45" s="272" t="s">
        <v>882</v>
      </c>
      <c r="E45" s="507"/>
      <c r="F45" s="507">
        <f t="shared" si="1"/>
        <v>73200</v>
      </c>
      <c r="G45" s="513">
        <v>0</v>
      </c>
      <c r="H45" s="500">
        <v>0</v>
      </c>
      <c r="I45" s="500">
        <v>50965</v>
      </c>
      <c r="J45" s="500">
        <v>0</v>
      </c>
      <c r="K45" s="500">
        <v>0</v>
      </c>
      <c r="L45" s="514">
        <v>0</v>
      </c>
      <c r="M45" s="513">
        <v>14500</v>
      </c>
      <c r="N45" s="500">
        <v>7735</v>
      </c>
      <c r="O45" s="500">
        <v>0</v>
      </c>
      <c r="P45" s="514">
        <v>0</v>
      </c>
      <c r="Q45" s="513">
        <v>0</v>
      </c>
      <c r="R45" s="514">
        <v>0</v>
      </c>
      <c r="S45" s="571">
        <v>0</v>
      </c>
    </row>
    <row r="46" spans="1:19" ht="15.75" thickBot="1">
      <c r="A46" s="1789"/>
      <c r="B46" s="1790"/>
      <c r="C46" s="1791"/>
      <c r="D46" s="1523" t="s">
        <v>981</v>
      </c>
      <c r="E46" s="181">
        <v>0</v>
      </c>
      <c r="F46" s="181">
        <f t="shared" ref="F46" si="14">SUM(G46:S46)</f>
        <v>75397</v>
      </c>
      <c r="G46" s="544">
        <v>0</v>
      </c>
      <c r="H46" s="518">
        <v>0</v>
      </c>
      <c r="I46" s="518">
        <v>49243</v>
      </c>
      <c r="J46" s="518">
        <v>0</v>
      </c>
      <c r="K46" s="518">
        <v>0</v>
      </c>
      <c r="L46" s="538">
        <v>0</v>
      </c>
      <c r="M46" s="544">
        <v>18419</v>
      </c>
      <c r="N46" s="518">
        <v>7735</v>
      </c>
      <c r="O46" s="518">
        <v>0</v>
      </c>
      <c r="P46" s="538">
        <v>0</v>
      </c>
      <c r="Q46" s="544">
        <v>0</v>
      </c>
      <c r="R46" s="538">
        <v>0</v>
      </c>
      <c r="S46" s="572">
        <v>0</v>
      </c>
    </row>
    <row r="47" spans="1:19">
      <c r="A47" s="1743" t="s">
        <v>107</v>
      </c>
      <c r="B47" s="1781" t="s">
        <v>477</v>
      </c>
      <c r="C47" s="1779" t="s">
        <v>478</v>
      </c>
      <c r="D47" s="531" t="s">
        <v>3</v>
      </c>
      <c r="E47" s="532"/>
      <c r="F47" s="532">
        <f t="shared" si="1"/>
        <v>12300</v>
      </c>
      <c r="G47" s="533">
        <v>0</v>
      </c>
      <c r="H47" s="534">
        <v>0</v>
      </c>
      <c r="I47" s="534">
        <v>7300</v>
      </c>
      <c r="J47" s="534">
        <v>0</v>
      </c>
      <c r="K47" s="534">
        <v>0</v>
      </c>
      <c r="L47" s="536">
        <v>0</v>
      </c>
      <c r="M47" s="533">
        <v>0</v>
      </c>
      <c r="N47" s="534">
        <v>5000</v>
      </c>
      <c r="O47" s="534">
        <v>0</v>
      </c>
      <c r="P47" s="536">
        <v>0</v>
      </c>
      <c r="Q47" s="533">
        <v>0</v>
      </c>
      <c r="R47" s="543">
        <v>0</v>
      </c>
      <c r="S47" s="568">
        <v>0</v>
      </c>
    </row>
    <row r="48" spans="1:19">
      <c r="A48" s="1744"/>
      <c r="B48" s="1777"/>
      <c r="C48" s="1774"/>
      <c r="D48" s="272" t="s">
        <v>882</v>
      </c>
      <c r="E48" s="507"/>
      <c r="F48" s="507">
        <f t="shared" si="1"/>
        <v>12300</v>
      </c>
      <c r="G48" s="515">
        <v>0</v>
      </c>
      <c r="H48" s="501">
        <v>0</v>
      </c>
      <c r="I48" s="501">
        <v>7300</v>
      </c>
      <c r="J48" s="501">
        <v>0</v>
      </c>
      <c r="K48" s="501">
        <v>0</v>
      </c>
      <c r="L48" s="516">
        <v>0</v>
      </c>
      <c r="M48" s="515">
        <v>0</v>
      </c>
      <c r="N48" s="501">
        <v>5000</v>
      </c>
      <c r="O48" s="501">
        <v>0</v>
      </c>
      <c r="P48" s="516">
        <v>0</v>
      </c>
      <c r="Q48" s="515">
        <v>0</v>
      </c>
      <c r="R48" s="523">
        <v>0</v>
      </c>
      <c r="S48" s="520">
        <v>0</v>
      </c>
    </row>
    <row r="49" spans="1:19" ht="15.75" thickBot="1">
      <c r="A49" s="1768"/>
      <c r="B49" s="1778"/>
      <c r="C49" s="1775"/>
      <c r="D49" s="1523" t="s">
        <v>981</v>
      </c>
      <c r="E49" s="1294">
        <v>0</v>
      </c>
      <c r="F49" s="181">
        <f t="shared" ref="F49" si="15">SUM(G49:S49)</f>
        <v>12300</v>
      </c>
      <c r="G49" s="1295">
        <v>0</v>
      </c>
      <c r="H49" s="1296">
        <v>0</v>
      </c>
      <c r="I49" s="1296">
        <v>7300</v>
      </c>
      <c r="J49" s="1296">
        <v>0</v>
      </c>
      <c r="K49" s="1296">
        <v>0</v>
      </c>
      <c r="L49" s="1297">
        <v>0</v>
      </c>
      <c r="M49" s="1295">
        <v>0</v>
      </c>
      <c r="N49" s="1296">
        <v>5000</v>
      </c>
      <c r="O49" s="1296">
        <v>0</v>
      </c>
      <c r="P49" s="1297">
        <v>0</v>
      </c>
      <c r="Q49" s="1295">
        <v>0</v>
      </c>
      <c r="R49" s="1298">
        <v>0</v>
      </c>
      <c r="S49" s="1299">
        <v>0</v>
      </c>
    </row>
    <row r="50" spans="1:19">
      <c r="A50" s="1743" t="s">
        <v>107</v>
      </c>
      <c r="B50" s="1781" t="s">
        <v>479</v>
      </c>
      <c r="C50" s="1779" t="s">
        <v>480</v>
      </c>
      <c r="D50" s="531" t="s">
        <v>3</v>
      </c>
      <c r="E50" s="532"/>
      <c r="F50" s="532">
        <f t="shared" si="1"/>
        <v>112115</v>
      </c>
      <c r="G50" s="533">
        <v>0</v>
      </c>
      <c r="H50" s="534">
        <v>0</v>
      </c>
      <c r="I50" s="534">
        <v>87255</v>
      </c>
      <c r="J50" s="534">
        <v>0</v>
      </c>
      <c r="K50" s="535">
        <v>0</v>
      </c>
      <c r="L50" s="536">
        <v>0</v>
      </c>
      <c r="M50" s="533">
        <v>19145</v>
      </c>
      <c r="N50" s="534">
        <v>5715</v>
      </c>
      <c r="O50" s="534">
        <v>0</v>
      </c>
      <c r="P50" s="536">
        <v>0</v>
      </c>
      <c r="Q50" s="533">
        <v>0</v>
      </c>
      <c r="R50" s="543">
        <v>0</v>
      </c>
      <c r="S50" s="568">
        <v>0</v>
      </c>
    </row>
    <row r="51" spans="1:19">
      <c r="A51" s="1744"/>
      <c r="B51" s="1777"/>
      <c r="C51" s="1774"/>
      <c r="D51" s="272" t="s">
        <v>882</v>
      </c>
      <c r="E51" s="507"/>
      <c r="F51" s="507">
        <f t="shared" si="1"/>
        <v>104594</v>
      </c>
      <c r="G51" s="515">
        <v>0</v>
      </c>
      <c r="H51" s="501">
        <v>0</v>
      </c>
      <c r="I51" s="501">
        <v>81255</v>
      </c>
      <c r="J51" s="501">
        <v>0</v>
      </c>
      <c r="K51" s="500">
        <v>0</v>
      </c>
      <c r="L51" s="516">
        <v>0</v>
      </c>
      <c r="M51" s="515">
        <v>19145</v>
      </c>
      <c r="N51" s="501">
        <v>4194</v>
      </c>
      <c r="O51" s="501">
        <v>0</v>
      </c>
      <c r="P51" s="516">
        <v>0</v>
      </c>
      <c r="Q51" s="515">
        <v>0</v>
      </c>
      <c r="R51" s="523">
        <v>0</v>
      </c>
      <c r="S51" s="520">
        <v>0</v>
      </c>
    </row>
    <row r="52" spans="1:19" ht="15.75" thickBot="1">
      <c r="A52" s="1768"/>
      <c r="B52" s="1778"/>
      <c r="C52" s="1775"/>
      <c r="D52" s="1523" t="s">
        <v>981</v>
      </c>
      <c r="E52" s="524">
        <v>0</v>
      </c>
      <c r="F52" s="181">
        <f t="shared" ref="F52" si="16">SUM(G52:S52)</f>
        <v>88084</v>
      </c>
      <c r="G52" s="539">
        <v>0</v>
      </c>
      <c r="H52" s="540">
        <v>0</v>
      </c>
      <c r="I52" s="540">
        <v>81255</v>
      </c>
      <c r="J52" s="540">
        <v>0</v>
      </c>
      <c r="K52" s="526">
        <v>0</v>
      </c>
      <c r="L52" s="541">
        <v>0</v>
      </c>
      <c r="M52" s="539">
        <v>2635</v>
      </c>
      <c r="N52" s="540">
        <v>4194</v>
      </c>
      <c r="O52" s="540">
        <v>0</v>
      </c>
      <c r="P52" s="541">
        <v>0</v>
      </c>
      <c r="Q52" s="539">
        <v>0</v>
      </c>
      <c r="R52" s="528">
        <v>0</v>
      </c>
      <c r="S52" s="567">
        <v>0</v>
      </c>
    </row>
    <row r="53" spans="1:19">
      <c r="A53" s="1743" t="s">
        <v>107</v>
      </c>
      <c r="B53" s="1781" t="s">
        <v>484</v>
      </c>
      <c r="C53" s="1779" t="s">
        <v>483</v>
      </c>
      <c r="D53" s="531" t="s">
        <v>3</v>
      </c>
      <c r="E53" s="532">
        <v>96</v>
      </c>
      <c r="F53" s="532">
        <f t="shared" si="1"/>
        <v>33008</v>
      </c>
      <c r="G53" s="533">
        <v>1881</v>
      </c>
      <c r="H53" s="534">
        <v>456</v>
      </c>
      <c r="I53" s="534">
        <v>5500</v>
      </c>
      <c r="J53" s="534">
        <v>0</v>
      </c>
      <c r="K53" s="535">
        <v>0</v>
      </c>
      <c r="L53" s="536">
        <v>0</v>
      </c>
      <c r="M53" s="533">
        <v>20171</v>
      </c>
      <c r="N53" s="534">
        <v>0</v>
      </c>
      <c r="O53" s="534">
        <v>5000</v>
      </c>
      <c r="P53" s="536">
        <v>0</v>
      </c>
      <c r="Q53" s="533">
        <v>0</v>
      </c>
      <c r="R53" s="543">
        <v>0</v>
      </c>
      <c r="S53" s="568">
        <v>0</v>
      </c>
    </row>
    <row r="54" spans="1:19">
      <c r="A54" s="1744"/>
      <c r="B54" s="1777"/>
      <c r="C54" s="1774"/>
      <c r="D54" s="272" t="s">
        <v>882</v>
      </c>
      <c r="E54" s="507">
        <v>96</v>
      </c>
      <c r="F54" s="507">
        <f t="shared" si="1"/>
        <v>33008</v>
      </c>
      <c r="G54" s="515">
        <v>1881</v>
      </c>
      <c r="H54" s="501">
        <v>456</v>
      </c>
      <c r="I54" s="501">
        <v>5500</v>
      </c>
      <c r="J54" s="501">
        <v>0</v>
      </c>
      <c r="K54" s="500">
        <v>0</v>
      </c>
      <c r="L54" s="516">
        <v>0</v>
      </c>
      <c r="M54" s="515">
        <v>20171</v>
      </c>
      <c r="N54" s="501">
        <v>0</v>
      </c>
      <c r="O54" s="501">
        <v>5000</v>
      </c>
      <c r="P54" s="516">
        <v>0</v>
      </c>
      <c r="Q54" s="515">
        <v>0</v>
      </c>
      <c r="R54" s="523">
        <v>0</v>
      </c>
      <c r="S54" s="520">
        <v>0</v>
      </c>
    </row>
    <row r="55" spans="1:19" ht="15.75" thickBot="1">
      <c r="A55" s="1745"/>
      <c r="B55" s="1782"/>
      <c r="C55" s="1780"/>
      <c r="D55" s="1523" t="s">
        <v>981</v>
      </c>
      <c r="E55" s="181">
        <v>96</v>
      </c>
      <c r="F55" s="181">
        <f t="shared" ref="F55" si="17">SUM(G55:S55)</f>
        <v>33008</v>
      </c>
      <c r="G55" s="517">
        <v>1881</v>
      </c>
      <c r="H55" s="179">
        <v>456</v>
      </c>
      <c r="I55" s="179">
        <v>5500</v>
      </c>
      <c r="J55" s="179">
        <v>0</v>
      </c>
      <c r="K55" s="518">
        <v>0</v>
      </c>
      <c r="L55" s="519">
        <v>0</v>
      </c>
      <c r="M55" s="517">
        <v>20171</v>
      </c>
      <c r="N55" s="179">
        <v>0</v>
      </c>
      <c r="O55" s="179">
        <v>5000</v>
      </c>
      <c r="P55" s="519">
        <v>0</v>
      </c>
      <c r="Q55" s="517">
        <v>0</v>
      </c>
      <c r="R55" s="180">
        <v>0</v>
      </c>
      <c r="S55" s="569">
        <v>0</v>
      </c>
    </row>
    <row r="56" spans="1:19">
      <c r="A56" s="1767" t="s">
        <v>107</v>
      </c>
      <c r="B56" s="1776" t="s">
        <v>481</v>
      </c>
      <c r="C56" s="1773" t="s">
        <v>482</v>
      </c>
      <c r="D56" s="506" t="s">
        <v>3</v>
      </c>
      <c r="E56" s="176"/>
      <c r="F56" s="176">
        <f t="shared" si="1"/>
        <v>8020</v>
      </c>
      <c r="G56" s="529"/>
      <c r="H56" s="508"/>
      <c r="I56" s="508">
        <v>8020</v>
      </c>
      <c r="J56" s="508"/>
      <c r="K56" s="508"/>
      <c r="L56" s="530"/>
      <c r="M56" s="529"/>
      <c r="N56" s="508"/>
      <c r="O56" s="508"/>
      <c r="P56" s="530"/>
      <c r="Q56" s="529"/>
      <c r="R56" s="522"/>
      <c r="S56" s="566"/>
    </row>
    <row r="57" spans="1:19">
      <c r="A57" s="1744"/>
      <c r="B57" s="1777"/>
      <c r="C57" s="1774"/>
      <c r="D57" s="272" t="s">
        <v>882</v>
      </c>
      <c r="E57" s="507"/>
      <c r="F57" s="507">
        <f t="shared" si="1"/>
        <v>8020</v>
      </c>
      <c r="G57" s="515"/>
      <c r="H57" s="501"/>
      <c r="I57" s="501">
        <v>8020</v>
      </c>
      <c r="J57" s="501"/>
      <c r="K57" s="501"/>
      <c r="L57" s="516"/>
      <c r="M57" s="515"/>
      <c r="N57" s="501"/>
      <c r="O57" s="501"/>
      <c r="P57" s="516"/>
      <c r="Q57" s="515"/>
      <c r="R57" s="523"/>
      <c r="S57" s="520"/>
    </row>
    <row r="58" spans="1:19" ht="15.75" thickBot="1">
      <c r="A58" s="1768"/>
      <c r="B58" s="1778"/>
      <c r="C58" s="1775"/>
      <c r="D58" s="1523" t="s">
        <v>981</v>
      </c>
      <c r="E58" s="524">
        <v>0</v>
      </c>
      <c r="F58" s="181">
        <f t="shared" ref="F58" si="18">SUM(G58:S58)</f>
        <v>8020</v>
      </c>
      <c r="G58" s="517">
        <f t="shared" ref="G58:S58" si="19">G57</f>
        <v>0</v>
      </c>
      <c r="H58" s="1524">
        <f t="shared" si="19"/>
        <v>0</v>
      </c>
      <c r="I58" s="1524">
        <f t="shared" si="19"/>
        <v>8020</v>
      </c>
      <c r="J58" s="1524">
        <f t="shared" si="19"/>
        <v>0</v>
      </c>
      <c r="K58" s="1524">
        <f t="shared" si="19"/>
        <v>0</v>
      </c>
      <c r="L58" s="519">
        <f t="shared" si="19"/>
        <v>0</v>
      </c>
      <c r="M58" s="517">
        <f t="shared" si="19"/>
        <v>0</v>
      </c>
      <c r="N58" s="1524">
        <f t="shared" si="19"/>
        <v>0</v>
      </c>
      <c r="O58" s="1524">
        <f t="shared" si="19"/>
        <v>0</v>
      </c>
      <c r="P58" s="519">
        <f t="shared" si="19"/>
        <v>0</v>
      </c>
      <c r="Q58" s="517">
        <f t="shared" si="19"/>
        <v>0</v>
      </c>
      <c r="R58" s="180">
        <f t="shared" si="19"/>
        <v>0</v>
      </c>
      <c r="S58" s="569">
        <f t="shared" si="19"/>
        <v>0</v>
      </c>
    </row>
    <row r="59" spans="1:19">
      <c r="A59" s="1743" t="s">
        <v>107</v>
      </c>
      <c r="B59" s="1781" t="s">
        <v>485</v>
      </c>
      <c r="C59" s="1779" t="s">
        <v>486</v>
      </c>
      <c r="D59" s="531" t="s">
        <v>3</v>
      </c>
      <c r="E59" s="532"/>
      <c r="F59" s="532">
        <f t="shared" si="1"/>
        <v>50970</v>
      </c>
      <c r="G59" s="542"/>
      <c r="H59" s="535"/>
      <c r="I59" s="535">
        <v>26000</v>
      </c>
      <c r="J59" s="535"/>
      <c r="K59" s="535"/>
      <c r="L59" s="537"/>
      <c r="M59" s="542">
        <v>22970</v>
      </c>
      <c r="N59" s="535">
        <v>2000</v>
      </c>
      <c r="O59" s="535"/>
      <c r="P59" s="537"/>
      <c r="Q59" s="542"/>
      <c r="R59" s="543"/>
      <c r="S59" s="568"/>
    </row>
    <row r="60" spans="1:19">
      <c r="A60" s="1744"/>
      <c r="B60" s="1777"/>
      <c r="C60" s="1774"/>
      <c r="D60" s="272" t="s">
        <v>882</v>
      </c>
      <c r="E60" s="507"/>
      <c r="F60" s="507">
        <f t="shared" si="1"/>
        <v>50970</v>
      </c>
      <c r="G60" s="513"/>
      <c r="H60" s="500"/>
      <c r="I60" s="500">
        <v>26000</v>
      </c>
      <c r="J60" s="500"/>
      <c r="K60" s="500"/>
      <c r="L60" s="514"/>
      <c r="M60" s="513">
        <v>22970</v>
      </c>
      <c r="N60" s="500">
        <v>2000</v>
      </c>
      <c r="O60" s="500"/>
      <c r="P60" s="514"/>
      <c r="Q60" s="513"/>
      <c r="R60" s="523"/>
      <c r="S60" s="520"/>
    </row>
    <row r="61" spans="1:19" ht="15.75" thickBot="1">
      <c r="A61" s="1745"/>
      <c r="B61" s="1782"/>
      <c r="C61" s="1780"/>
      <c r="D61" s="1523" t="s">
        <v>981</v>
      </c>
      <c r="E61" s="181">
        <v>0</v>
      </c>
      <c r="F61" s="181">
        <f t="shared" ref="F61" si="20">SUM(G61:S61)</f>
        <v>36350</v>
      </c>
      <c r="G61" s="544">
        <v>0</v>
      </c>
      <c r="H61" s="518">
        <v>0</v>
      </c>
      <c r="I61" s="518">
        <v>19000</v>
      </c>
      <c r="J61" s="518">
        <v>0</v>
      </c>
      <c r="K61" s="518">
        <v>0</v>
      </c>
      <c r="L61" s="538">
        <v>0</v>
      </c>
      <c r="M61" s="544">
        <v>15350</v>
      </c>
      <c r="N61" s="518">
        <v>2000</v>
      </c>
      <c r="O61" s="518">
        <v>0</v>
      </c>
      <c r="P61" s="538">
        <v>0</v>
      </c>
      <c r="Q61" s="544">
        <v>0</v>
      </c>
      <c r="R61" s="180">
        <v>0</v>
      </c>
      <c r="S61" s="569">
        <v>0</v>
      </c>
    </row>
    <row r="62" spans="1:19">
      <c r="A62" s="1767" t="s">
        <v>449</v>
      </c>
      <c r="B62" s="1776" t="s">
        <v>487</v>
      </c>
      <c r="C62" s="1773" t="s">
        <v>488</v>
      </c>
      <c r="D62" s="506" t="s">
        <v>3</v>
      </c>
      <c r="E62" s="176"/>
      <c r="F62" s="176">
        <f t="shared" si="1"/>
        <v>48228</v>
      </c>
      <c r="G62" s="529"/>
      <c r="H62" s="508"/>
      <c r="I62" s="508">
        <v>39228</v>
      </c>
      <c r="J62" s="508"/>
      <c r="K62" s="508"/>
      <c r="L62" s="530"/>
      <c r="M62" s="529">
        <v>9000</v>
      </c>
      <c r="N62" s="508"/>
      <c r="O62" s="508"/>
      <c r="P62" s="530"/>
      <c r="Q62" s="529"/>
      <c r="R62" s="522"/>
      <c r="S62" s="566"/>
    </row>
    <row r="63" spans="1:19">
      <c r="A63" s="1744"/>
      <c r="B63" s="1777"/>
      <c r="C63" s="1774"/>
      <c r="D63" s="272" t="s">
        <v>882</v>
      </c>
      <c r="E63" s="507">
        <v>0</v>
      </c>
      <c r="F63" s="507">
        <f t="shared" si="1"/>
        <v>42405</v>
      </c>
      <c r="G63" s="515">
        <v>0</v>
      </c>
      <c r="H63" s="501">
        <v>0</v>
      </c>
      <c r="I63" s="501">
        <v>29277</v>
      </c>
      <c r="J63" s="501">
        <v>0</v>
      </c>
      <c r="K63" s="501">
        <v>0</v>
      </c>
      <c r="L63" s="516">
        <v>0</v>
      </c>
      <c r="M63" s="515">
        <v>13128</v>
      </c>
      <c r="N63" s="501">
        <v>0</v>
      </c>
      <c r="O63" s="501">
        <v>0</v>
      </c>
      <c r="P63" s="516">
        <v>0</v>
      </c>
      <c r="Q63" s="515">
        <v>0</v>
      </c>
      <c r="R63" s="523">
        <v>0</v>
      </c>
      <c r="S63" s="520">
        <v>0</v>
      </c>
    </row>
    <row r="64" spans="1:19" ht="15.75" thickBot="1">
      <c r="A64" s="1768"/>
      <c r="B64" s="1778"/>
      <c r="C64" s="1775"/>
      <c r="D64" s="1523" t="s">
        <v>981</v>
      </c>
      <c r="E64" s="524">
        <v>0</v>
      </c>
      <c r="F64" s="181">
        <f t="shared" ref="F64" si="21">SUM(G64:S64)</f>
        <v>38277</v>
      </c>
      <c r="G64" s="539">
        <v>0</v>
      </c>
      <c r="H64" s="540">
        <v>0</v>
      </c>
      <c r="I64" s="540">
        <v>29277</v>
      </c>
      <c r="J64" s="540">
        <v>0</v>
      </c>
      <c r="K64" s="540">
        <v>0</v>
      </c>
      <c r="L64" s="541">
        <v>0</v>
      </c>
      <c r="M64" s="539">
        <v>9000</v>
      </c>
      <c r="N64" s="540">
        <v>0</v>
      </c>
      <c r="O64" s="540">
        <v>0</v>
      </c>
      <c r="P64" s="541">
        <v>0</v>
      </c>
      <c r="Q64" s="539">
        <v>0</v>
      </c>
      <c r="R64" s="528">
        <v>0</v>
      </c>
      <c r="S64" s="567">
        <v>0</v>
      </c>
    </row>
    <row r="65" spans="1:19">
      <c r="A65" s="1743" t="s">
        <v>107</v>
      </c>
      <c r="B65" s="1781" t="s">
        <v>504</v>
      </c>
      <c r="C65" s="1779" t="s">
        <v>505</v>
      </c>
      <c r="D65" s="531" t="s">
        <v>3</v>
      </c>
      <c r="E65" s="532"/>
      <c r="F65" s="532">
        <f t="shared" si="1"/>
        <v>72894</v>
      </c>
      <c r="G65" s="542">
        <v>600</v>
      </c>
      <c r="H65" s="535">
        <v>244</v>
      </c>
      <c r="I65" s="535">
        <v>7200</v>
      </c>
      <c r="J65" s="535">
        <v>0</v>
      </c>
      <c r="K65" s="535">
        <v>64850</v>
      </c>
      <c r="L65" s="537">
        <v>0</v>
      </c>
      <c r="M65" s="542">
        <v>0</v>
      </c>
      <c r="N65" s="535">
        <v>0</v>
      </c>
      <c r="O65" s="535">
        <v>0</v>
      </c>
      <c r="P65" s="537">
        <v>0</v>
      </c>
      <c r="Q65" s="542">
        <v>0</v>
      </c>
      <c r="R65" s="543">
        <v>0</v>
      </c>
      <c r="S65" s="568">
        <v>0</v>
      </c>
    </row>
    <row r="66" spans="1:19">
      <c r="A66" s="1744"/>
      <c r="B66" s="1777"/>
      <c r="C66" s="1774"/>
      <c r="D66" s="272" t="s">
        <v>882</v>
      </c>
      <c r="E66" s="507"/>
      <c r="F66" s="507">
        <f t="shared" si="1"/>
        <v>81916</v>
      </c>
      <c r="G66" s="513">
        <v>600</v>
      </c>
      <c r="H66" s="500">
        <v>244</v>
      </c>
      <c r="I66" s="500">
        <v>16372</v>
      </c>
      <c r="J66" s="500">
        <v>300</v>
      </c>
      <c r="K66" s="500">
        <v>64400</v>
      </c>
      <c r="L66" s="514">
        <v>0</v>
      </c>
      <c r="M66" s="513">
        <v>0</v>
      </c>
      <c r="N66" s="500">
        <v>0</v>
      </c>
      <c r="O66" s="500">
        <v>0</v>
      </c>
      <c r="P66" s="514">
        <v>0</v>
      </c>
      <c r="Q66" s="513">
        <v>0</v>
      </c>
      <c r="R66" s="523">
        <v>0</v>
      </c>
      <c r="S66" s="520">
        <v>0</v>
      </c>
    </row>
    <row r="67" spans="1:19" ht="15.75" thickBot="1">
      <c r="A67" s="1745"/>
      <c r="B67" s="1782"/>
      <c r="C67" s="1780"/>
      <c r="D67" s="1523" t="s">
        <v>981</v>
      </c>
      <c r="E67" s="181">
        <v>2365</v>
      </c>
      <c r="F67" s="181">
        <f t="shared" ref="F67" si="22">SUM(G67:S67)</f>
        <v>82479</v>
      </c>
      <c r="G67" s="544">
        <v>600</v>
      </c>
      <c r="H67" s="518">
        <v>244</v>
      </c>
      <c r="I67" s="518">
        <v>16372</v>
      </c>
      <c r="J67" s="518">
        <v>300</v>
      </c>
      <c r="K67" s="518">
        <v>64963</v>
      </c>
      <c r="L67" s="538">
        <v>0</v>
      </c>
      <c r="M67" s="544">
        <v>0</v>
      </c>
      <c r="N67" s="518">
        <v>0</v>
      </c>
      <c r="O67" s="518">
        <v>0</v>
      </c>
      <c r="P67" s="538">
        <v>0</v>
      </c>
      <c r="Q67" s="544">
        <v>0</v>
      </c>
      <c r="R67" s="180">
        <v>0</v>
      </c>
      <c r="S67" s="569">
        <v>0</v>
      </c>
    </row>
    <row r="68" spans="1:19">
      <c r="A68" s="1767" t="s">
        <v>107</v>
      </c>
      <c r="B68" s="1776" t="s">
        <v>507</v>
      </c>
      <c r="C68" s="1773" t="s">
        <v>506</v>
      </c>
      <c r="D68" s="506" t="s">
        <v>3</v>
      </c>
      <c r="E68" s="176">
        <v>61477</v>
      </c>
      <c r="F68" s="176">
        <f t="shared" si="1"/>
        <v>74300</v>
      </c>
      <c r="G68" s="529"/>
      <c r="H68" s="508"/>
      <c r="I68" s="508">
        <v>64300</v>
      </c>
      <c r="J68" s="508"/>
      <c r="K68" s="508"/>
      <c r="L68" s="530"/>
      <c r="M68" s="529"/>
      <c r="N68" s="508">
        <v>10000</v>
      </c>
      <c r="O68" s="508"/>
      <c r="P68" s="530"/>
      <c r="Q68" s="529"/>
      <c r="R68" s="522"/>
      <c r="S68" s="566"/>
    </row>
    <row r="69" spans="1:19">
      <c r="A69" s="1744"/>
      <c r="B69" s="1777"/>
      <c r="C69" s="1774"/>
      <c r="D69" s="272" t="s">
        <v>882</v>
      </c>
      <c r="E69" s="507">
        <v>61477</v>
      </c>
      <c r="F69" s="507">
        <f t="shared" si="1"/>
        <v>74300</v>
      </c>
      <c r="G69" s="515"/>
      <c r="H69" s="501"/>
      <c r="I69" s="501">
        <v>64300</v>
      </c>
      <c r="J69" s="501"/>
      <c r="K69" s="501"/>
      <c r="L69" s="516"/>
      <c r="M69" s="515"/>
      <c r="N69" s="501">
        <v>10000</v>
      </c>
      <c r="O69" s="501"/>
      <c r="P69" s="516"/>
      <c r="Q69" s="515"/>
      <c r="R69" s="523"/>
      <c r="S69" s="520"/>
    </row>
    <row r="70" spans="1:19" ht="15.75" thickBot="1">
      <c r="A70" s="1768"/>
      <c r="B70" s="1778"/>
      <c r="C70" s="1775"/>
      <c r="D70" s="1523" t="s">
        <v>981</v>
      </c>
      <c r="E70" s="524">
        <v>61477</v>
      </c>
      <c r="F70" s="507">
        <f t="shared" si="1"/>
        <v>74300</v>
      </c>
      <c r="G70" s="539">
        <v>0</v>
      </c>
      <c r="H70" s="540">
        <v>0</v>
      </c>
      <c r="I70" s="540">
        <v>64300</v>
      </c>
      <c r="J70" s="540">
        <v>0</v>
      </c>
      <c r="K70" s="540">
        <v>0</v>
      </c>
      <c r="L70" s="541">
        <v>0</v>
      </c>
      <c r="M70" s="539">
        <v>0</v>
      </c>
      <c r="N70" s="540">
        <v>10000</v>
      </c>
      <c r="O70" s="540">
        <v>0</v>
      </c>
      <c r="P70" s="541">
        <v>0</v>
      </c>
      <c r="Q70" s="539">
        <v>0</v>
      </c>
      <c r="R70" s="528">
        <v>0</v>
      </c>
      <c r="S70" s="567">
        <v>0</v>
      </c>
    </row>
    <row r="71" spans="1:19">
      <c r="A71" s="1743" t="s">
        <v>107</v>
      </c>
      <c r="B71" s="1781" t="s">
        <v>523</v>
      </c>
      <c r="C71" s="1779" t="s">
        <v>524</v>
      </c>
      <c r="D71" s="531" t="s">
        <v>3</v>
      </c>
      <c r="E71" s="532">
        <v>18267</v>
      </c>
      <c r="F71" s="532">
        <f t="shared" si="1"/>
        <v>927191</v>
      </c>
      <c r="G71" s="533"/>
      <c r="H71" s="534"/>
      <c r="I71" s="534">
        <v>11760</v>
      </c>
      <c r="J71" s="534">
        <v>915431</v>
      </c>
      <c r="K71" s="535"/>
      <c r="L71" s="536"/>
      <c r="M71" s="533"/>
      <c r="N71" s="534"/>
      <c r="O71" s="534"/>
      <c r="P71" s="536"/>
      <c r="Q71" s="533"/>
      <c r="R71" s="543"/>
      <c r="S71" s="568"/>
    </row>
    <row r="72" spans="1:19">
      <c r="A72" s="1744"/>
      <c r="B72" s="1777"/>
      <c r="C72" s="1774"/>
      <c r="D72" s="272" t="s">
        <v>882</v>
      </c>
      <c r="E72" s="507">
        <v>33672</v>
      </c>
      <c r="F72" s="507">
        <f t="shared" si="1"/>
        <v>1015524</v>
      </c>
      <c r="G72" s="515">
        <v>0</v>
      </c>
      <c r="H72" s="501">
        <v>0</v>
      </c>
      <c r="I72" s="501">
        <v>11760</v>
      </c>
      <c r="J72" s="501">
        <v>1003764</v>
      </c>
      <c r="K72" s="500">
        <v>0</v>
      </c>
      <c r="L72" s="516">
        <v>0</v>
      </c>
      <c r="M72" s="515">
        <v>0</v>
      </c>
      <c r="N72" s="501">
        <v>0</v>
      </c>
      <c r="O72" s="501">
        <v>0</v>
      </c>
      <c r="P72" s="516">
        <v>0</v>
      </c>
      <c r="Q72" s="515">
        <v>0</v>
      </c>
      <c r="R72" s="523">
        <v>0</v>
      </c>
      <c r="S72" s="520">
        <v>0</v>
      </c>
    </row>
    <row r="73" spans="1:19" ht="15.75" thickBot="1">
      <c r="A73" s="1745"/>
      <c r="B73" s="1782"/>
      <c r="C73" s="1780"/>
      <c r="D73" s="1523" t="s">
        <v>981</v>
      </c>
      <c r="E73" s="181">
        <v>33672</v>
      </c>
      <c r="F73" s="181">
        <f t="shared" ref="F73" si="23">SUM(G73:S73)</f>
        <v>1077804</v>
      </c>
      <c r="G73" s="517">
        <v>0</v>
      </c>
      <c r="H73" s="179">
        <v>0</v>
      </c>
      <c r="I73" s="179">
        <v>13562</v>
      </c>
      <c r="J73" s="179">
        <v>1064242</v>
      </c>
      <c r="K73" s="518">
        <v>0</v>
      </c>
      <c r="L73" s="519">
        <v>0</v>
      </c>
      <c r="M73" s="517">
        <v>0</v>
      </c>
      <c r="N73" s="179">
        <v>0</v>
      </c>
      <c r="O73" s="179">
        <v>0</v>
      </c>
      <c r="P73" s="519">
        <v>0</v>
      </c>
      <c r="Q73" s="517">
        <v>0</v>
      </c>
      <c r="R73" s="180">
        <v>0</v>
      </c>
      <c r="S73" s="569">
        <v>0</v>
      </c>
    </row>
    <row r="74" spans="1:19">
      <c r="A74" s="1767" t="s">
        <v>449</v>
      </c>
      <c r="B74" s="1776" t="s">
        <v>517</v>
      </c>
      <c r="C74" s="1773" t="s">
        <v>518</v>
      </c>
      <c r="D74" s="506" t="s">
        <v>3</v>
      </c>
      <c r="E74" s="176">
        <v>55250</v>
      </c>
      <c r="F74" s="176">
        <f t="shared" si="1"/>
        <v>40000</v>
      </c>
      <c r="G74" s="529"/>
      <c r="H74" s="508"/>
      <c r="I74" s="508"/>
      <c r="J74" s="508">
        <v>40000</v>
      </c>
      <c r="K74" s="508"/>
      <c r="L74" s="530"/>
      <c r="M74" s="529"/>
      <c r="N74" s="508"/>
      <c r="O74" s="508"/>
      <c r="P74" s="530"/>
      <c r="Q74" s="529"/>
      <c r="R74" s="522"/>
      <c r="S74" s="566"/>
    </row>
    <row r="75" spans="1:19">
      <c r="A75" s="1744"/>
      <c r="B75" s="1777"/>
      <c r="C75" s="1774"/>
      <c r="D75" s="545" t="s">
        <v>882</v>
      </c>
      <c r="E75" s="524">
        <v>55250</v>
      </c>
      <c r="F75" s="524">
        <f t="shared" si="1"/>
        <v>40000</v>
      </c>
      <c r="G75" s="539"/>
      <c r="H75" s="540"/>
      <c r="I75" s="540"/>
      <c r="J75" s="540">
        <v>40000</v>
      </c>
      <c r="K75" s="540"/>
      <c r="L75" s="541"/>
      <c r="M75" s="539"/>
      <c r="N75" s="540"/>
      <c r="O75" s="540"/>
      <c r="P75" s="541"/>
      <c r="Q75" s="539"/>
      <c r="R75" s="528"/>
      <c r="S75" s="567"/>
    </row>
    <row r="76" spans="1:19" ht="15.75" thickBot="1">
      <c r="A76" s="1768"/>
      <c r="B76" s="1778"/>
      <c r="C76" s="1775"/>
      <c r="D76" s="1523" t="s">
        <v>981</v>
      </c>
      <c r="E76" s="524">
        <v>55250</v>
      </c>
      <c r="F76" s="524">
        <f t="shared" si="1"/>
        <v>40000</v>
      </c>
      <c r="G76" s="539">
        <v>0</v>
      </c>
      <c r="H76" s="540">
        <v>0</v>
      </c>
      <c r="I76" s="540">
        <v>0</v>
      </c>
      <c r="J76" s="540">
        <v>40000</v>
      </c>
      <c r="K76" s="540">
        <v>0</v>
      </c>
      <c r="L76" s="541">
        <v>0</v>
      </c>
      <c r="M76" s="539">
        <v>0</v>
      </c>
      <c r="N76" s="540">
        <v>0</v>
      </c>
      <c r="O76" s="540">
        <v>0</v>
      </c>
      <c r="P76" s="541">
        <v>0</v>
      </c>
      <c r="Q76" s="539">
        <v>0</v>
      </c>
      <c r="R76" s="528">
        <v>0</v>
      </c>
      <c r="S76" s="567">
        <v>0</v>
      </c>
    </row>
    <row r="77" spans="1:19">
      <c r="A77" s="1743" t="s">
        <v>449</v>
      </c>
      <c r="B77" s="1781" t="s">
        <v>489</v>
      </c>
      <c r="C77" s="1779" t="s">
        <v>490</v>
      </c>
      <c r="D77" s="531" t="s">
        <v>3</v>
      </c>
      <c r="E77" s="532">
        <v>50000</v>
      </c>
      <c r="F77" s="532">
        <f t="shared" si="1"/>
        <v>139630</v>
      </c>
      <c r="G77" s="533"/>
      <c r="H77" s="534"/>
      <c r="I77" s="534"/>
      <c r="J77" s="534">
        <v>139330</v>
      </c>
      <c r="K77" s="535"/>
      <c r="L77" s="536"/>
      <c r="M77" s="533"/>
      <c r="N77" s="534"/>
      <c r="O77" s="547">
        <v>300</v>
      </c>
      <c r="P77" s="536"/>
      <c r="Q77" s="533"/>
      <c r="R77" s="543"/>
      <c r="S77" s="568"/>
    </row>
    <row r="78" spans="1:19">
      <c r="A78" s="1744"/>
      <c r="B78" s="1777"/>
      <c r="C78" s="1774"/>
      <c r="D78" s="272" t="s">
        <v>882</v>
      </c>
      <c r="E78" s="507">
        <v>50000</v>
      </c>
      <c r="F78" s="507">
        <f t="shared" si="1"/>
        <v>139630</v>
      </c>
      <c r="G78" s="515"/>
      <c r="H78" s="501"/>
      <c r="I78" s="501"/>
      <c r="J78" s="501">
        <v>139330</v>
      </c>
      <c r="K78" s="500"/>
      <c r="L78" s="516"/>
      <c r="M78" s="515"/>
      <c r="N78" s="501"/>
      <c r="O78" s="548">
        <v>300</v>
      </c>
      <c r="P78" s="516"/>
      <c r="Q78" s="515"/>
      <c r="R78" s="523"/>
      <c r="S78" s="520"/>
    </row>
    <row r="79" spans="1:19" ht="15.75" thickBot="1">
      <c r="A79" s="1745"/>
      <c r="B79" s="1782"/>
      <c r="C79" s="1780"/>
      <c r="D79" s="1523" t="s">
        <v>981</v>
      </c>
      <c r="E79" s="181">
        <v>50000</v>
      </c>
      <c r="F79" s="181">
        <f t="shared" si="1"/>
        <v>142232</v>
      </c>
      <c r="G79" s="517">
        <v>0</v>
      </c>
      <c r="H79" s="179">
        <v>0</v>
      </c>
      <c r="I79" s="179">
        <v>0</v>
      </c>
      <c r="J79" s="179">
        <v>141932</v>
      </c>
      <c r="K79" s="518">
        <v>0</v>
      </c>
      <c r="L79" s="519">
        <v>0</v>
      </c>
      <c r="M79" s="517">
        <v>0</v>
      </c>
      <c r="N79" s="179">
        <v>0</v>
      </c>
      <c r="O79" s="549">
        <v>300</v>
      </c>
      <c r="P79" s="519">
        <v>0</v>
      </c>
      <c r="Q79" s="517">
        <v>0</v>
      </c>
      <c r="R79" s="180">
        <v>0</v>
      </c>
      <c r="S79" s="569">
        <v>0</v>
      </c>
    </row>
    <row r="80" spans="1:19">
      <c r="A80" s="1767" t="s">
        <v>449</v>
      </c>
      <c r="B80" s="1776" t="s">
        <v>491</v>
      </c>
      <c r="C80" s="1773" t="s">
        <v>182</v>
      </c>
      <c r="D80" s="506" t="s">
        <v>3</v>
      </c>
      <c r="E80" s="176"/>
      <c r="F80" s="176">
        <f t="shared" si="1"/>
        <v>4000</v>
      </c>
      <c r="G80" s="529"/>
      <c r="H80" s="508"/>
      <c r="I80" s="508"/>
      <c r="J80" s="508">
        <v>4000</v>
      </c>
      <c r="K80" s="503"/>
      <c r="L80" s="530"/>
      <c r="M80" s="529"/>
      <c r="N80" s="508"/>
      <c r="O80" s="546"/>
      <c r="P80" s="530"/>
      <c r="Q80" s="529"/>
      <c r="R80" s="522"/>
      <c r="S80" s="566"/>
    </row>
    <row r="81" spans="1:19">
      <c r="A81" s="1744"/>
      <c r="B81" s="1777"/>
      <c r="C81" s="1774"/>
      <c r="D81" s="545" t="s">
        <v>882</v>
      </c>
      <c r="E81" s="524"/>
      <c r="F81" s="524">
        <f t="shared" si="1"/>
        <v>4000</v>
      </c>
      <c r="G81" s="539"/>
      <c r="H81" s="540"/>
      <c r="I81" s="540"/>
      <c r="J81" s="540">
        <v>4000</v>
      </c>
      <c r="K81" s="526"/>
      <c r="L81" s="541"/>
      <c r="M81" s="539"/>
      <c r="N81" s="540"/>
      <c r="O81" s="550"/>
      <c r="P81" s="541"/>
      <c r="Q81" s="539"/>
      <c r="R81" s="528"/>
      <c r="S81" s="567"/>
    </row>
    <row r="82" spans="1:19" ht="15.75" thickBot="1">
      <c r="A82" s="1768"/>
      <c r="B82" s="1778"/>
      <c r="C82" s="1775"/>
      <c r="D82" s="1523" t="s">
        <v>981</v>
      </c>
      <c r="E82" s="524">
        <v>0</v>
      </c>
      <c r="F82" s="524">
        <f t="shared" ref="F82" si="24">SUM(G82:S82)</f>
        <v>4000</v>
      </c>
      <c r="G82" s="539">
        <v>0</v>
      </c>
      <c r="H82" s="540">
        <v>0</v>
      </c>
      <c r="I82" s="540">
        <v>0</v>
      </c>
      <c r="J82" s="540">
        <v>4000</v>
      </c>
      <c r="K82" s="526">
        <v>0</v>
      </c>
      <c r="L82" s="541">
        <v>0</v>
      </c>
      <c r="M82" s="539">
        <v>0</v>
      </c>
      <c r="N82" s="540">
        <v>0</v>
      </c>
      <c r="O82" s="550">
        <v>0</v>
      </c>
      <c r="P82" s="541">
        <v>0</v>
      </c>
      <c r="Q82" s="539">
        <v>0</v>
      </c>
      <c r="R82" s="528">
        <v>0</v>
      </c>
      <c r="S82" s="567">
        <v>0</v>
      </c>
    </row>
    <row r="83" spans="1:19">
      <c r="A83" s="1743" t="s">
        <v>449</v>
      </c>
      <c r="B83" s="1781" t="s">
        <v>514</v>
      </c>
      <c r="C83" s="1779" t="s">
        <v>516</v>
      </c>
      <c r="D83" s="531" t="s">
        <v>3</v>
      </c>
      <c r="E83" s="532"/>
      <c r="F83" s="532">
        <f t="shared" si="1"/>
        <v>5500</v>
      </c>
      <c r="G83" s="533"/>
      <c r="H83" s="534"/>
      <c r="I83" s="534"/>
      <c r="J83" s="534">
        <v>5500</v>
      </c>
      <c r="K83" s="535"/>
      <c r="L83" s="536"/>
      <c r="M83" s="533"/>
      <c r="N83" s="534"/>
      <c r="O83" s="547"/>
      <c r="P83" s="536"/>
      <c r="Q83" s="533"/>
      <c r="R83" s="543"/>
      <c r="S83" s="568"/>
    </row>
    <row r="84" spans="1:19">
      <c r="A84" s="1744"/>
      <c r="B84" s="1777"/>
      <c r="C84" s="1774"/>
      <c r="D84" s="272" t="s">
        <v>882</v>
      </c>
      <c r="E84" s="507"/>
      <c r="F84" s="507">
        <f t="shared" si="1"/>
        <v>5500</v>
      </c>
      <c r="G84" s="515"/>
      <c r="H84" s="501"/>
      <c r="I84" s="501"/>
      <c r="J84" s="501">
        <v>5500</v>
      </c>
      <c r="K84" s="500"/>
      <c r="L84" s="516"/>
      <c r="M84" s="515"/>
      <c r="N84" s="501"/>
      <c r="O84" s="548"/>
      <c r="P84" s="516"/>
      <c r="Q84" s="515"/>
      <c r="R84" s="523"/>
      <c r="S84" s="520"/>
    </row>
    <row r="85" spans="1:19" ht="15.75" thickBot="1">
      <c r="A85" s="1745"/>
      <c r="B85" s="1782"/>
      <c r="C85" s="1780"/>
      <c r="D85" s="1523" t="s">
        <v>981</v>
      </c>
      <c r="E85" s="181">
        <v>0</v>
      </c>
      <c r="F85" s="181">
        <f t="shared" ref="F85" si="25">SUM(G85:S85)</f>
        <v>5050</v>
      </c>
      <c r="G85" s="517">
        <v>0</v>
      </c>
      <c r="H85" s="179">
        <v>0</v>
      </c>
      <c r="I85" s="179">
        <v>0</v>
      </c>
      <c r="J85" s="179">
        <v>5050</v>
      </c>
      <c r="K85" s="518">
        <v>0</v>
      </c>
      <c r="L85" s="519">
        <v>0</v>
      </c>
      <c r="M85" s="517">
        <v>0</v>
      </c>
      <c r="N85" s="179">
        <v>0</v>
      </c>
      <c r="O85" s="549">
        <v>0</v>
      </c>
      <c r="P85" s="519">
        <v>0</v>
      </c>
      <c r="Q85" s="517">
        <v>0</v>
      </c>
      <c r="R85" s="180">
        <v>0</v>
      </c>
      <c r="S85" s="569">
        <v>0</v>
      </c>
    </row>
    <row r="86" spans="1:19">
      <c r="A86" s="1743" t="s">
        <v>449</v>
      </c>
      <c r="B86" s="1781" t="s">
        <v>515</v>
      </c>
      <c r="C86" s="1779" t="s">
        <v>414</v>
      </c>
      <c r="D86" s="531" t="s">
        <v>3</v>
      </c>
      <c r="E86" s="532"/>
      <c r="F86" s="532">
        <f t="shared" si="1"/>
        <v>3000</v>
      </c>
      <c r="G86" s="533"/>
      <c r="H86" s="534"/>
      <c r="I86" s="534"/>
      <c r="J86" s="534">
        <v>3000</v>
      </c>
      <c r="K86" s="534"/>
      <c r="L86" s="536"/>
      <c r="M86" s="533"/>
      <c r="N86" s="534"/>
      <c r="O86" s="534"/>
      <c r="P86" s="536"/>
      <c r="Q86" s="533"/>
      <c r="R86" s="543"/>
      <c r="S86" s="568"/>
    </row>
    <row r="87" spans="1:19">
      <c r="A87" s="1744"/>
      <c r="B87" s="1777"/>
      <c r="C87" s="1774"/>
      <c r="D87" s="272" t="s">
        <v>882</v>
      </c>
      <c r="E87" s="507"/>
      <c r="F87" s="507">
        <f t="shared" si="1"/>
        <v>3000</v>
      </c>
      <c r="G87" s="515"/>
      <c r="H87" s="501"/>
      <c r="I87" s="501"/>
      <c r="J87" s="501">
        <v>3000</v>
      </c>
      <c r="K87" s="501"/>
      <c r="L87" s="516"/>
      <c r="M87" s="515"/>
      <c r="N87" s="501"/>
      <c r="O87" s="501"/>
      <c r="P87" s="516"/>
      <c r="Q87" s="515"/>
      <c r="R87" s="523"/>
      <c r="S87" s="520"/>
    </row>
    <row r="88" spans="1:19" ht="15.75" thickBot="1">
      <c r="A88" s="1745"/>
      <c r="B88" s="1782"/>
      <c r="C88" s="1780"/>
      <c r="D88" s="1523" t="s">
        <v>981</v>
      </c>
      <c r="E88" s="181">
        <v>0</v>
      </c>
      <c r="F88" s="181">
        <f t="shared" ref="F88" si="26">SUM(G88:S88)</f>
        <v>2685</v>
      </c>
      <c r="G88" s="517">
        <v>0</v>
      </c>
      <c r="H88" s="179">
        <v>0</v>
      </c>
      <c r="I88" s="179">
        <v>0</v>
      </c>
      <c r="J88" s="179">
        <v>2685</v>
      </c>
      <c r="K88" s="179">
        <v>0</v>
      </c>
      <c r="L88" s="519">
        <v>0</v>
      </c>
      <c r="M88" s="517">
        <v>0</v>
      </c>
      <c r="N88" s="179">
        <v>0</v>
      </c>
      <c r="O88" s="179">
        <v>0</v>
      </c>
      <c r="P88" s="519">
        <v>0</v>
      </c>
      <c r="Q88" s="517">
        <v>0</v>
      </c>
      <c r="R88" s="180">
        <v>0</v>
      </c>
      <c r="S88" s="569">
        <v>0</v>
      </c>
    </row>
    <row r="89" spans="1:19">
      <c r="A89" s="1783" t="s">
        <v>449</v>
      </c>
      <c r="B89" s="1786" t="s">
        <v>493</v>
      </c>
      <c r="C89" s="1779" t="s">
        <v>492</v>
      </c>
      <c r="D89" s="531" t="s">
        <v>3</v>
      </c>
      <c r="E89" s="532"/>
      <c r="F89" s="532">
        <f t="shared" si="1"/>
        <v>2885</v>
      </c>
      <c r="G89" s="533">
        <v>2050</v>
      </c>
      <c r="H89" s="534">
        <v>835</v>
      </c>
      <c r="I89" s="534"/>
      <c r="J89" s="534">
        <v>0</v>
      </c>
      <c r="K89" s="534">
        <v>0</v>
      </c>
      <c r="L89" s="536">
        <v>0</v>
      </c>
      <c r="M89" s="533">
        <v>0</v>
      </c>
      <c r="N89" s="534">
        <v>0</v>
      </c>
      <c r="O89" s="534">
        <v>0</v>
      </c>
      <c r="P89" s="536">
        <v>0</v>
      </c>
      <c r="Q89" s="533">
        <v>0</v>
      </c>
      <c r="R89" s="543">
        <v>0</v>
      </c>
      <c r="S89" s="568">
        <v>0</v>
      </c>
    </row>
    <row r="90" spans="1:19">
      <c r="A90" s="1784"/>
      <c r="B90" s="1787"/>
      <c r="C90" s="1774"/>
      <c r="D90" s="272" t="s">
        <v>882</v>
      </c>
      <c r="E90" s="507"/>
      <c r="F90" s="507">
        <f t="shared" si="1"/>
        <v>2885</v>
      </c>
      <c r="G90" s="515">
        <v>2050</v>
      </c>
      <c r="H90" s="501">
        <v>835</v>
      </c>
      <c r="I90" s="501"/>
      <c r="J90" s="501"/>
      <c r="K90" s="501"/>
      <c r="L90" s="516"/>
      <c r="M90" s="515"/>
      <c r="N90" s="501"/>
      <c r="O90" s="501"/>
      <c r="P90" s="516"/>
      <c r="Q90" s="515"/>
      <c r="R90" s="523"/>
      <c r="S90" s="520"/>
    </row>
    <row r="91" spans="1:19" ht="15.75" thickBot="1">
      <c r="A91" s="1785"/>
      <c r="B91" s="1788"/>
      <c r="C91" s="1780"/>
      <c r="D91" s="1523" t="s">
        <v>981</v>
      </c>
      <c r="E91" s="181">
        <v>0</v>
      </c>
      <c r="F91" s="181">
        <f t="shared" ref="F91" si="27">SUM(G91:S91)</f>
        <v>2885</v>
      </c>
      <c r="G91" s="517">
        <v>1920</v>
      </c>
      <c r="H91" s="179">
        <v>835</v>
      </c>
      <c r="I91" s="179">
        <v>130</v>
      </c>
      <c r="J91" s="179">
        <v>0</v>
      </c>
      <c r="K91" s="179">
        <v>0</v>
      </c>
      <c r="L91" s="519">
        <v>0</v>
      </c>
      <c r="M91" s="517">
        <v>0</v>
      </c>
      <c r="N91" s="179">
        <v>0</v>
      </c>
      <c r="O91" s="179">
        <v>0</v>
      </c>
      <c r="P91" s="519">
        <v>0</v>
      </c>
      <c r="Q91" s="517">
        <v>0</v>
      </c>
      <c r="R91" s="180">
        <v>0</v>
      </c>
      <c r="S91" s="569">
        <v>0</v>
      </c>
    </row>
    <row r="92" spans="1:19">
      <c r="A92" s="1783" t="s">
        <v>449</v>
      </c>
      <c r="B92" s="1786" t="s">
        <v>494</v>
      </c>
      <c r="C92" s="1779" t="s">
        <v>495</v>
      </c>
      <c r="D92" s="531" t="s">
        <v>3</v>
      </c>
      <c r="E92" s="532"/>
      <c r="F92" s="532">
        <f t="shared" si="1"/>
        <v>9751</v>
      </c>
      <c r="G92" s="533">
        <v>6930</v>
      </c>
      <c r="H92" s="534">
        <v>2821</v>
      </c>
      <c r="I92" s="534"/>
      <c r="J92" s="534"/>
      <c r="K92" s="534"/>
      <c r="L92" s="536"/>
      <c r="M92" s="533"/>
      <c r="N92" s="534"/>
      <c r="O92" s="534"/>
      <c r="P92" s="536"/>
      <c r="Q92" s="533"/>
      <c r="R92" s="543"/>
      <c r="S92" s="568"/>
    </row>
    <row r="93" spans="1:19">
      <c r="A93" s="1784"/>
      <c r="B93" s="1787"/>
      <c r="C93" s="1774"/>
      <c r="D93" s="272" t="s">
        <v>882</v>
      </c>
      <c r="E93" s="507"/>
      <c r="F93" s="507">
        <f t="shared" si="1"/>
        <v>9751</v>
      </c>
      <c r="G93" s="515">
        <v>6930</v>
      </c>
      <c r="H93" s="501">
        <v>2821</v>
      </c>
      <c r="I93" s="501"/>
      <c r="J93" s="501"/>
      <c r="K93" s="501"/>
      <c r="L93" s="516"/>
      <c r="M93" s="515"/>
      <c r="N93" s="501"/>
      <c r="O93" s="501"/>
      <c r="P93" s="516"/>
      <c r="Q93" s="515"/>
      <c r="R93" s="523"/>
      <c r="S93" s="520"/>
    </row>
    <row r="94" spans="1:19" ht="15.75" thickBot="1">
      <c r="A94" s="1785"/>
      <c r="B94" s="1788"/>
      <c r="C94" s="1780"/>
      <c r="D94" s="1523" t="s">
        <v>981</v>
      </c>
      <c r="E94" s="181">
        <v>0</v>
      </c>
      <c r="F94" s="181">
        <f t="shared" ref="F94" si="28">SUM(G94:S94)</f>
        <v>9751</v>
      </c>
      <c r="G94" s="517">
        <v>3930</v>
      </c>
      <c r="H94" s="179">
        <v>2821</v>
      </c>
      <c r="I94" s="179">
        <v>3000</v>
      </c>
      <c r="J94" s="179">
        <v>0</v>
      </c>
      <c r="K94" s="179">
        <v>0</v>
      </c>
      <c r="L94" s="519">
        <v>0</v>
      </c>
      <c r="M94" s="517">
        <v>0</v>
      </c>
      <c r="N94" s="179">
        <v>0</v>
      </c>
      <c r="O94" s="179">
        <v>0</v>
      </c>
      <c r="P94" s="519">
        <v>0</v>
      </c>
      <c r="Q94" s="517">
        <v>0</v>
      </c>
      <c r="R94" s="180">
        <v>0</v>
      </c>
      <c r="S94" s="569">
        <v>0</v>
      </c>
    </row>
    <row r="95" spans="1:19">
      <c r="A95" s="1743" t="s">
        <v>449</v>
      </c>
      <c r="B95" s="1781" t="s">
        <v>496</v>
      </c>
      <c r="C95" s="1779" t="s">
        <v>497</v>
      </c>
      <c r="D95" s="531" t="s">
        <v>3</v>
      </c>
      <c r="E95" s="532"/>
      <c r="F95" s="532">
        <f t="shared" si="1"/>
        <v>15528</v>
      </c>
      <c r="G95" s="542">
        <v>11035</v>
      </c>
      <c r="H95" s="535">
        <v>4493</v>
      </c>
      <c r="I95" s="535"/>
      <c r="J95" s="535"/>
      <c r="K95" s="535"/>
      <c r="L95" s="537"/>
      <c r="M95" s="542"/>
      <c r="N95" s="535"/>
      <c r="O95" s="535"/>
      <c r="P95" s="537"/>
      <c r="Q95" s="542"/>
      <c r="R95" s="543"/>
      <c r="S95" s="568"/>
    </row>
    <row r="96" spans="1:19">
      <c r="A96" s="1744"/>
      <c r="B96" s="1777"/>
      <c r="C96" s="1774"/>
      <c r="D96" s="272" t="s">
        <v>882</v>
      </c>
      <c r="E96" s="507"/>
      <c r="F96" s="507">
        <f t="shared" si="1"/>
        <v>15528</v>
      </c>
      <c r="G96" s="513">
        <v>11035</v>
      </c>
      <c r="H96" s="500">
        <v>4493</v>
      </c>
      <c r="I96" s="500"/>
      <c r="J96" s="500"/>
      <c r="K96" s="500"/>
      <c r="L96" s="514"/>
      <c r="M96" s="513"/>
      <c r="N96" s="500"/>
      <c r="O96" s="500"/>
      <c r="P96" s="514"/>
      <c r="Q96" s="513"/>
      <c r="R96" s="523"/>
      <c r="S96" s="520"/>
    </row>
    <row r="97" spans="1:19" ht="15.75" thickBot="1">
      <c r="A97" s="1745"/>
      <c r="B97" s="1782"/>
      <c r="C97" s="1780"/>
      <c r="D97" s="1523" t="s">
        <v>981</v>
      </c>
      <c r="E97" s="181">
        <v>0</v>
      </c>
      <c r="F97" s="181">
        <f t="shared" ref="F97" si="29">SUM(G97:S97)</f>
        <v>15528</v>
      </c>
      <c r="G97" s="544">
        <v>9035</v>
      </c>
      <c r="H97" s="518">
        <v>4493</v>
      </c>
      <c r="I97" s="518">
        <v>2000</v>
      </c>
      <c r="J97" s="518">
        <v>0</v>
      </c>
      <c r="K97" s="518">
        <v>0</v>
      </c>
      <c r="L97" s="538">
        <v>0</v>
      </c>
      <c r="M97" s="544">
        <v>0</v>
      </c>
      <c r="N97" s="518">
        <v>0</v>
      </c>
      <c r="O97" s="518">
        <v>0</v>
      </c>
      <c r="P97" s="538">
        <v>0</v>
      </c>
      <c r="Q97" s="544">
        <v>0</v>
      </c>
      <c r="R97" s="180">
        <v>0</v>
      </c>
      <c r="S97" s="569">
        <v>0</v>
      </c>
    </row>
    <row r="98" spans="1:19">
      <c r="A98" s="1767" t="s">
        <v>449</v>
      </c>
      <c r="B98" s="1776" t="s">
        <v>498</v>
      </c>
      <c r="C98" s="1773" t="s">
        <v>499</v>
      </c>
      <c r="D98" s="506" t="s">
        <v>3</v>
      </c>
      <c r="E98" s="176">
        <v>1270</v>
      </c>
      <c r="F98" s="176">
        <f t="shared" si="1"/>
        <v>1407</v>
      </c>
      <c r="G98" s="511">
        <v>1000</v>
      </c>
      <c r="H98" s="503">
        <v>407</v>
      </c>
      <c r="I98" s="503"/>
      <c r="J98" s="503"/>
      <c r="K98" s="503"/>
      <c r="L98" s="512"/>
      <c r="M98" s="511"/>
      <c r="N98" s="503"/>
      <c r="O98" s="503"/>
      <c r="P98" s="512"/>
      <c r="Q98" s="511"/>
      <c r="R98" s="522"/>
      <c r="S98" s="566"/>
    </row>
    <row r="99" spans="1:19">
      <c r="A99" s="1744"/>
      <c r="B99" s="1777"/>
      <c r="C99" s="1774"/>
      <c r="D99" s="272" t="s">
        <v>882</v>
      </c>
      <c r="E99" s="507">
        <v>1270</v>
      </c>
      <c r="F99" s="507">
        <f t="shared" si="1"/>
        <v>1407</v>
      </c>
      <c r="G99" s="513">
        <v>1000</v>
      </c>
      <c r="H99" s="500">
        <v>407</v>
      </c>
      <c r="I99" s="500"/>
      <c r="J99" s="500"/>
      <c r="K99" s="500"/>
      <c r="L99" s="514"/>
      <c r="M99" s="513"/>
      <c r="N99" s="500"/>
      <c r="O99" s="500"/>
      <c r="P99" s="514"/>
      <c r="Q99" s="513"/>
      <c r="R99" s="523"/>
      <c r="S99" s="520"/>
    </row>
    <row r="100" spans="1:19" ht="15.75" thickBot="1">
      <c r="A100" s="1768"/>
      <c r="B100" s="1778"/>
      <c r="C100" s="1775"/>
      <c r="D100" s="1523" t="s">
        <v>981</v>
      </c>
      <c r="E100" s="524">
        <v>1270</v>
      </c>
      <c r="F100" s="524">
        <f t="shared" ref="F100" si="30">SUM(G100:S100)</f>
        <v>1407</v>
      </c>
      <c r="G100" s="525">
        <v>1000</v>
      </c>
      <c r="H100" s="526">
        <v>407</v>
      </c>
      <c r="I100" s="526">
        <v>0</v>
      </c>
      <c r="J100" s="526">
        <v>0</v>
      </c>
      <c r="K100" s="526">
        <v>0</v>
      </c>
      <c r="L100" s="527">
        <v>0</v>
      </c>
      <c r="M100" s="525">
        <v>0</v>
      </c>
      <c r="N100" s="526">
        <v>0</v>
      </c>
      <c r="O100" s="526">
        <v>0</v>
      </c>
      <c r="P100" s="527">
        <v>0</v>
      </c>
      <c r="Q100" s="525">
        <v>0</v>
      </c>
      <c r="R100" s="528">
        <v>0</v>
      </c>
      <c r="S100" s="567">
        <v>0</v>
      </c>
    </row>
    <row r="101" spans="1:19">
      <c r="A101" s="1743" t="s">
        <v>449</v>
      </c>
      <c r="B101" s="1781" t="s">
        <v>508</v>
      </c>
      <c r="C101" s="1779" t="s">
        <v>509</v>
      </c>
      <c r="D101" s="531" t="s">
        <v>3</v>
      </c>
      <c r="E101" s="532"/>
      <c r="F101" s="532">
        <f t="shared" si="1"/>
        <v>21977</v>
      </c>
      <c r="G101" s="542">
        <v>4500</v>
      </c>
      <c r="H101" s="535">
        <v>1832</v>
      </c>
      <c r="I101" s="535">
        <v>15645</v>
      </c>
      <c r="J101" s="535"/>
      <c r="K101" s="535"/>
      <c r="L101" s="537"/>
      <c r="M101" s="542"/>
      <c r="N101" s="535"/>
      <c r="O101" s="535"/>
      <c r="P101" s="537"/>
      <c r="Q101" s="542"/>
      <c r="R101" s="543"/>
      <c r="S101" s="568"/>
    </row>
    <row r="102" spans="1:19">
      <c r="A102" s="1744"/>
      <c r="B102" s="1777"/>
      <c r="C102" s="1774"/>
      <c r="D102" s="272" t="s">
        <v>882</v>
      </c>
      <c r="E102" s="507"/>
      <c r="F102" s="507">
        <f t="shared" si="1"/>
        <v>21977</v>
      </c>
      <c r="G102" s="513">
        <v>4500</v>
      </c>
      <c r="H102" s="500">
        <v>1832</v>
      </c>
      <c r="I102" s="500">
        <v>15645</v>
      </c>
      <c r="J102" s="500"/>
      <c r="K102" s="500"/>
      <c r="L102" s="514"/>
      <c r="M102" s="513"/>
      <c r="N102" s="500"/>
      <c r="O102" s="500"/>
      <c r="P102" s="514"/>
      <c r="Q102" s="513"/>
      <c r="R102" s="523"/>
      <c r="S102" s="520"/>
    </row>
    <row r="103" spans="1:19" ht="15.75" thickBot="1">
      <c r="A103" s="1745"/>
      <c r="B103" s="1782"/>
      <c r="C103" s="1780"/>
      <c r="D103" s="1523" t="s">
        <v>981</v>
      </c>
      <c r="E103" s="181">
        <v>0</v>
      </c>
      <c r="F103" s="181">
        <f t="shared" ref="F103" si="31">SUM(G103:S103)</f>
        <v>21977</v>
      </c>
      <c r="G103" s="544">
        <v>7000</v>
      </c>
      <c r="H103" s="518">
        <v>3232</v>
      </c>
      <c r="I103" s="518">
        <v>11745</v>
      </c>
      <c r="J103" s="518">
        <v>0</v>
      </c>
      <c r="K103" s="518">
        <v>0</v>
      </c>
      <c r="L103" s="538">
        <v>0</v>
      </c>
      <c r="M103" s="544">
        <v>0</v>
      </c>
      <c r="N103" s="518">
        <v>0</v>
      </c>
      <c r="O103" s="518">
        <v>0</v>
      </c>
      <c r="P103" s="538">
        <v>0</v>
      </c>
      <c r="Q103" s="544">
        <v>0</v>
      </c>
      <c r="R103" s="180">
        <v>0</v>
      </c>
      <c r="S103" s="569">
        <v>0</v>
      </c>
    </row>
    <row r="104" spans="1:19">
      <c r="A104" s="1767" t="s">
        <v>449</v>
      </c>
      <c r="B104" s="1776" t="s">
        <v>510</v>
      </c>
      <c r="C104" s="1773" t="s">
        <v>511</v>
      </c>
      <c r="D104" s="506" t="s">
        <v>3</v>
      </c>
      <c r="E104" s="176"/>
      <c r="F104" s="176">
        <f t="shared" si="1"/>
        <v>20147</v>
      </c>
      <c r="G104" s="529">
        <v>3800</v>
      </c>
      <c r="H104" s="508">
        <v>1547</v>
      </c>
      <c r="I104" s="508">
        <v>14800</v>
      </c>
      <c r="J104" s="508"/>
      <c r="K104" s="508"/>
      <c r="L104" s="530"/>
      <c r="M104" s="529"/>
      <c r="N104" s="508"/>
      <c r="O104" s="508"/>
      <c r="P104" s="530"/>
      <c r="Q104" s="529"/>
      <c r="R104" s="522"/>
      <c r="S104" s="566"/>
    </row>
    <row r="105" spans="1:19">
      <c r="A105" s="1744"/>
      <c r="B105" s="1777"/>
      <c r="C105" s="1774"/>
      <c r="D105" s="272" t="s">
        <v>882</v>
      </c>
      <c r="E105" s="507"/>
      <c r="F105" s="507">
        <f t="shared" si="1"/>
        <v>20147</v>
      </c>
      <c r="G105" s="515">
        <v>3800</v>
      </c>
      <c r="H105" s="501">
        <v>1547</v>
      </c>
      <c r="I105" s="501">
        <v>14800</v>
      </c>
      <c r="J105" s="501"/>
      <c r="K105" s="501"/>
      <c r="L105" s="516"/>
      <c r="M105" s="515"/>
      <c r="N105" s="501"/>
      <c r="O105" s="501"/>
      <c r="P105" s="516"/>
      <c r="Q105" s="515"/>
      <c r="R105" s="523"/>
      <c r="S105" s="520"/>
    </row>
    <row r="106" spans="1:19" ht="15.75" thickBot="1">
      <c r="A106" s="1768"/>
      <c r="B106" s="1778"/>
      <c r="C106" s="1775"/>
      <c r="D106" s="1523" t="s">
        <v>981</v>
      </c>
      <c r="E106" s="524">
        <v>0</v>
      </c>
      <c r="F106" s="524">
        <f t="shared" ref="F106" si="32">SUM(G106:S106)</f>
        <v>17545</v>
      </c>
      <c r="G106" s="539">
        <v>3800</v>
      </c>
      <c r="H106" s="540">
        <v>1547</v>
      </c>
      <c r="I106" s="540">
        <v>8335</v>
      </c>
      <c r="J106" s="540">
        <v>0</v>
      </c>
      <c r="K106" s="540">
        <v>0</v>
      </c>
      <c r="L106" s="541">
        <v>0</v>
      </c>
      <c r="M106" s="539">
        <v>3863</v>
      </c>
      <c r="N106" s="540">
        <v>0</v>
      </c>
      <c r="O106" s="540">
        <v>0</v>
      </c>
      <c r="P106" s="541">
        <v>0</v>
      </c>
      <c r="Q106" s="539">
        <v>0</v>
      </c>
      <c r="R106" s="528">
        <v>0</v>
      </c>
      <c r="S106" s="567">
        <v>0</v>
      </c>
    </row>
    <row r="107" spans="1:19">
      <c r="A107" s="1743" t="s">
        <v>449</v>
      </c>
      <c r="B107" s="1781" t="s">
        <v>500</v>
      </c>
      <c r="C107" s="1779" t="s">
        <v>113</v>
      </c>
      <c r="D107" s="531" t="s">
        <v>3</v>
      </c>
      <c r="E107" s="532"/>
      <c r="F107" s="532">
        <f t="shared" si="1"/>
        <v>8150</v>
      </c>
      <c r="G107" s="533"/>
      <c r="H107" s="534"/>
      <c r="I107" s="534">
        <v>1500</v>
      </c>
      <c r="J107" s="534"/>
      <c r="K107" s="534"/>
      <c r="L107" s="536"/>
      <c r="M107" s="533">
        <v>6350</v>
      </c>
      <c r="N107" s="534">
        <v>300</v>
      </c>
      <c r="O107" s="534"/>
      <c r="P107" s="536"/>
      <c r="Q107" s="533"/>
      <c r="R107" s="543"/>
      <c r="S107" s="568"/>
    </row>
    <row r="108" spans="1:19">
      <c r="A108" s="1744"/>
      <c r="B108" s="1777"/>
      <c r="C108" s="1774"/>
      <c r="D108" s="272" t="s">
        <v>882</v>
      </c>
      <c r="E108" s="507"/>
      <c r="F108" s="507">
        <f t="shared" si="1"/>
        <v>8150</v>
      </c>
      <c r="G108" s="515"/>
      <c r="H108" s="501"/>
      <c r="I108" s="501">
        <v>1500</v>
      </c>
      <c r="J108" s="501"/>
      <c r="K108" s="501"/>
      <c r="L108" s="516"/>
      <c r="M108" s="515">
        <v>6350</v>
      </c>
      <c r="N108" s="501">
        <v>300</v>
      </c>
      <c r="O108" s="501"/>
      <c r="P108" s="516"/>
      <c r="Q108" s="515"/>
      <c r="R108" s="523"/>
      <c r="S108" s="520"/>
    </row>
    <row r="109" spans="1:19" ht="15.75" thickBot="1">
      <c r="A109" s="1745"/>
      <c r="B109" s="1782"/>
      <c r="C109" s="1780"/>
      <c r="D109" s="1523" t="s">
        <v>981</v>
      </c>
      <c r="E109" s="181">
        <v>0</v>
      </c>
      <c r="F109" s="181">
        <f t="shared" ref="F109" si="33">SUM(G109:S109)</f>
        <v>8150</v>
      </c>
      <c r="G109" s="517">
        <v>0</v>
      </c>
      <c r="H109" s="179">
        <v>0</v>
      </c>
      <c r="I109" s="179">
        <v>1500</v>
      </c>
      <c r="J109" s="179">
        <v>0</v>
      </c>
      <c r="K109" s="179">
        <v>0</v>
      </c>
      <c r="L109" s="519">
        <v>0</v>
      </c>
      <c r="M109" s="517">
        <v>6350</v>
      </c>
      <c r="N109" s="179">
        <v>300</v>
      </c>
      <c r="O109" s="179">
        <v>0</v>
      </c>
      <c r="P109" s="519">
        <v>0</v>
      </c>
      <c r="Q109" s="517">
        <v>0</v>
      </c>
      <c r="R109" s="180">
        <v>0</v>
      </c>
      <c r="S109" s="569">
        <v>0</v>
      </c>
    </row>
    <row r="110" spans="1:19">
      <c r="A110" s="1767" t="s">
        <v>449</v>
      </c>
      <c r="B110" s="1776" t="s">
        <v>502</v>
      </c>
      <c r="C110" s="1773" t="s">
        <v>501</v>
      </c>
      <c r="D110" s="506" t="s">
        <v>3</v>
      </c>
      <c r="E110" s="176"/>
      <c r="F110" s="176">
        <f t="shared" si="1"/>
        <v>9553</v>
      </c>
      <c r="G110" s="529"/>
      <c r="H110" s="508"/>
      <c r="I110" s="508">
        <v>9553</v>
      </c>
      <c r="J110" s="508"/>
      <c r="K110" s="508"/>
      <c r="L110" s="530"/>
      <c r="M110" s="529"/>
      <c r="N110" s="508"/>
      <c r="O110" s="508"/>
      <c r="P110" s="530"/>
      <c r="Q110" s="529"/>
      <c r="R110" s="522"/>
      <c r="S110" s="566"/>
    </row>
    <row r="111" spans="1:19">
      <c r="A111" s="1744"/>
      <c r="B111" s="1777"/>
      <c r="C111" s="1774"/>
      <c r="D111" s="272" t="s">
        <v>882</v>
      </c>
      <c r="E111" s="507"/>
      <c r="F111" s="507">
        <f t="shared" si="1"/>
        <v>9553</v>
      </c>
      <c r="G111" s="515"/>
      <c r="H111" s="501"/>
      <c r="I111" s="501">
        <v>9553</v>
      </c>
      <c r="J111" s="501"/>
      <c r="K111" s="501"/>
      <c r="L111" s="516"/>
      <c r="M111" s="515"/>
      <c r="N111" s="501"/>
      <c r="O111" s="501"/>
      <c r="P111" s="516"/>
      <c r="Q111" s="515"/>
      <c r="R111" s="523"/>
      <c r="S111" s="520"/>
    </row>
    <row r="112" spans="1:19" ht="15.75" thickBot="1">
      <c r="A112" s="1768"/>
      <c r="B112" s="1778"/>
      <c r="C112" s="1775"/>
      <c r="D112" s="1523" t="s">
        <v>981</v>
      </c>
      <c r="E112" s="524">
        <v>0</v>
      </c>
      <c r="F112" s="524">
        <f t="shared" ref="F112" si="34">SUM(G112:S112)</f>
        <v>9511</v>
      </c>
      <c r="G112" s="539">
        <v>0</v>
      </c>
      <c r="H112" s="540">
        <v>0</v>
      </c>
      <c r="I112" s="540">
        <v>9511</v>
      </c>
      <c r="J112" s="540">
        <v>0</v>
      </c>
      <c r="K112" s="540">
        <v>0</v>
      </c>
      <c r="L112" s="541">
        <v>0</v>
      </c>
      <c r="M112" s="539">
        <v>0</v>
      </c>
      <c r="N112" s="540">
        <v>0</v>
      </c>
      <c r="O112" s="540">
        <v>0</v>
      </c>
      <c r="P112" s="541">
        <v>0</v>
      </c>
      <c r="Q112" s="539">
        <v>0</v>
      </c>
      <c r="R112" s="528">
        <v>0</v>
      </c>
      <c r="S112" s="567">
        <v>0</v>
      </c>
    </row>
    <row r="113" spans="1:19">
      <c r="A113" s="1743" t="s">
        <v>449</v>
      </c>
      <c r="B113" s="1781" t="s">
        <v>512</v>
      </c>
      <c r="C113" s="1779" t="s">
        <v>513</v>
      </c>
      <c r="D113" s="531" t="s">
        <v>3</v>
      </c>
      <c r="E113" s="532"/>
      <c r="F113" s="532">
        <f t="shared" si="1"/>
        <v>5691</v>
      </c>
      <c r="G113" s="533">
        <v>150</v>
      </c>
      <c r="H113" s="534">
        <v>61</v>
      </c>
      <c r="I113" s="534">
        <v>5480</v>
      </c>
      <c r="J113" s="534"/>
      <c r="K113" s="534"/>
      <c r="L113" s="536"/>
      <c r="M113" s="533"/>
      <c r="N113" s="534"/>
      <c r="O113" s="534"/>
      <c r="P113" s="536"/>
      <c r="Q113" s="533"/>
      <c r="R113" s="543"/>
      <c r="S113" s="568"/>
    </row>
    <row r="114" spans="1:19">
      <c r="A114" s="1744"/>
      <c r="B114" s="1777"/>
      <c r="C114" s="1774"/>
      <c r="D114" s="272" t="s">
        <v>882</v>
      </c>
      <c r="E114" s="507"/>
      <c r="F114" s="507">
        <f t="shared" si="1"/>
        <v>5691</v>
      </c>
      <c r="G114" s="515">
        <v>150</v>
      </c>
      <c r="H114" s="501">
        <v>61</v>
      </c>
      <c r="I114" s="501">
        <v>5480</v>
      </c>
      <c r="J114" s="501"/>
      <c r="K114" s="501"/>
      <c r="L114" s="516"/>
      <c r="M114" s="515"/>
      <c r="N114" s="501"/>
      <c r="O114" s="501"/>
      <c r="P114" s="516"/>
      <c r="Q114" s="515"/>
      <c r="R114" s="523"/>
      <c r="S114" s="520"/>
    </row>
    <row r="115" spans="1:19" ht="15.75" thickBot="1">
      <c r="A115" s="1745"/>
      <c r="B115" s="1782"/>
      <c r="C115" s="1780"/>
      <c r="D115" s="1523" t="s">
        <v>981</v>
      </c>
      <c r="E115" s="181">
        <v>1500</v>
      </c>
      <c r="F115" s="181">
        <f t="shared" ref="F115" si="35">SUM(G115:S115)</f>
        <v>6991</v>
      </c>
      <c r="G115" s="517">
        <v>150</v>
      </c>
      <c r="H115" s="179">
        <v>61</v>
      </c>
      <c r="I115" s="179">
        <v>6780</v>
      </c>
      <c r="J115" s="179">
        <v>0</v>
      </c>
      <c r="K115" s="179">
        <v>0</v>
      </c>
      <c r="L115" s="519">
        <v>0</v>
      </c>
      <c r="M115" s="517">
        <v>0</v>
      </c>
      <c r="N115" s="179">
        <v>0</v>
      </c>
      <c r="O115" s="179">
        <v>0</v>
      </c>
      <c r="P115" s="519">
        <v>0</v>
      </c>
      <c r="Q115" s="517">
        <v>0</v>
      </c>
      <c r="R115" s="180">
        <v>0</v>
      </c>
      <c r="S115" s="569">
        <v>0</v>
      </c>
    </row>
    <row r="116" spans="1:19">
      <c r="A116" s="1767" t="s">
        <v>449</v>
      </c>
      <c r="B116" s="1776" t="s">
        <v>503</v>
      </c>
      <c r="C116" s="1773" t="s">
        <v>356</v>
      </c>
      <c r="D116" s="506" t="s">
        <v>3</v>
      </c>
      <c r="E116" s="176"/>
      <c r="F116" s="176">
        <f t="shared" si="1"/>
        <v>15000</v>
      </c>
      <c r="G116" s="529"/>
      <c r="H116" s="508"/>
      <c r="I116" s="508"/>
      <c r="J116" s="508"/>
      <c r="K116" s="508"/>
      <c r="L116" s="530">
        <v>15000</v>
      </c>
      <c r="M116" s="529"/>
      <c r="N116" s="508"/>
      <c r="O116" s="508"/>
      <c r="P116" s="530"/>
      <c r="Q116" s="529"/>
      <c r="R116" s="522"/>
      <c r="S116" s="566"/>
    </row>
    <row r="117" spans="1:19">
      <c r="A117" s="1744"/>
      <c r="B117" s="1777"/>
      <c r="C117" s="1774"/>
      <c r="D117" s="272" t="s">
        <v>882</v>
      </c>
      <c r="E117" s="507"/>
      <c r="F117" s="507">
        <f t="shared" si="1"/>
        <v>15000</v>
      </c>
      <c r="G117" s="515">
        <v>1207</v>
      </c>
      <c r="H117" s="501">
        <v>492</v>
      </c>
      <c r="I117" s="501">
        <v>1383</v>
      </c>
      <c r="J117" s="501">
        <v>1205</v>
      </c>
      <c r="K117" s="501"/>
      <c r="L117" s="516">
        <v>10713</v>
      </c>
      <c r="M117" s="515"/>
      <c r="N117" s="501"/>
      <c r="O117" s="501"/>
      <c r="P117" s="516"/>
      <c r="Q117" s="515"/>
      <c r="R117" s="523"/>
      <c r="S117" s="520"/>
    </row>
    <row r="118" spans="1:19" ht="15.75" thickBot="1">
      <c r="A118" s="1768"/>
      <c r="B118" s="1778"/>
      <c r="C118" s="1775"/>
      <c r="D118" s="1523" t="s">
        <v>981</v>
      </c>
      <c r="E118" s="524">
        <v>0</v>
      </c>
      <c r="F118" s="524">
        <f t="shared" ref="F118" si="36">SUM(G118:S118)</f>
        <v>40880</v>
      </c>
      <c r="G118" s="539">
        <v>4520</v>
      </c>
      <c r="H118" s="540">
        <v>1840</v>
      </c>
      <c r="I118" s="540">
        <v>8561</v>
      </c>
      <c r="J118" s="540">
        <v>8228</v>
      </c>
      <c r="K118" s="540">
        <v>0</v>
      </c>
      <c r="L118" s="541">
        <v>14998</v>
      </c>
      <c r="M118" s="539">
        <v>791</v>
      </c>
      <c r="N118" s="540">
        <v>0</v>
      </c>
      <c r="O118" s="540">
        <v>1942</v>
      </c>
      <c r="P118" s="541">
        <v>0</v>
      </c>
      <c r="Q118" s="539">
        <v>0</v>
      </c>
      <c r="R118" s="528">
        <v>0</v>
      </c>
      <c r="S118" s="567">
        <v>0</v>
      </c>
    </row>
    <row r="119" spans="1:19">
      <c r="A119" s="1743" t="s">
        <v>449</v>
      </c>
      <c r="B119" s="1746" t="s">
        <v>435</v>
      </c>
      <c r="C119" s="1749" t="s">
        <v>525</v>
      </c>
      <c r="D119" s="531" t="s">
        <v>3</v>
      </c>
      <c r="E119" s="532"/>
      <c r="F119" s="532">
        <f t="shared" si="1"/>
        <v>125183</v>
      </c>
      <c r="G119" s="533">
        <v>38844</v>
      </c>
      <c r="H119" s="534">
        <v>7509</v>
      </c>
      <c r="I119" s="534">
        <v>78830</v>
      </c>
      <c r="J119" s="534"/>
      <c r="K119" s="534"/>
      <c r="L119" s="536"/>
      <c r="M119" s="533"/>
      <c r="N119" s="534"/>
      <c r="O119" s="534"/>
      <c r="P119" s="536"/>
      <c r="Q119" s="533"/>
      <c r="R119" s="543"/>
      <c r="S119" s="568"/>
    </row>
    <row r="120" spans="1:19">
      <c r="A120" s="1744"/>
      <c r="B120" s="1747"/>
      <c r="C120" s="1750"/>
      <c r="D120" s="272" t="s">
        <v>882</v>
      </c>
      <c r="E120" s="507"/>
      <c r="F120" s="507">
        <f t="shared" si="1"/>
        <v>125333</v>
      </c>
      <c r="G120" s="515">
        <v>38844</v>
      </c>
      <c r="H120" s="501">
        <v>7509</v>
      </c>
      <c r="I120" s="501">
        <v>78830</v>
      </c>
      <c r="J120" s="501">
        <v>0</v>
      </c>
      <c r="K120" s="501">
        <v>150</v>
      </c>
      <c r="L120" s="516">
        <v>0</v>
      </c>
      <c r="M120" s="515">
        <v>0</v>
      </c>
      <c r="N120" s="501">
        <v>0</v>
      </c>
      <c r="O120" s="501">
        <v>0</v>
      </c>
      <c r="P120" s="516">
        <v>0</v>
      </c>
      <c r="Q120" s="515">
        <v>0</v>
      </c>
      <c r="R120" s="523">
        <v>0</v>
      </c>
      <c r="S120" s="520">
        <v>0</v>
      </c>
    </row>
    <row r="121" spans="1:19" ht="15.75" thickBot="1">
      <c r="A121" s="1745"/>
      <c r="B121" s="1748"/>
      <c r="C121" s="1751"/>
      <c r="D121" s="1523" t="s">
        <v>981</v>
      </c>
      <c r="E121" s="181">
        <v>19676</v>
      </c>
      <c r="F121" s="181">
        <f t="shared" ref="F121" si="37">SUM(G121:S121)</f>
        <v>92898</v>
      </c>
      <c r="G121" s="517">
        <v>27800</v>
      </c>
      <c r="H121" s="179">
        <v>5261</v>
      </c>
      <c r="I121" s="179">
        <v>59687</v>
      </c>
      <c r="J121" s="179">
        <v>0</v>
      </c>
      <c r="K121" s="179">
        <v>150</v>
      </c>
      <c r="L121" s="519">
        <v>0</v>
      </c>
      <c r="M121" s="517">
        <v>0</v>
      </c>
      <c r="N121" s="179">
        <v>0</v>
      </c>
      <c r="O121" s="179">
        <v>0</v>
      </c>
      <c r="P121" s="519">
        <v>0</v>
      </c>
      <c r="Q121" s="517">
        <v>0</v>
      </c>
      <c r="R121" s="180">
        <v>0</v>
      </c>
      <c r="S121" s="569">
        <v>0</v>
      </c>
    </row>
    <row r="122" spans="1:19">
      <c r="A122" s="1767" t="s">
        <v>449</v>
      </c>
      <c r="B122" s="1769" t="s">
        <v>436</v>
      </c>
      <c r="C122" s="1771" t="s">
        <v>526</v>
      </c>
      <c r="D122" s="506" t="s">
        <v>3</v>
      </c>
      <c r="E122" s="176"/>
      <c r="F122" s="176">
        <f t="shared" si="1"/>
        <v>4548</v>
      </c>
      <c r="G122" s="529">
        <v>2259</v>
      </c>
      <c r="H122" s="508">
        <v>441</v>
      </c>
      <c r="I122" s="508">
        <v>1848</v>
      </c>
      <c r="J122" s="508"/>
      <c r="K122" s="508"/>
      <c r="L122" s="530"/>
      <c r="M122" s="529"/>
      <c r="N122" s="508"/>
      <c r="O122" s="508"/>
      <c r="P122" s="530"/>
      <c r="Q122" s="529"/>
      <c r="R122" s="522"/>
      <c r="S122" s="566"/>
    </row>
    <row r="123" spans="1:19">
      <c r="A123" s="1744"/>
      <c r="B123" s="1747"/>
      <c r="C123" s="1750"/>
      <c r="D123" s="272" t="s">
        <v>882</v>
      </c>
      <c r="E123" s="507"/>
      <c r="F123" s="507">
        <f t="shared" si="1"/>
        <v>4548</v>
      </c>
      <c r="G123" s="515">
        <v>2259</v>
      </c>
      <c r="H123" s="501">
        <v>441</v>
      </c>
      <c r="I123" s="501">
        <v>1848</v>
      </c>
      <c r="J123" s="501"/>
      <c r="K123" s="501"/>
      <c r="L123" s="516"/>
      <c r="M123" s="515"/>
      <c r="N123" s="501"/>
      <c r="O123" s="501"/>
      <c r="P123" s="516"/>
      <c r="Q123" s="515"/>
      <c r="R123" s="523"/>
      <c r="S123" s="520"/>
    </row>
    <row r="124" spans="1:19" ht="15.75" thickBot="1">
      <c r="A124" s="1768"/>
      <c r="B124" s="1770"/>
      <c r="C124" s="1772"/>
      <c r="D124" s="1523" t="s">
        <v>981</v>
      </c>
      <c r="E124" s="524">
        <v>0</v>
      </c>
      <c r="F124" s="524">
        <f t="shared" ref="F124" si="38">SUM(G124:S124)</f>
        <v>1445</v>
      </c>
      <c r="G124" s="539">
        <v>718</v>
      </c>
      <c r="H124" s="540">
        <v>140</v>
      </c>
      <c r="I124" s="540">
        <v>554</v>
      </c>
      <c r="J124" s="540">
        <v>0</v>
      </c>
      <c r="K124" s="540">
        <v>0</v>
      </c>
      <c r="L124" s="541">
        <v>0</v>
      </c>
      <c r="M124" s="539">
        <v>33</v>
      </c>
      <c r="N124" s="540">
        <v>0</v>
      </c>
      <c r="O124" s="540">
        <v>0</v>
      </c>
      <c r="P124" s="541">
        <v>0</v>
      </c>
      <c r="Q124" s="539">
        <v>0</v>
      </c>
      <c r="R124" s="528">
        <v>0</v>
      </c>
      <c r="S124" s="567">
        <v>0</v>
      </c>
    </row>
    <row r="125" spans="1:19">
      <c r="A125" s="1743" t="s">
        <v>449</v>
      </c>
      <c r="B125" s="1746" t="s">
        <v>437</v>
      </c>
      <c r="C125" s="1749" t="s">
        <v>527</v>
      </c>
      <c r="D125" s="531" t="s">
        <v>3</v>
      </c>
      <c r="E125" s="532"/>
      <c r="F125" s="532">
        <f t="shared" si="1"/>
        <v>10028</v>
      </c>
      <c r="G125" s="533">
        <v>2650</v>
      </c>
      <c r="H125" s="534">
        <v>517</v>
      </c>
      <c r="I125" s="534">
        <v>5498</v>
      </c>
      <c r="J125" s="534"/>
      <c r="K125" s="534"/>
      <c r="L125" s="536"/>
      <c r="M125" s="533">
        <v>1363</v>
      </c>
      <c r="N125" s="534"/>
      <c r="O125" s="534"/>
      <c r="P125" s="536"/>
      <c r="Q125" s="533"/>
      <c r="R125" s="543"/>
      <c r="S125" s="568"/>
    </row>
    <row r="126" spans="1:19">
      <c r="A126" s="1744"/>
      <c r="B126" s="1747"/>
      <c r="C126" s="1750"/>
      <c r="D126" s="272" t="s">
        <v>882</v>
      </c>
      <c r="E126" s="507"/>
      <c r="F126" s="507">
        <f t="shared" si="1"/>
        <v>10028</v>
      </c>
      <c r="G126" s="515">
        <v>2650</v>
      </c>
      <c r="H126" s="501">
        <v>517</v>
      </c>
      <c r="I126" s="501">
        <v>5498</v>
      </c>
      <c r="J126" s="501"/>
      <c r="K126" s="501"/>
      <c r="L126" s="516"/>
      <c r="M126" s="515">
        <v>1363</v>
      </c>
      <c r="N126" s="501"/>
      <c r="O126" s="501"/>
      <c r="P126" s="516"/>
      <c r="Q126" s="515"/>
      <c r="R126" s="523"/>
      <c r="S126" s="520"/>
    </row>
    <row r="127" spans="1:19" ht="15.75" thickBot="1">
      <c r="A127" s="1745"/>
      <c r="B127" s="1748"/>
      <c r="C127" s="1751"/>
      <c r="D127" s="1523" t="s">
        <v>981</v>
      </c>
      <c r="E127" s="181">
        <v>0</v>
      </c>
      <c r="F127" s="181">
        <f t="shared" ref="F127" si="39">SUM(G127:S127)</f>
        <v>4326</v>
      </c>
      <c r="G127" s="517">
        <v>1143</v>
      </c>
      <c r="H127" s="179">
        <v>223</v>
      </c>
      <c r="I127" s="179">
        <v>2372</v>
      </c>
      <c r="J127" s="179">
        <v>0</v>
      </c>
      <c r="K127" s="179">
        <v>0</v>
      </c>
      <c r="L127" s="519">
        <v>0</v>
      </c>
      <c r="M127" s="517">
        <v>588</v>
      </c>
      <c r="N127" s="179">
        <v>0</v>
      </c>
      <c r="O127" s="179">
        <v>0</v>
      </c>
      <c r="P127" s="519">
        <v>0</v>
      </c>
      <c r="Q127" s="517">
        <v>0</v>
      </c>
      <c r="R127" s="180">
        <v>0</v>
      </c>
      <c r="S127" s="569">
        <v>0</v>
      </c>
    </row>
    <row r="128" spans="1:19">
      <c r="A128" s="1767" t="s">
        <v>449</v>
      </c>
      <c r="B128" s="1769" t="s">
        <v>438</v>
      </c>
      <c r="C128" s="1771" t="s">
        <v>528</v>
      </c>
      <c r="D128" s="506" t="s">
        <v>3</v>
      </c>
      <c r="E128" s="176"/>
      <c r="F128" s="176">
        <f t="shared" si="1"/>
        <v>20951</v>
      </c>
      <c r="G128" s="529">
        <v>7439</v>
      </c>
      <c r="H128" s="508">
        <v>1451</v>
      </c>
      <c r="I128" s="508">
        <v>7067</v>
      </c>
      <c r="J128" s="508"/>
      <c r="K128" s="508"/>
      <c r="L128" s="530"/>
      <c r="M128" s="529">
        <v>4994</v>
      </c>
      <c r="N128" s="508"/>
      <c r="O128" s="508"/>
      <c r="P128" s="530"/>
      <c r="Q128" s="529"/>
      <c r="R128" s="522"/>
      <c r="S128" s="566"/>
    </row>
    <row r="129" spans="1:19">
      <c r="A129" s="1744"/>
      <c r="B129" s="1747"/>
      <c r="C129" s="1750"/>
      <c r="D129" s="272" t="s">
        <v>882</v>
      </c>
      <c r="E129" s="507"/>
      <c r="F129" s="507">
        <f t="shared" si="1"/>
        <v>20951</v>
      </c>
      <c r="G129" s="515">
        <v>7439</v>
      </c>
      <c r="H129" s="501">
        <v>1451</v>
      </c>
      <c r="I129" s="501">
        <v>7067</v>
      </c>
      <c r="J129" s="501"/>
      <c r="K129" s="501"/>
      <c r="L129" s="516"/>
      <c r="M129" s="515">
        <v>4994</v>
      </c>
      <c r="N129" s="501"/>
      <c r="O129" s="501"/>
      <c r="P129" s="516"/>
      <c r="Q129" s="515"/>
      <c r="R129" s="523"/>
      <c r="S129" s="520"/>
    </row>
    <row r="130" spans="1:19" ht="15.75" thickBot="1">
      <c r="A130" s="1768"/>
      <c r="B130" s="1770"/>
      <c r="C130" s="1772"/>
      <c r="D130" s="1523" t="s">
        <v>981</v>
      </c>
      <c r="E130" s="524">
        <v>0</v>
      </c>
      <c r="F130" s="524">
        <f t="shared" ref="F130" si="40">SUM(G130:S130)</f>
        <v>17470</v>
      </c>
      <c r="G130" s="539">
        <v>6346</v>
      </c>
      <c r="H130" s="540">
        <v>1068</v>
      </c>
      <c r="I130" s="540">
        <v>5891</v>
      </c>
      <c r="J130" s="540">
        <v>0</v>
      </c>
      <c r="K130" s="540">
        <v>0</v>
      </c>
      <c r="L130" s="541">
        <v>0</v>
      </c>
      <c r="M130" s="539">
        <v>4165</v>
      </c>
      <c r="N130" s="540">
        <v>0</v>
      </c>
      <c r="O130" s="540">
        <v>0</v>
      </c>
      <c r="P130" s="541">
        <v>0</v>
      </c>
      <c r="Q130" s="539">
        <v>0</v>
      </c>
      <c r="R130" s="528">
        <v>0</v>
      </c>
      <c r="S130" s="567">
        <v>0</v>
      </c>
    </row>
    <row r="131" spans="1:19">
      <c r="A131" s="1743" t="s">
        <v>449</v>
      </c>
      <c r="B131" s="1746" t="s">
        <v>439</v>
      </c>
      <c r="C131" s="1749" t="s">
        <v>529</v>
      </c>
      <c r="D131" s="531" t="s">
        <v>3</v>
      </c>
      <c r="E131" s="532"/>
      <c r="F131" s="532">
        <f t="shared" si="1"/>
        <v>121272</v>
      </c>
      <c r="G131" s="533">
        <v>526</v>
      </c>
      <c r="H131" s="534">
        <v>103</v>
      </c>
      <c r="I131" s="534">
        <v>233</v>
      </c>
      <c r="J131" s="534"/>
      <c r="K131" s="534"/>
      <c r="L131" s="536"/>
      <c r="M131" s="533">
        <v>120410</v>
      </c>
      <c r="N131" s="534"/>
      <c r="O131" s="534"/>
      <c r="P131" s="536"/>
      <c r="Q131" s="533"/>
      <c r="R131" s="543"/>
      <c r="S131" s="568"/>
    </row>
    <row r="132" spans="1:19">
      <c r="A132" s="1744"/>
      <c r="B132" s="1747"/>
      <c r="C132" s="1750"/>
      <c r="D132" s="272" t="s">
        <v>882</v>
      </c>
      <c r="E132" s="507"/>
      <c r="F132" s="507">
        <f t="shared" si="1"/>
        <v>121272</v>
      </c>
      <c r="G132" s="515">
        <v>526</v>
      </c>
      <c r="H132" s="501">
        <v>103</v>
      </c>
      <c r="I132" s="501">
        <v>233</v>
      </c>
      <c r="J132" s="501"/>
      <c r="K132" s="501"/>
      <c r="L132" s="516"/>
      <c r="M132" s="515">
        <v>120410</v>
      </c>
      <c r="N132" s="501"/>
      <c r="O132" s="501"/>
      <c r="P132" s="516"/>
      <c r="Q132" s="515"/>
      <c r="R132" s="523"/>
      <c r="S132" s="520"/>
    </row>
    <row r="133" spans="1:19" ht="15.75" thickBot="1">
      <c r="A133" s="1745"/>
      <c r="B133" s="1748"/>
      <c r="C133" s="1751"/>
      <c r="D133" s="1523" t="s">
        <v>981</v>
      </c>
      <c r="E133" s="181">
        <v>0</v>
      </c>
      <c r="F133" s="181">
        <f t="shared" ref="F133" si="41">SUM(G133:S133)</f>
        <v>75140</v>
      </c>
      <c r="G133" s="517">
        <v>336</v>
      </c>
      <c r="H133" s="179">
        <v>66</v>
      </c>
      <c r="I133" s="179">
        <v>149</v>
      </c>
      <c r="J133" s="179">
        <v>0</v>
      </c>
      <c r="K133" s="179">
        <v>0</v>
      </c>
      <c r="L133" s="519">
        <v>0</v>
      </c>
      <c r="M133" s="517">
        <v>74589</v>
      </c>
      <c r="N133" s="179">
        <v>0</v>
      </c>
      <c r="O133" s="179">
        <v>0</v>
      </c>
      <c r="P133" s="519">
        <v>0</v>
      </c>
      <c r="Q133" s="517">
        <v>0</v>
      </c>
      <c r="R133" s="180">
        <v>0</v>
      </c>
      <c r="S133" s="569">
        <v>0</v>
      </c>
    </row>
    <row r="134" spans="1:19">
      <c r="A134" s="1767" t="s">
        <v>449</v>
      </c>
      <c r="B134" s="1769" t="s">
        <v>440</v>
      </c>
      <c r="C134" s="1771" t="s">
        <v>530</v>
      </c>
      <c r="D134" s="506" t="s">
        <v>3</v>
      </c>
      <c r="E134" s="176"/>
      <c r="F134" s="176">
        <f t="shared" si="1"/>
        <v>13676</v>
      </c>
      <c r="G134" s="529">
        <v>2400</v>
      </c>
      <c r="H134" s="508">
        <v>468</v>
      </c>
      <c r="I134" s="508">
        <v>204</v>
      </c>
      <c r="J134" s="508"/>
      <c r="K134" s="508"/>
      <c r="L134" s="530"/>
      <c r="M134" s="529">
        <v>10604</v>
      </c>
      <c r="N134" s="508"/>
      <c r="O134" s="508"/>
      <c r="P134" s="530"/>
      <c r="Q134" s="529"/>
      <c r="R134" s="522"/>
      <c r="S134" s="566"/>
    </row>
    <row r="135" spans="1:19">
      <c r="A135" s="1744"/>
      <c r="B135" s="1747"/>
      <c r="C135" s="1750"/>
      <c r="D135" s="272" t="s">
        <v>882</v>
      </c>
      <c r="E135" s="507"/>
      <c r="F135" s="507">
        <f t="shared" si="1"/>
        <v>13676</v>
      </c>
      <c r="G135" s="515">
        <v>2400</v>
      </c>
      <c r="H135" s="501">
        <v>468</v>
      </c>
      <c r="I135" s="501">
        <v>204</v>
      </c>
      <c r="J135" s="501"/>
      <c r="K135" s="501"/>
      <c r="L135" s="516"/>
      <c r="M135" s="515">
        <v>10604</v>
      </c>
      <c r="N135" s="501"/>
      <c r="O135" s="501"/>
      <c r="P135" s="516"/>
      <c r="Q135" s="515"/>
      <c r="R135" s="523"/>
      <c r="S135" s="520"/>
    </row>
    <row r="136" spans="1:19" ht="15.75" thickBot="1">
      <c r="A136" s="1768"/>
      <c r="B136" s="1770"/>
      <c r="C136" s="1772"/>
      <c r="D136" s="1523" t="s">
        <v>981</v>
      </c>
      <c r="E136" s="524">
        <v>0</v>
      </c>
      <c r="F136" s="524">
        <f t="shared" ref="F136" si="42">SUM(G136:S136)</f>
        <v>43172</v>
      </c>
      <c r="G136" s="539">
        <v>2400</v>
      </c>
      <c r="H136" s="540">
        <v>570</v>
      </c>
      <c r="I136" s="540">
        <v>355</v>
      </c>
      <c r="J136" s="540">
        <v>0</v>
      </c>
      <c r="K136" s="540">
        <v>0</v>
      </c>
      <c r="L136" s="541">
        <v>0</v>
      </c>
      <c r="M136" s="539">
        <v>39847</v>
      </c>
      <c r="N136" s="540">
        <v>0</v>
      </c>
      <c r="O136" s="540">
        <v>0</v>
      </c>
      <c r="P136" s="541">
        <v>0</v>
      </c>
      <c r="Q136" s="539">
        <v>0</v>
      </c>
      <c r="R136" s="528">
        <v>0</v>
      </c>
      <c r="S136" s="567">
        <v>0</v>
      </c>
    </row>
    <row r="137" spans="1:19">
      <c r="A137" s="1743" t="s">
        <v>449</v>
      </c>
      <c r="B137" s="1746" t="s">
        <v>442</v>
      </c>
      <c r="C137" s="1749" t="s">
        <v>944</v>
      </c>
      <c r="D137" s="531" t="s">
        <v>3</v>
      </c>
      <c r="E137" s="532"/>
      <c r="F137" s="532">
        <f t="shared" si="1"/>
        <v>5745</v>
      </c>
      <c r="G137" s="533">
        <v>812</v>
      </c>
      <c r="H137" s="534">
        <v>158</v>
      </c>
      <c r="I137" s="534">
        <v>4775</v>
      </c>
      <c r="J137" s="534"/>
      <c r="K137" s="534"/>
      <c r="L137" s="536"/>
      <c r="M137" s="533"/>
      <c r="N137" s="534"/>
      <c r="O137" s="534"/>
      <c r="P137" s="536"/>
      <c r="Q137" s="533"/>
      <c r="R137" s="543"/>
      <c r="S137" s="568"/>
    </row>
    <row r="138" spans="1:19">
      <c r="A138" s="1744"/>
      <c r="B138" s="1747"/>
      <c r="C138" s="1750"/>
      <c r="D138" s="272" t="s">
        <v>882</v>
      </c>
      <c r="E138" s="507"/>
      <c r="F138" s="507">
        <f t="shared" si="1"/>
        <v>5745</v>
      </c>
      <c r="G138" s="515">
        <v>812</v>
      </c>
      <c r="H138" s="501">
        <v>158</v>
      </c>
      <c r="I138" s="501">
        <v>4775</v>
      </c>
      <c r="J138" s="501"/>
      <c r="K138" s="501"/>
      <c r="L138" s="516"/>
      <c r="M138" s="515"/>
      <c r="N138" s="501"/>
      <c r="O138" s="501"/>
      <c r="P138" s="516"/>
      <c r="Q138" s="515"/>
      <c r="R138" s="523"/>
      <c r="S138" s="520"/>
    </row>
    <row r="139" spans="1:19" ht="15.75" thickBot="1">
      <c r="A139" s="1745"/>
      <c r="B139" s="1748"/>
      <c r="C139" s="1751"/>
      <c r="D139" s="1523" t="s">
        <v>981</v>
      </c>
      <c r="E139" s="181">
        <v>0</v>
      </c>
      <c r="F139" s="181">
        <f t="shared" ref="F139" si="43">SUM(G139:S139)</f>
        <v>5923</v>
      </c>
      <c r="G139" s="517">
        <v>837</v>
      </c>
      <c r="H139" s="179">
        <v>163</v>
      </c>
      <c r="I139" s="179">
        <v>4923</v>
      </c>
      <c r="J139" s="179">
        <v>0</v>
      </c>
      <c r="K139" s="179">
        <v>0</v>
      </c>
      <c r="L139" s="519">
        <v>0</v>
      </c>
      <c r="M139" s="517">
        <v>0</v>
      </c>
      <c r="N139" s="179">
        <v>0</v>
      </c>
      <c r="O139" s="179">
        <v>0</v>
      </c>
      <c r="P139" s="519">
        <v>0</v>
      </c>
      <c r="Q139" s="517">
        <v>0</v>
      </c>
      <c r="R139" s="180">
        <v>0</v>
      </c>
      <c r="S139" s="569">
        <v>0</v>
      </c>
    </row>
    <row r="140" spans="1:19">
      <c r="A140" s="1767" t="s">
        <v>449</v>
      </c>
      <c r="B140" s="1769" t="s">
        <v>443</v>
      </c>
      <c r="C140" s="1771" t="s">
        <v>673</v>
      </c>
      <c r="D140" s="506" t="s">
        <v>3</v>
      </c>
      <c r="E140" s="176">
        <v>101263</v>
      </c>
      <c r="F140" s="176">
        <f t="shared" si="1"/>
        <v>106593</v>
      </c>
      <c r="G140" s="529">
        <v>3580</v>
      </c>
      <c r="H140" s="508">
        <v>698</v>
      </c>
      <c r="I140" s="508">
        <v>4045</v>
      </c>
      <c r="J140" s="508"/>
      <c r="K140" s="508"/>
      <c r="L140" s="530"/>
      <c r="M140" s="529">
        <v>98270</v>
      </c>
      <c r="N140" s="508"/>
      <c r="O140" s="508"/>
      <c r="P140" s="530"/>
      <c r="Q140" s="529"/>
      <c r="R140" s="522"/>
      <c r="S140" s="566"/>
    </row>
    <row r="141" spans="1:19">
      <c r="A141" s="1744"/>
      <c r="B141" s="1747"/>
      <c r="C141" s="1750"/>
      <c r="D141" s="1521" t="s">
        <v>882</v>
      </c>
      <c r="E141" s="507">
        <v>101263</v>
      </c>
      <c r="F141" s="507">
        <f t="shared" si="1"/>
        <v>106593</v>
      </c>
      <c r="G141" s="515">
        <v>3580</v>
      </c>
      <c r="H141" s="501">
        <v>698</v>
      </c>
      <c r="I141" s="501">
        <v>4045</v>
      </c>
      <c r="J141" s="501"/>
      <c r="K141" s="501"/>
      <c r="L141" s="516"/>
      <c r="M141" s="515">
        <v>98270</v>
      </c>
      <c r="N141" s="501"/>
      <c r="O141" s="501"/>
      <c r="P141" s="516"/>
      <c r="Q141" s="515"/>
      <c r="R141" s="523"/>
      <c r="S141" s="520"/>
    </row>
    <row r="142" spans="1:19" ht="15.75" thickBot="1">
      <c r="A142" s="1768"/>
      <c r="B142" s="1770"/>
      <c r="C142" s="1772"/>
      <c r="D142" s="1523" t="s">
        <v>981</v>
      </c>
      <c r="E142" s="524">
        <v>101263</v>
      </c>
      <c r="F142" s="524">
        <f t="shared" ref="F142" si="44">SUM(G142:S142)</f>
        <v>109190</v>
      </c>
      <c r="G142" s="539">
        <v>3580</v>
      </c>
      <c r="H142" s="540">
        <v>698</v>
      </c>
      <c r="I142" s="540">
        <v>4045</v>
      </c>
      <c r="J142" s="540">
        <v>0</v>
      </c>
      <c r="K142" s="540">
        <v>0</v>
      </c>
      <c r="L142" s="541">
        <v>0</v>
      </c>
      <c r="M142" s="539">
        <v>100867</v>
      </c>
      <c r="N142" s="540">
        <v>0</v>
      </c>
      <c r="O142" s="540">
        <v>0</v>
      </c>
      <c r="P142" s="541">
        <v>0</v>
      </c>
      <c r="Q142" s="539">
        <v>0</v>
      </c>
      <c r="R142" s="528">
        <v>0</v>
      </c>
      <c r="S142" s="567">
        <v>0</v>
      </c>
    </row>
    <row r="143" spans="1:19">
      <c r="A143" s="1743" t="s">
        <v>449</v>
      </c>
      <c r="B143" s="1746" t="s">
        <v>445</v>
      </c>
      <c r="C143" s="1749" t="s">
        <v>674</v>
      </c>
      <c r="D143" s="531" t="s">
        <v>3</v>
      </c>
      <c r="E143" s="532">
        <v>85135</v>
      </c>
      <c r="F143" s="532">
        <f t="shared" si="1"/>
        <v>89616</v>
      </c>
      <c r="G143" s="533">
        <v>1816</v>
      </c>
      <c r="H143" s="534">
        <v>354</v>
      </c>
      <c r="I143" s="534">
        <v>418</v>
      </c>
      <c r="J143" s="534"/>
      <c r="K143" s="534"/>
      <c r="L143" s="536"/>
      <c r="M143" s="533">
        <v>87028</v>
      </c>
      <c r="N143" s="534"/>
      <c r="O143" s="534"/>
      <c r="P143" s="536"/>
      <c r="Q143" s="533"/>
      <c r="R143" s="543"/>
      <c r="S143" s="568"/>
    </row>
    <row r="144" spans="1:19">
      <c r="A144" s="1744"/>
      <c r="B144" s="1747"/>
      <c r="C144" s="1750"/>
      <c r="D144" s="272" t="s">
        <v>882</v>
      </c>
      <c r="E144" s="507">
        <v>85135</v>
      </c>
      <c r="F144" s="507">
        <f t="shared" si="1"/>
        <v>89616</v>
      </c>
      <c r="G144" s="515">
        <v>1816</v>
      </c>
      <c r="H144" s="501">
        <v>354</v>
      </c>
      <c r="I144" s="501">
        <v>418</v>
      </c>
      <c r="J144" s="501"/>
      <c r="K144" s="501"/>
      <c r="L144" s="516"/>
      <c r="M144" s="515">
        <v>87028</v>
      </c>
      <c r="N144" s="501"/>
      <c r="O144" s="501"/>
      <c r="P144" s="516"/>
      <c r="Q144" s="515"/>
      <c r="R144" s="523"/>
      <c r="S144" s="520"/>
    </row>
    <row r="145" spans="1:19" ht="15.75" thickBot="1">
      <c r="A145" s="1745"/>
      <c r="B145" s="1748"/>
      <c r="C145" s="1751"/>
      <c r="D145" s="1523" t="s">
        <v>981</v>
      </c>
      <c r="E145" s="181">
        <v>85135</v>
      </c>
      <c r="F145" s="181">
        <f t="shared" ref="F145" si="45">SUM(G145:S145)</f>
        <v>89616</v>
      </c>
      <c r="G145" s="517">
        <v>1816</v>
      </c>
      <c r="H145" s="179">
        <v>354</v>
      </c>
      <c r="I145" s="179">
        <v>418</v>
      </c>
      <c r="J145" s="179">
        <v>0</v>
      </c>
      <c r="K145" s="179">
        <v>0</v>
      </c>
      <c r="L145" s="519">
        <v>0</v>
      </c>
      <c r="M145" s="517">
        <v>87028</v>
      </c>
      <c r="N145" s="179">
        <v>0</v>
      </c>
      <c r="O145" s="179">
        <v>0</v>
      </c>
      <c r="P145" s="519">
        <v>0</v>
      </c>
      <c r="Q145" s="517">
        <v>0</v>
      </c>
      <c r="R145" s="180">
        <v>0</v>
      </c>
      <c r="S145" s="569">
        <v>0</v>
      </c>
    </row>
    <row r="146" spans="1:19">
      <c r="A146" s="1767" t="s">
        <v>449</v>
      </c>
      <c r="B146" s="1769" t="s">
        <v>447</v>
      </c>
      <c r="C146" s="1771" t="s">
        <v>531</v>
      </c>
      <c r="D146" s="506" t="s">
        <v>3</v>
      </c>
      <c r="E146" s="176">
        <v>399459</v>
      </c>
      <c r="F146" s="176">
        <f t="shared" si="1"/>
        <v>504640</v>
      </c>
      <c r="G146" s="529">
        <v>8285</v>
      </c>
      <c r="H146" s="508">
        <v>1615</v>
      </c>
      <c r="I146" s="508">
        <v>40222</v>
      </c>
      <c r="J146" s="508"/>
      <c r="K146" s="508"/>
      <c r="L146" s="530"/>
      <c r="M146" s="529">
        <v>454518</v>
      </c>
      <c r="N146" s="508"/>
      <c r="O146" s="508"/>
      <c r="P146" s="530"/>
      <c r="Q146" s="529"/>
      <c r="R146" s="522"/>
      <c r="S146" s="566"/>
    </row>
    <row r="147" spans="1:19">
      <c r="A147" s="1744"/>
      <c r="B147" s="1747"/>
      <c r="C147" s="1750"/>
      <c r="D147" s="272" t="s">
        <v>882</v>
      </c>
      <c r="E147" s="507">
        <v>399459</v>
      </c>
      <c r="F147" s="507">
        <f t="shared" si="1"/>
        <v>504640</v>
      </c>
      <c r="G147" s="515">
        <v>8285</v>
      </c>
      <c r="H147" s="501">
        <v>1615</v>
      </c>
      <c r="I147" s="501">
        <v>31671</v>
      </c>
      <c r="J147" s="501"/>
      <c r="K147" s="501"/>
      <c r="L147" s="516"/>
      <c r="M147" s="515">
        <v>463069</v>
      </c>
      <c r="N147" s="501"/>
      <c r="O147" s="501"/>
      <c r="P147" s="516"/>
      <c r="Q147" s="515"/>
      <c r="R147" s="523"/>
      <c r="S147" s="520"/>
    </row>
    <row r="148" spans="1:19" ht="15.75" thickBot="1">
      <c r="A148" s="1768"/>
      <c r="B148" s="1770"/>
      <c r="C148" s="1772"/>
      <c r="D148" s="1523" t="s">
        <v>981</v>
      </c>
      <c r="E148" s="524">
        <v>399459</v>
      </c>
      <c r="F148" s="524">
        <f t="shared" ref="F148" si="46">SUM(G148:S148)</f>
        <v>399459</v>
      </c>
      <c r="G148" s="539">
        <v>8285</v>
      </c>
      <c r="H148" s="540">
        <v>1615</v>
      </c>
      <c r="I148" s="540">
        <v>31671</v>
      </c>
      <c r="J148" s="540">
        <v>0</v>
      </c>
      <c r="K148" s="540">
        <v>0</v>
      </c>
      <c r="L148" s="541">
        <v>0</v>
      </c>
      <c r="M148" s="539">
        <v>357888</v>
      </c>
      <c r="N148" s="540">
        <v>0</v>
      </c>
      <c r="O148" s="540">
        <v>0</v>
      </c>
      <c r="P148" s="541">
        <v>0</v>
      </c>
      <c r="Q148" s="539">
        <v>0</v>
      </c>
      <c r="R148" s="528">
        <v>0</v>
      </c>
      <c r="S148" s="567">
        <v>0</v>
      </c>
    </row>
    <row r="149" spans="1:19">
      <c r="A149" s="1743" t="s">
        <v>449</v>
      </c>
      <c r="B149" s="1746" t="s">
        <v>450</v>
      </c>
      <c r="C149" s="1749" t="s">
        <v>532</v>
      </c>
      <c r="D149" s="531" t="s">
        <v>3</v>
      </c>
      <c r="E149" s="532"/>
      <c r="F149" s="532">
        <f t="shared" si="1"/>
        <v>199358</v>
      </c>
      <c r="G149" s="533">
        <v>794</v>
      </c>
      <c r="H149" s="534">
        <v>155</v>
      </c>
      <c r="I149" s="534">
        <v>4810</v>
      </c>
      <c r="J149" s="534"/>
      <c r="K149" s="534"/>
      <c r="L149" s="536"/>
      <c r="M149" s="533">
        <v>193599</v>
      </c>
      <c r="N149" s="534"/>
      <c r="O149" s="534"/>
      <c r="P149" s="536"/>
      <c r="Q149" s="533"/>
      <c r="R149" s="543"/>
      <c r="S149" s="568"/>
    </row>
    <row r="150" spans="1:19">
      <c r="A150" s="1744"/>
      <c r="B150" s="1747"/>
      <c r="C150" s="1750"/>
      <c r="D150" s="272" t="s">
        <v>882</v>
      </c>
      <c r="E150" s="507"/>
      <c r="F150" s="507">
        <f t="shared" si="1"/>
        <v>199358</v>
      </c>
      <c r="G150" s="515">
        <v>794</v>
      </c>
      <c r="H150" s="501">
        <v>155</v>
      </c>
      <c r="I150" s="501">
        <v>4810</v>
      </c>
      <c r="J150" s="501"/>
      <c r="K150" s="501"/>
      <c r="L150" s="516"/>
      <c r="M150" s="515">
        <v>193599</v>
      </c>
      <c r="N150" s="501"/>
      <c r="O150" s="501"/>
      <c r="P150" s="516"/>
      <c r="Q150" s="515"/>
      <c r="R150" s="523"/>
      <c r="S150" s="520"/>
    </row>
    <row r="151" spans="1:19" ht="15.75" thickBot="1">
      <c r="A151" s="1745"/>
      <c r="B151" s="1748"/>
      <c r="C151" s="1751"/>
      <c r="D151" s="1523" t="s">
        <v>981</v>
      </c>
      <c r="E151" s="587">
        <v>0</v>
      </c>
      <c r="F151" s="587">
        <f t="shared" ref="F151" si="47">SUM(G151:S151)</f>
        <v>198514</v>
      </c>
      <c r="G151" s="588">
        <v>790</v>
      </c>
      <c r="H151" s="589">
        <v>154</v>
      </c>
      <c r="I151" s="589">
        <v>4787</v>
      </c>
      <c r="J151" s="589">
        <v>0</v>
      </c>
      <c r="K151" s="589">
        <v>0</v>
      </c>
      <c r="L151" s="590">
        <v>0</v>
      </c>
      <c r="M151" s="588">
        <v>192783</v>
      </c>
      <c r="N151" s="589">
        <v>0</v>
      </c>
      <c r="O151" s="589">
        <v>0</v>
      </c>
      <c r="P151" s="590">
        <v>0</v>
      </c>
      <c r="Q151" s="588">
        <v>0</v>
      </c>
      <c r="R151" s="591">
        <v>0</v>
      </c>
      <c r="S151" s="592">
        <v>0</v>
      </c>
    </row>
    <row r="152" spans="1:19">
      <c r="A152" s="1767" t="s">
        <v>449</v>
      </c>
      <c r="B152" s="1769" t="s">
        <v>542</v>
      </c>
      <c r="C152" s="1771" t="s">
        <v>533</v>
      </c>
      <c r="D152" s="506" t="s">
        <v>3</v>
      </c>
      <c r="E152" s="176"/>
      <c r="F152" s="176">
        <f t="shared" si="1"/>
        <v>305977</v>
      </c>
      <c r="G152" s="529">
        <v>1016</v>
      </c>
      <c r="H152" s="508">
        <v>198</v>
      </c>
      <c r="I152" s="508">
        <v>4763</v>
      </c>
      <c r="J152" s="508"/>
      <c r="K152" s="508"/>
      <c r="L152" s="530"/>
      <c r="M152" s="529">
        <v>300000</v>
      </c>
      <c r="N152" s="508"/>
      <c r="O152" s="508"/>
      <c r="P152" s="530"/>
      <c r="Q152" s="529"/>
      <c r="R152" s="522"/>
      <c r="S152" s="566"/>
    </row>
    <row r="153" spans="1:19">
      <c r="A153" s="1744"/>
      <c r="B153" s="1747"/>
      <c r="C153" s="1750"/>
      <c r="D153" s="272" t="s">
        <v>882</v>
      </c>
      <c r="E153" s="507"/>
      <c r="F153" s="507">
        <f t="shared" si="1"/>
        <v>305977</v>
      </c>
      <c r="G153" s="515">
        <v>1016</v>
      </c>
      <c r="H153" s="501">
        <v>198</v>
      </c>
      <c r="I153" s="501">
        <v>4763</v>
      </c>
      <c r="J153" s="501"/>
      <c r="K153" s="501"/>
      <c r="L153" s="516"/>
      <c r="M153" s="515">
        <v>300000</v>
      </c>
      <c r="N153" s="501"/>
      <c r="O153" s="501"/>
      <c r="P153" s="516"/>
      <c r="Q153" s="515"/>
      <c r="R153" s="523"/>
      <c r="S153" s="520"/>
    </row>
    <row r="154" spans="1:19" ht="15.75" thickBot="1">
      <c r="A154" s="1768"/>
      <c r="B154" s="1770"/>
      <c r="C154" s="1772"/>
      <c r="D154" s="1523" t="s">
        <v>981</v>
      </c>
      <c r="E154" s="524">
        <v>0</v>
      </c>
      <c r="F154" s="524">
        <f t="shared" ref="F154" si="48">SUM(G154:S154)</f>
        <v>446989</v>
      </c>
      <c r="G154" s="539">
        <v>4410</v>
      </c>
      <c r="H154" s="540">
        <v>858</v>
      </c>
      <c r="I154" s="540">
        <v>20673</v>
      </c>
      <c r="J154" s="540">
        <v>0</v>
      </c>
      <c r="K154" s="540">
        <v>0</v>
      </c>
      <c r="L154" s="541">
        <v>0</v>
      </c>
      <c r="M154" s="539">
        <v>421048</v>
      </c>
      <c r="N154" s="540">
        <v>0</v>
      </c>
      <c r="O154" s="540">
        <v>0</v>
      </c>
      <c r="P154" s="541">
        <v>0</v>
      </c>
      <c r="Q154" s="539">
        <v>0</v>
      </c>
      <c r="R154" s="528">
        <v>0</v>
      </c>
      <c r="S154" s="567">
        <v>0</v>
      </c>
    </row>
    <row r="155" spans="1:19">
      <c r="A155" s="1743" t="s">
        <v>449</v>
      </c>
      <c r="B155" s="1746" t="s">
        <v>543</v>
      </c>
      <c r="C155" s="1749" t="s">
        <v>534</v>
      </c>
      <c r="D155" s="531" t="s">
        <v>3</v>
      </c>
      <c r="E155" s="532"/>
      <c r="F155" s="532">
        <f t="shared" si="1"/>
        <v>354000</v>
      </c>
      <c r="G155" s="533">
        <v>5492</v>
      </c>
      <c r="H155" s="534">
        <v>1071</v>
      </c>
      <c r="I155" s="534">
        <v>10135</v>
      </c>
      <c r="J155" s="534"/>
      <c r="K155" s="534"/>
      <c r="L155" s="536"/>
      <c r="M155" s="533">
        <v>337302</v>
      </c>
      <c r="N155" s="534"/>
      <c r="O155" s="534"/>
      <c r="P155" s="536"/>
      <c r="Q155" s="533"/>
      <c r="R155" s="543"/>
      <c r="S155" s="568"/>
    </row>
    <row r="156" spans="1:19">
      <c r="A156" s="1744"/>
      <c r="B156" s="1747"/>
      <c r="C156" s="1750"/>
      <c r="D156" s="272" t="s">
        <v>882</v>
      </c>
      <c r="E156" s="507">
        <v>0</v>
      </c>
      <c r="F156" s="507">
        <f t="shared" si="1"/>
        <v>359823</v>
      </c>
      <c r="G156" s="515">
        <v>5492</v>
      </c>
      <c r="H156" s="501">
        <v>1071</v>
      </c>
      <c r="I156" s="501">
        <v>15958</v>
      </c>
      <c r="J156" s="501"/>
      <c r="K156" s="501"/>
      <c r="L156" s="516"/>
      <c r="M156" s="515">
        <v>337302</v>
      </c>
      <c r="N156" s="501"/>
      <c r="O156" s="501"/>
      <c r="P156" s="516"/>
      <c r="Q156" s="515"/>
      <c r="R156" s="523"/>
      <c r="S156" s="520"/>
    </row>
    <row r="157" spans="1:19" ht="15.75" thickBot="1">
      <c r="A157" s="1745"/>
      <c r="B157" s="1748"/>
      <c r="C157" s="1751"/>
      <c r="D157" s="1523" t="s">
        <v>981</v>
      </c>
      <c r="E157" s="181">
        <v>0</v>
      </c>
      <c r="F157" s="181">
        <f t="shared" ref="F157" si="49">SUM(G157:S157)</f>
        <v>379543</v>
      </c>
      <c r="G157" s="517">
        <v>5307</v>
      </c>
      <c r="H157" s="179">
        <v>1034</v>
      </c>
      <c r="I157" s="179">
        <v>15616</v>
      </c>
      <c r="J157" s="179">
        <v>0</v>
      </c>
      <c r="K157" s="179">
        <v>0</v>
      </c>
      <c r="L157" s="519">
        <v>0</v>
      </c>
      <c r="M157" s="517">
        <v>357586</v>
      </c>
      <c r="N157" s="179">
        <v>0</v>
      </c>
      <c r="O157" s="179">
        <v>0</v>
      </c>
      <c r="P157" s="519">
        <v>0</v>
      </c>
      <c r="Q157" s="517">
        <v>0</v>
      </c>
      <c r="R157" s="180">
        <v>0</v>
      </c>
      <c r="S157" s="569">
        <v>0</v>
      </c>
    </row>
    <row r="158" spans="1:19">
      <c r="A158" s="1767" t="s">
        <v>449</v>
      </c>
      <c r="B158" s="1769" t="s">
        <v>544</v>
      </c>
      <c r="C158" s="1771" t="s">
        <v>535</v>
      </c>
      <c r="D158" s="506" t="s">
        <v>3</v>
      </c>
      <c r="E158" s="176"/>
      <c r="F158" s="176">
        <f t="shared" si="1"/>
        <v>426082</v>
      </c>
      <c r="G158" s="529">
        <v>3346</v>
      </c>
      <c r="H158" s="508">
        <v>653</v>
      </c>
      <c r="I158" s="508">
        <v>23114</v>
      </c>
      <c r="J158" s="508"/>
      <c r="K158" s="508"/>
      <c r="L158" s="530"/>
      <c r="M158" s="529">
        <v>398969</v>
      </c>
      <c r="N158" s="508"/>
      <c r="O158" s="508"/>
      <c r="P158" s="530"/>
      <c r="Q158" s="529"/>
      <c r="R158" s="522"/>
      <c r="S158" s="566"/>
    </row>
    <row r="159" spans="1:19">
      <c r="A159" s="1744"/>
      <c r="B159" s="1747"/>
      <c r="C159" s="1750"/>
      <c r="D159" s="272" t="s">
        <v>882</v>
      </c>
      <c r="E159" s="507">
        <v>0</v>
      </c>
      <c r="F159" s="507">
        <f t="shared" si="1"/>
        <v>426082</v>
      </c>
      <c r="G159" s="515">
        <v>3346</v>
      </c>
      <c r="H159" s="501">
        <v>653</v>
      </c>
      <c r="I159" s="501">
        <v>18200</v>
      </c>
      <c r="J159" s="501"/>
      <c r="K159" s="501"/>
      <c r="L159" s="516"/>
      <c r="M159" s="515">
        <v>403883</v>
      </c>
      <c r="N159" s="501"/>
      <c r="O159" s="501"/>
      <c r="P159" s="516"/>
      <c r="Q159" s="515"/>
      <c r="R159" s="523"/>
      <c r="S159" s="520"/>
    </row>
    <row r="160" spans="1:19" ht="15.75" thickBot="1">
      <c r="A160" s="1768"/>
      <c r="B160" s="1770"/>
      <c r="C160" s="1772"/>
      <c r="D160" s="1523" t="s">
        <v>981</v>
      </c>
      <c r="E160" s="524">
        <v>0</v>
      </c>
      <c r="F160" s="524">
        <f t="shared" ref="F160" si="50">SUM(G160:S160)</f>
        <v>409699</v>
      </c>
      <c r="G160" s="539">
        <v>3209</v>
      </c>
      <c r="H160" s="540">
        <v>627</v>
      </c>
      <c r="I160" s="540">
        <v>17457</v>
      </c>
      <c r="J160" s="540">
        <v>0</v>
      </c>
      <c r="K160" s="540">
        <v>0</v>
      </c>
      <c r="L160" s="541">
        <v>0</v>
      </c>
      <c r="M160" s="539">
        <v>388406</v>
      </c>
      <c r="N160" s="540">
        <v>0</v>
      </c>
      <c r="O160" s="540">
        <v>0</v>
      </c>
      <c r="P160" s="541">
        <v>0</v>
      </c>
      <c r="Q160" s="539">
        <v>0</v>
      </c>
      <c r="R160" s="528">
        <v>0</v>
      </c>
      <c r="S160" s="567">
        <v>0</v>
      </c>
    </row>
    <row r="161" spans="1:19">
      <c r="A161" s="1743" t="s">
        <v>449</v>
      </c>
      <c r="B161" s="1746" t="s">
        <v>545</v>
      </c>
      <c r="C161" s="1749" t="s">
        <v>536</v>
      </c>
      <c r="D161" s="531" t="s">
        <v>3</v>
      </c>
      <c r="E161" s="532"/>
      <c r="F161" s="532">
        <f t="shared" si="1"/>
        <v>198117</v>
      </c>
      <c r="G161" s="533">
        <v>2737</v>
      </c>
      <c r="H161" s="534">
        <v>1013</v>
      </c>
      <c r="I161" s="534">
        <v>3979</v>
      </c>
      <c r="J161" s="534"/>
      <c r="K161" s="534"/>
      <c r="L161" s="536"/>
      <c r="M161" s="533">
        <v>53779</v>
      </c>
      <c r="N161" s="534">
        <v>136609</v>
      </c>
      <c r="O161" s="534"/>
      <c r="P161" s="536"/>
      <c r="Q161" s="533"/>
      <c r="R161" s="543"/>
      <c r="S161" s="568"/>
    </row>
    <row r="162" spans="1:19">
      <c r="A162" s="1744"/>
      <c r="B162" s="1747"/>
      <c r="C162" s="1750"/>
      <c r="D162" s="272" t="s">
        <v>882</v>
      </c>
      <c r="E162" s="507">
        <v>0</v>
      </c>
      <c r="F162" s="507">
        <f t="shared" si="1"/>
        <v>198117</v>
      </c>
      <c r="G162" s="515">
        <v>2737</v>
      </c>
      <c r="H162" s="501">
        <v>1013</v>
      </c>
      <c r="I162" s="501">
        <v>3979</v>
      </c>
      <c r="J162" s="501"/>
      <c r="K162" s="501"/>
      <c r="L162" s="516"/>
      <c r="M162" s="515">
        <v>53779</v>
      </c>
      <c r="N162" s="501">
        <v>136609</v>
      </c>
      <c r="O162" s="501"/>
      <c r="P162" s="516"/>
      <c r="Q162" s="515"/>
      <c r="R162" s="523"/>
      <c r="S162" s="520"/>
    </row>
    <row r="163" spans="1:19" ht="15.75" thickBot="1">
      <c r="A163" s="1745"/>
      <c r="B163" s="1748"/>
      <c r="C163" s="1751"/>
      <c r="D163" s="1523" t="s">
        <v>981</v>
      </c>
      <c r="E163" s="181">
        <v>0</v>
      </c>
      <c r="F163" s="181">
        <f t="shared" ref="F163" si="51">SUM(G163:S163)</f>
        <v>143970</v>
      </c>
      <c r="G163" s="517">
        <v>2730</v>
      </c>
      <c r="H163" s="179">
        <v>1010</v>
      </c>
      <c r="I163" s="179">
        <v>3969</v>
      </c>
      <c r="J163" s="179">
        <v>0</v>
      </c>
      <c r="K163" s="179">
        <v>0</v>
      </c>
      <c r="L163" s="519">
        <v>0</v>
      </c>
      <c r="M163" s="517">
        <v>0</v>
      </c>
      <c r="N163" s="179">
        <v>136261</v>
      </c>
      <c r="O163" s="179">
        <v>0</v>
      </c>
      <c r="P163" s="519">
        <v>0</v>
      </c>
      <c r="Q163" s="517">
        <v>0</v>
      </c>
      <c r="R163" s="180">
        <v>0</v>
      </c>
      <c r="S163" s="569">
        <v>0</v>
      </c>
    </row>
    <row r="164" spans="1:19">
      <c r="A164" s="1767" t="s">
        <v>449</v>
      </c>
      <c r="B164" s="1769" t="s">
        <v>546</v>
      </c>
      <c r="C164" s="1771" t="s">
        <v>537</v>
      </c>
      <c r="D164" s="506" t="s">
        <v>3</v>
      </c>
      <c r="E164" s="176"/>
      <c r="F164" s="176">
        <f t="shared" si="1"/>
        <v>443709</v>
      </c>
      <c r="G164" s="529">
        <v>4695</v>
      </c>
      <c r="H164" s="508">
        <v>916</v>
      </c>
      <c r="I164" s="508">
        <v>13127</v>
      </c>
      <c r="J164" s="508"/>
      <c r="K164" s="508"/>
      <c r="L164" s="530"/>
      <c r="M164" s="529">
        <v>424971</v>
      </c>
      <c r="N164" s="508"/>
      <c r="O164" s="508"/>
      <c r="P164" s="530"/>
      <c r="Q164" s="529"/>
      <c r="R164" s="522"/>
      <c r="S164" s="566"/>
    </row>
    <row r="165" spans="1:19">
      <c r="A165" s="1744"/>
      <c r="B165" s="1747"/>
      <c r="C165" s="1750"/>
      <c r="D165" s="272" t="s">
        <v>882</v>
      </c>
      <c r="E165" s="507">
        <v>0</v>
      </c>
      <c r="F165" s="507">
        <f t="shared" si="1"/>
        <v>532696</v>
      </c>
      <c r="G165" s="515">
        <v>4695</v>
      </c>
      <c r="H165" s="501">
        <v>916</v>
      </c>
      <c r="I165" s="501">
        <v>10127</v>
      </c>
      <c r="J165" s="501"/>
      <c r="K165" s="501"/>
      <c r="L165" s="516"/>
      <c r="M165" s="515">
        <v>516958</v>
      </c>
      <c r="N165" s="501"/>
      <c r="O165" s="501"/>
      <c r="P165" s="516"/>
      <c r="Q165" s="515"/>
      <c r="R165" s="523"/>
      <c r="S165" s="520"/>
    </row>
    <row r="166" spans="1:19" ht="15.75" thickBot="1">
      <c r="A166" s="1768"/>
      <c r="B166" s="1770"/>
      <c r="C166" s="1772"/>
      <c r="D166" s="1523" t="s">
        <v>981</v>
      </c>
      <c r="E166" s="524">
        <v>0</v>
      </c>
      <c r="F166" s="524">
        <f t="shared" ref="F166" si="52">SUM(G166:S166)</f>
        <v>591935</v>
      </c>
      <c r="G166" s="539">
        <v>4738</v>
      </c>
      <c r="H166" s="540">
        <v>924</v>
      </c>
      <c r="I166" s="540">
        <v>62029</v>
      </c>
      <c r="J166" s="540">
        <v>0</v>
      </c>
      <c r="K166" s="540">
        <v>0</v>
      </c>
      <c r="L166" s="541">
        <v>0</v>
      </c>
      <c r="M166" s="539">
        <v>524244</v>
      </c>
      <c r="N166" s="540">
        <v>0</v>
      </c>
      <c r="O166" s="540">
        <v>0</v>
      </c>
      <c r="P166" s="541">
        <v>0</v>
      </c>
      <c r="Q166" s="539">
        <v>0</v>
      </c>
      <c r="R166" s="528">
        <v>0</v>
      </c>
      <c r="S166" s="567">
        <v>0</v>
      </c>
    </row>
    <row r="167" spans="1:19">
      <c r="A167" s="1743" t="s">
        <v>449</v>
      </c>
      <c r="B167" s="1746" t="s">
        <v>547</v>
      </c>
      <c r="C167" s="1749" t="s">
        <v>538</v>
      </c>
      <c r="D167" s="531" t="s">
        <v>3</v>
      </c>
      <c r="E167" s="532">
        <v>250000</v>
      </c>
      <c r="F167" s="532">
        <f t="shared" si="1"/>
        <v>275026</v>
      </c>
      <c r="G167" s="533">
        <v>2720</v>
      </c>
      <c r="H167" s="534">
        <v>530</v>
      </c>
      <c r="I167" s="534">
        <v>8250</v>
      </c>
      <c r="J167" s="534"/>
      <c r="K167" s="534"/>
      <c r="L167" s="536"/>
      <c r="M167" s="533">
        <v>263526</v>
      </c>
      <c r="N167" s="534"/>
      <c r="O167" s="534"/>
      <c r="P167" s="536"/>
      <c r="Q167" s="533"/>
      <c r="R167" s="543"/>
      <c r="S167" s="568"/>
    </row>
    <row r="168" spans="1:19">
      <c r="A168" s="1744"/>
      <c r="B168" s="1747"/>
      <c r="C168" s="1750"/>
      <c r="D168" s="272" t="s">
        <v>882</v>
      </c>
      <c r="E168" s="507">
        <v>250000</v>
      </c>
      <c r="F168" s="507">
        <f t="shared" si="1"/>
        <v>275026</v>
      </c>
      <c r="G168" s="515">
        <v>2720</v>
      </c>
      <c r="H168" s="501">
        <v>530</v>
      </c>
      <c r="I168" s="501">
        <v>8250</v>
      </c>
      <c r="J168" s="501"/>
      <c r="K168" s="501"/>
      <c r="L168" s="516"/>
      <c r="M168" s="515">
        <v>263526</v>
      </c>
      <c r="N168" s="501"/>
      <c r="O168" s="501"/>
      <c r="P168" s="516"/>
      <c r="Q168" s="515"/>
      <c r="R168" s="523"/>
      <c r="S168" s="520"/>
    </row>
    <row r="169" spans="1:19" ht="15.75" thickBot="1">
      <c r="A169" s="1745"/>
      <c r="B169" s="1748"/>
      <c r="C169" s="1751"/>
      <c r="D169" s="1523" t="s">
        <v>981</v>
      </c>
      <c r="E169" s="181">
        <v>0</v>
      </c>
      <c r="F169" s="181">
        <f t="shared" ref="F169" si="53">SUM(G169:S169)</f>
        <v>265020</v>
      </c>
      <c r="G169" s="517">
        <v>2720</v>
      </c>
      <c r="H169" s="179">
        <v>530</v>
      </c>
      <c r="I169" s="179">
        <v>20724</v>
      </c>
      <c r="J169" s="179">
        <v>0</v>
      </c>
      <c r="K169" s="179">
        <v>0</v>
      </c>
      <c r="L169" s="519">
        <v>0</v>
      </c>
      <c r="M169" s="517">
        <v>241046</v>
      </c>
      <c r="N169" s="179">
        <v>0</v>
      </c>
      <c r="O169" s="179">
        <v>0</v>
      </c>
      <c r="P169" s="519">
        <v>0</v>
      </c>
      <c r="Q169" s="517">
        <v>0</v>
      </c>
      <c r="R169" s="180">
        <v>0</v>
      </c>
      <c r="S169" s="569">
        <v>0</v>
      </c>
    </row>
    <row r="170" spans="1:19">
      <c r="A170" s="1743" t="s">
        <v>449</v>
      </c>
      <c r="B170" s="1746" t="s">
        <v>548</v>
      </c>
      <c r="C170" s="1749" t="s">
        <v>539</v>
      </c>
      <c r="D170" s="531" t="s">
        <v>3</v>
      </c>
      <c r="E170" s="532">
        <v>39968</v>
      </c>
      <c r="F170" s="532">
        <f t="shared" si="1"/>
        <v>42750</v>
      </c>
      <c r="G170" s="533">
        <v>868</v>
      </c>
      <c r="H170" s="534">
        <v>169</v>
      </c>
      <c r="I170" s="534">
        <v>1713</v>
      </c>
      <c r="J170" s="534"/>
      <c r="K170" s="534"/>
      <c r="L170" s="536"/>
      <c r="M170" s="533">
        <v>40000</v>
      </c>
      <c r="N170" s="534"/>
      <c r="O170" s="534"/>
      <c r="P170" s="536"/>
      <c r="Q170" s="533"/>
      <c r="R170" s="543"/>
      <c r="S170" s="568"/>
    </row>
    <row r="171" spans="1:19">
      <c r="A171" s="1744"/>
      <c r="B171" s="1747"/>
      <c r="C171" s="1750"/>
      <c r="D171" s="272" t="s">
        <v>882</v>
      </c>
      <c r="E171" s="507">
        <v>39968</v>
      </c>
      <c r="F171" s="507">
        <f t="shared" si="1"/>
        <v>47750</v>
      </c>
      <c r="G171" s="515">
        <v>868</v>
      </c>
      <c r="H171" s="501">
        <v>169</v>
      </c>
      <c r="I171" s="501">
        <v>1713</v>
      </c>
      <c r="J171" s="501"/>
      <c r="K171" s="501"/>
      <c r="L171" s="516"/>
      <c r="M171" s="515">
        <v>45000</v>
      </c>
      <c r="N171" s="501"/>
      <c r="O171" s="501"/>
      <c r="P171" s="516"/>
      <c r="Q171" s="515"/>
      <c r="R171" s="523"/>
      <c r="S171" s="520"/>
    </row>
    <row r="172" spans="1:19" ht="15.75" thickBot="1">
      <c r="A172" s="1745"/>
      <c r="B172" s="1748"/>
      <c r="C172" s="1751"/>
      <c r="D172" s="1523" t="s">
        <v>981</v>
      </c>
      <c r="E172" s="181">
        <v>39968</v>
      </c>
      <c r="F172" s="181">
        <f t="shared" ref="F172" si="54">SUM(G172:S172)</f>
        <v>52887</v>
      </c>
      <c r="G172" s="517">
        <v>868</v>
      </c>
      <c r="H172" s="179">
        <v>169</v>
      </c>
      <c r="I172" s="179">
        <v>1713</v>
      </c>
      <c r="J172" s="179">
        <v>0</v>
      </c>
      <c r="K172" s="179">
        <v>0</v>
      </c>
      <c r="L172" s="519">
        <v>0</v>
      </c>
      <c r="M172" s="517">
        <v>50137</v>
      </c>
      <c r="N172" s="179">
        <v>0</v>
      </c>
      <c r="O172" s="179">
        <v>0</v>
      </c>
      <c r="P172" s="519">
        <v>0</v>
      </c>
      <c r="Q172" s="517">
        <v>0</v>
      </c>
      <c r="R172" s="180">
        <v>0</v>
      </c>
      <c r="S172" s="569">
        <v>0</v>
      </c>
    </row>
    <row r="173" spans="1:19">
      <c r="A173" s="1734" t="s">
        <v>449</v>
      </c>
      <c r="B173" s="1737" t="s">
        <v>549</v>
      </c>
      <c r="C173" s="1740" t="s">
        <v>540</v>
      </c>
      <c r="D173" s="580" t="s">
        <v>3</v>
      </c>
      <c r="E173" s="581">
        <v>39167</v>
      </c>
      <c r="F173" s="581">
        <f t="shared" si="1"/>
        <v>42664</v>
      </c>
      <c r="G173" s="582">
        <v>854</v>
      </c>
      <c r="H173" s="583">
        <v>167</v>
      </c>
      <c r="I173" s="583">
        <v>1643</v>
      </c>
      <c r="J173" s="583"/>
      <c r="K173" s="583"/>
      <c r="L173" s="584"/>
      <c r="M173" s="582">
        <v>40000</v>
      </c>
      <c r="N173" s="583"/>
      <c r="O173" s="583"/>
      <c r="P173" s="584"/>
      <c r="Q173" s="582"/>
      <c r="R173" s="585"/>
      <c r="S173" s="586"/>
    </row>
    <row r="174" spans="1:19">
      <c r="A174" s="1735"/>
      <c r="B174" s="1738"/>
      <c r="C174" s="1741"/>
      <c r="D174" s="573" t="s">
        <v>882</v>
      </c>
      <c r="E174" s="574">
        <v>39167</v>
      </c>
      <c r="F174" s="574">
        <f t="shared" si="1"/>
        <v>57664</v>
      </c>
      <c r="G174" s="575">
        <v>854</v>
      </c>
      <c r="H174" s="576">
        <v>167</v>
      </c>
      <c r="I174" s="576">
        <v>1643</v>
      </c>
      <c r="J174" s="576"/>
      <c r="K174" s="576"/>
      <c r="L174" s="577"/>
      <c r="M174" s="575">
        <v>55000</v>
      </c>
      <c r="N174" s="576"/>
      <c r="O174" s="576"/>
      <c r="P174" s="577"/>
      <c r="Q174" s="575"/>
      <c r="R174" s="578"/>
      <c r="S174" s="579"/>
    </row>
    <row r="175" spans="1:19" ht="15.75" thickBot="1">
      <c r="A175" s="1736"/>
      <c r="B175" s="1739"/>
      <c r="C175" s="1742"/>
      <c r="D175" s="1523" t="s">
        <v>981</v>
      </c>
      <c r="E175" s="587">
        <v>40865</v>
      </c>
      <c r="F175" s="587">
        <f t="shared" ref="F175" si="55">SUM(G175:S175)</f>
        <v>87725</v>
      </c>
      <c r="G175" s="588">
        <v>854</v>
      </c>
      <c r="H175" s="589">
        <v>167</v>
      </c>
      <c r="I175" s="589">
        <v>1643</v>
      </c>
      <c r="J175" s="589">
        <v>0</v>
      </c>
      <c r="K175" s="589">
        <v>0</v>
      </c>
      <c r="L175" s="590">
        <v>0</v>
      </c>
      <c r="M175" s="588">
        <v>85061</v>
      </c>
      <c r="N175" s="589">
        <v>0</v>
      </c>
      <c r="O175" s="589">
        <v>0</v>
      </c>
      <c r="P175" s="590">
        <v>0</v>
      </c>
      <c r="Q175" s="588">
        <v>0</v>
      </c>
      <c r="R175" s="591">
        <v>0</v>
      </c>
      <c r="S175" s="592">
        <v>0</v>
      </c>
    </row>
    <row r="176" spans="1:19">
      <c r="A176" s="1743" t="s">
        <v>449</v>
      </c>
      <c r="B176" s="1746" t="s">
        <v>550</v>
      </c>
      <c r="C176" s="1749" t="s">
        <v>541</v>
      </c>
      <c r="D176" s="531" t="s">
        <v>3</v>
      </c>
      <c r="E176" s="532">
        <v>12066</v>
      </c>
      <c r="F176" s="532">
        <f t="shared" si="1"/>
        <v>37520</v>
      </c>
      <c r="G176" s="533">
        <v>8505</v>
      </c>
      <c r="H176" s="534">
        <v>1658</v>
      </c>
      <c r="I176" s="534">
        <v>27357</v>
      </c>
      <c r="J176" s="534"/>
      <c r="K176" s="534"/>
      <c r="L176" s="536"/>
      <c r="M176" s="533"/>
      <c r="N176" s="534"/>
      <c r="O176" s="534"/>
      <c r="P176" s="536"/>
      <c r="Q176" s="533"/>
      <c r="R176" s="543"/>
      <c r="S176" s="568"/>
    </row>
    <row r="177" spans="1:19">
      <c r="A177" s="1744"/>
      <c r="B177" s="1747"/>
      <c r="C177" s="1750"/>
      <c r="D177" s="272" t="s">
        <v>883</v>
      </c>
      <c r="E177" s="507">
        <v>12066</v>
      </c>
      <c r="F177" s="507">
        <f t="shared" si="1"/>
        <v>37520</v>
      </c>
      <c r="G177" s="515">
        <v>8505</v>
      </c>
      <c r="H177" s="501">
        <v>1658</v>
      </c>
      <c r="I177" s="501">
        <v>27357</v>
      </c>
      <c r="J177" s="501"/>
      <c r="K177" s="501"/>
      <c r="L177" s="516"/>
      <c r="M177" s="515"/>
      <c r="N177" s="501"/>
      <c r="O177" s="501"/>
      <c r="P177" s="516"/>
      <c r="Q177" s="515"/>
      <c r="R177" s="523"/>
      <c r="S177" s="520"/>
    </row>
    <row r="178" spans="1:19" ht="15.75" thickBot="1">
      <c r="A178" s="1745"/>
      <c r="B178" s="1748"/>
      <c r="C178" s="1751"/>
      <c r="D178" s="1523" t="s">
        <v>981</v>
      </c>
      <c r="E178" s="181">
        <v>12066</v>
      </c>
      <c r="F178" s="181">
        <f t="shared" ref="F178" si="56">SUM(G178:S178)</f>
        <v>34980</v>
      </c>
      <c r="G178" s="517">
        <v>7656</v>
      </c>
      <c r="H178" s="179">
        <v>1493</v>
      </c>
      <c r="I178" s="179">
        <v>25831</v>
      </c>
      <c r="J178" s="179">
        <v>0</v>
      </c>
      <c r="K178" s="179">
        <v>0</v>
      </c>
      <c r="L178" s="519">
        <v>0</v>
      </c>
      <c r="M178" s="517">
        <v>0</v>
      </c>
      <c r="N178" s="179">
        <v>0</v>
      </c>
      <c r="O178" s="179">
        <v>0</v>
      </c>
      <c r="P178" s="519">
        <v>0</v>
      </c>
      <c r="Q178" s="517">
        <v>0</v>
      </c>
      <c r="R178" s="180">
        <v>0</v>
      </c>
      <c r="S178" s="569">
        <v>0</v>
      </c>
    </row>
    <row r="179" spans="1:19">
      <c r="A179" s="1752"/>
      <c r="B179" s="1755"/>
      <c r="C179" s="1758" t="s">
        <v>65</v>
      </c>
      <c r="D179" s="593" t="s">
        <v>3</v>
      </c>
      <c r="E179" s="532">
        <f t="shared" ref="E179:S179" si="57">E5+E8+E11+E14+E17+E20+E23+E26+E29+E32+E35+E38+E41+E44+E47+E50+E53+E56+E59+E62+E65+E68+E71+E74+E77+E80+E83+E86+E89+E92+E95+E98+E101+E104+E107+E110+E113+E116+E119+E122+E125+E128+E131+E134+E137+E140+E143+E146++E149+E152+E155+E158+E161+E164+E167+E170+E173+E176</f>
        <v>10495660</v>
      </c>
      <c r="F179" s="532">
        <f t="shared" si="57"/>
        <v>10495660</v>
      </c>
      <c r="G179" s="596">
        <f t="shared" si="57"/>
        <v>268614</v>
      </c>
      <c r="H179" s="551">
        <f t="shared" si="57"/>
        <v>54810</v>
      </c>
      <c r="I179" s="551">
        <f t="shared" si="57"/>
        <v>1449590</v>
      </c>
      <c r="J179" s="551">
        <f t="shared" si="57"/>
        <v>1125261</v>
      </c>
      <c r="K179" s="551">
        <f t="shared" si="57"/>
        <v>64850</v>
      </c>
      <c r="L179" s="597">
        <f t="shared" si="57"/>
        <v>174000</v>
      </c>
      <c r="M179" s="596">
        <f t="shared" si="57"/>
        <v>3195554</v>
      </c>
      <c r="N179" s="551">
        <f t="shared" si="57"/>
        <v>592078</v>
      </c>
      <c r="O179" s="551">
        <f t="shared" si="57"/>
        <v>5300</v>
      </c>
      <c r="P179" s="597">
        <f t="shared" si="57"/>
        <v>60000</v>
      </c>
      <c r="Q179" s="596">
        <f t="shared" si="57"/>
        <v>1191066</v>
      </c>
      <c r="R179" s="597">
        <f t="shared" si="57"/>
        <v>2314537</v>
      </c>
      <c r="S179" s="556">
        <f t="shared" si="57"/>
        <v>0</v>
      </c>
    </row>
    <row r="180" spans="1:19">
      <c r="A180" s="1753"/>
      <c r="B180" s="1756"/>
      <c r="C180" s="1758"/>
      <c r="D180" s="559" t="s">
        <v>882</v>
      </c>
      <c r="E180" s="507">
        <f t="shared" ref="E180:S180" si="58">E6+E9+E12+E15+E18+E21+E24+E27+E30+E33+E36+E39+E42+E45+E48+E51+E54+E57+E60+E63+E66+E69+E72+E75+E78+E81+E84+E87+E90+E93+E96+E99+E102+E105+E108+E111+E114+E117+E120+E123+E126+E129+E132+E135+E138+E141+E144+E147++E150+E153+E156+E159+E162+E165+E168+E171+E174+E177</f>
        <v>10954010</v>
      </c>
      <c r="F180" s="507">
        <f t="shared" si="58"/>
        <v>10954010</v>
      </c>
      <c r="G180" s="560">
        <f t="shared" si="58"/>
        <v>269821</v>
      </c>
      <c r="H180" s="499">
        <f t="shared" si="58"/>
        <v>55302</v>
      </c>
      <c r="I180" s="499">
        <f t="shared" si="58"/>
        <v>1460583</v>
      </c>
      <c r="J180" s="499">
        <f t="shared" si="58"/>
        <v>1215099</v>
      </c>
      <c r="K180" s="499">
        <f t="shared" si="58"/>
        <v>64550</v>
      </c>
      <c r="L180" s="561">
        <f t="shared" si="58"/>
        <v>188335</v>
      </c>
      <c r="M180" s="560">
        <f t="shared" si="58"/>
        <v>3514230</v>
      </c>
      <c r="N180" s="499">
        <f t="shared" si="58"/>
        <v>649633</v>
      </c>
      <c r="O180" s="499">
        <f t="shared" si="58"/>
        <v>5300</v>
      </c>
      <c r="P180" s="561">
        <f t="shared" si="58"/>
        <v>60000</v>
      </c>
      <c r="Q180" s="560">
        <f t="shared" si="58"/>
        <v>1195066</v>
      </c>
      <c r="R180" s="561">
        <f t="shared" si="58"/>
        <v>2276091</v>
      </c>
      <c r="S180" s="554">
        <f t="shared" si="58"/>
        <v>0</v>
      </c>
    </row>
    <row r="181" spans="1:19" ht="15.75" thickBot="1">
      <c r="A181" s="1766"/>
      <c r="B181" s="1765"/>
      <c r="C181" s="1758"/>
      <c r="D181" s="1527" t="s">
        <v>981</v>
      </c>
      <c r="E181" s="524">
        <f t="shared" ref="E181:S181" si="59">E7+E10+E13+E16+E19+E22+E25+E28+E31+E34+E37+E40+E43+E46+E49+E52+E55+E58+E61+E64+E67+E70+E73+E76+E79+E82+E85+E88+E91+E94+E97+E100+E103+E106+E109+E112+E115+E118+E121+E124+E127+E130+E133+E136+E139+E142+E145+E148++E151+E154+E157+E160+E163+E166+E169+E172+E175+E178</f>
        <v>10866615</v>
      </c>
      <c r="F181" s="524">
        <f t="shared" si="59"/>
        <v>10866615</v>
      </c>
      <c r="G181" s="598">
        <f t="shared" si="59"/>
        <v>257427</v>
      </c>
      <c r="H181" s="599">
        <f t="shared" si="59"/>
        <v>55338</v>
      </c>
      <c r="I181" s="599">
        <f t="shared" si="59"/>
        <v>1458973</v>
      </c>
      <c r="J181" s="599">
        <f t="shared" si="59"/>
        <v>1284437</v>
      </c>
      <c r="K181" s="599">
        <f t="shared" si="59"/>
        <v>65113</v>
      </c>
      <c r="L181" s="600">
        <f t="shared" si="59"/>
        <v>194846</v>
      </c>
      <c r="M181" s="598">
        <f t="shared" si="59"/>
        <v>3396248</v>
      </c>
      <c r="N181" s="599">
        <f t="shared" si="59"/>
        <v>649258</v>
      </c>
      <c r="O181" s="599">
        <f t="shared" si="59"/>
        <v>7242</v>
      </c>
      <c r="P181" s="600">
        <f t="shared" si="59"/>
        <v>10000</v>
      </c>
      <c r="Q181" s="598">
        <f t="shared" si="59"/>
        <v>1200266</v>
      </c>
      <c r="R181" s="600">
        <f t="shared" si="59"/>
        <v>2287467</v>
      </c>
      <c r="S181" s="555">
        <f t="shared" si="59"/>
        <v>0</v>
      </c>
    </row>
    <row r="182" spans="1:19">
      <c r="A182" s="1743"/>
      <c r="B182" s="1759"/>
      <c r="C182" s="1762" t="s">
        <v>123</v>
      </c>
      <c r="D182" s="1528" t="s">
        <v>3</v>
      </c>
      <c r="E182" s="1526">
        <f t="shared" ref="E182:S182" si="60">E14+E17+E20+E23+E26+E29+E32+E35+E38+E41+E44+E47+E50+E53+E56+E59+E65+E68+E71</f>
        <v>4354811</v>
      </c>
      <c r="F182" s="532">
        <f t="shared" si="60"/>
        <v>2559449</v>
      </c>
      <c r="G182" s="596">
        <f t="shared" si="60"/>
        <v>66481</v>
      </c>
      <c r="H182" s="551">
        <f t="shared" si="60"/>
        <v>6940</v>
      </c>
      <c r="I182" s="551">
        <f t="shared" si="60"/>
        <v>719342</v>
      </c>
      <c r="J182" s="551">
        <f t="shared" si="60"/>
        <v>915431</v>
      </c>
      <c r="K182" s="551">
        <f t="shared" si="60"/>
        <v>64850</v>
      </c>
      <c r="L182" s="597">
        <f t="shared" si="60"/>
        <v>0</v>
      </c>
      <c r="M182" s="596">
        <f t="shared" si="60"/>
        <v>332736</v>
      </c>
      <c r="N182" s="551">
        <f t="shared" si="60"/>
        <v>448669</v>
      </c>
      <c r="O182" s="551">
        <f t="shared" si="60"/>
        <v>5000</v>
      </c>
      <c r="P182" s="597">
        <f t="shared" si="60"/>
        <v>0</v>
      </c>
      <c r="Q182" s="596">
        <f t="shared" si="60"/>
        <v>0</v>
      </c>
      <c r="R182" s="597">
        <f t="shared" si="60"/>
        <v>0</v>
      </c>
      <c r="S182" s="556">
        <f t="shared" si="60"/>
        <v>0</v>
      </c>
    </row>
    <row r="183" spans="1:19">
      <c r="A183" s="1744"/>
      <c r="B183" s="1760"/>
      <c r="C183" s="1763"/>
      <c r="D183" s="559" t="s">
        <v>882</v>
      </c>
      <c r="E183" s="554">
        <f t="shared" ref="E183:S183" si="61">E15+E18+E21+E24+E27+E30+E33+E36+E39+E42+E45+E48+E51+E54+E57+E60+E66+E69+E72</f>
        <v>4415930</v>
      </c>
      <c r="F183" s="507">
        <f t="shared" si="61"/>
        <v>2893185</v>
      </c>
      <c r="G183" s="560">
        <f t="shared" si="61"/>
        <v>66481</v>
      </c>
      <c r="H183" s="499">
        <f t="shared" si="61"/>
        <v>6940</v>
      </c>
      <c r="I183" s="499">
        <f t="shared" si="61"/>
        <v>716394</v>
      </c>
      <c r="J183" s="499">
        <f t="shared" si="61"/>
        <v>1004064</v>
      </c>
      <c r="K183" s="499">
        <f t="shared" si="61"/>
        <v>64400</v>
      </c>
      <c r="L183" s="561">
        <f t="shared" si="61"/>
        <v>0</v>
      </c>
      <c r="M183" s="560">
        <f t="shared" si="61"/>
        <v>523682</v>
      </c>
      <c r="N183" s="499">
        <f t="shared" si="61"/>
        <v>506224</v>
      </c>
      <c r="O183" s="499">
        <f t="shared" si="61"/>
        <v>5000</v>
      </c>
      <c r="P183" s="561">
        <f t="shared" si="61"/>
        <v>0</v>
      </c>
      <c r="Q183" s="560">
        <f t="shared" si="61"/>
        <v>0</v>
      </c>
      <c r="R183" s="561">
        <f t="shared" si="61"/>
        <v>0</v>
      </c>
      <c r="S183" s="554">
        <f t="shared" si="61"/>
        <v>0</v>
      </c>
    </row>
    <row r="184" spans="1:19" ht="15.75" thickBot="1">
      <c r="A184" s="1745"/>
      <c r="B184" s="1761"/>
      <c r="C184" s="1764"/>
      <c r="D184" s="1525" t="s">
        <v>981</v>
      </c>
      <c r="E184" s="557">
        <f t="shared" ref="E184:S184" si="62">E16+E19+E22+E25+E28+E31+E34+E37+E40+E43+E46+E49+E52+E55+E58+E61+E67+E70+E73</f>
        <v>4418295</v>
      </c>
      <c r="F184" s="181">
        <f t="shared" si="62"/>
        <v>2855998</v>
      </c>
      <c r="G184" s="562">
        <f t="shared" si="62"/>
        <v>66499</v>
      </c>
      <c r="H184" s="552">
        <f t="shared" si="62"/>
        <v>6948</v>
      </c>
      <c r="I184" s="552">
        <f t="shared" si="62"/>
        <v>707248</v>
      </c>
      <c r="J184" s="552">
        <f t="shared" si="62"/>
        <v>1064542</v>
      </c>
      <c r="K184" s="552">
        <f t="shared" si="62"/>
        <v>64963</v>
      </c>
      <c r="L184" s="563">
        <f t="shared" si="62"/>
        <v>0</v>
      </c>
      <c r="M184" s="562">
        <f t="shared" si="62"/>
        <v>434601</v>
      </c>
      <c r="N184" s="552">
        <f t="shared" si="62"/>
        <v>506197</v>
      </c>
      <c r="O184" s="552">
        <f t="shared" si="62"/>
        <v>5000</v>
      </c>
      <c r="P184" s="563">
        <f t="shared" si="62"/>
        <v>0</v>
      </c>
      <c r="Q184" s="562">
        <f t="shared" si="62"/>
        <v>0</v>
      </c>
      <c r="R184" s="563">
        <f t="shared" si="62"/>
        <v>0</v>
      </c>
      <c r="S184" s="557">
        <f t="shared" si="62"/>
        <v>0</v>
      </c>
    </row>
    <row r="185" spans="1:19">
      <c r="A185" s="1752"/>
      <c r="B185" s="1755"/>
      <c r="C185" s="1758" t="s">
        <v>597</v>
      </c>
      <c r="D185" s="593" t="s">
        <v>3</v>
      </c>
      <c r="E185" s="532">
        <f t="shared" ref="E185:S185" si="63">E62+E74+E77+E80+E83+E86+E89+E92+E95+E98+E101+E104+E107+E110+E113+E116+E119+E122+E125+E128+E131+E134+E137+E140+E143+E146+E149+E152+E155+E158+E161+E164+E167+E170+E173+E176</f>
        <v>1033578</v>
      </c>
      <c r="F185" s="532">
        <f t="shared" si="63"/>
        <v>3677902</v>
      </c>
      <c r="G185" s="596">
        <f t="shared" si="63"/>
        <v>129103</v>
      </c>
      <c r="H185" s="551">
        <f t="shared" si="63"/>
        <v>31840</v>
      </c>
      <c r="I185" s="551">
        <f t="shared" si="63"/>
        <v>328237</v>
      </c>
      <c r="J185" s="551">
        <f t="shared" si="63"/>
        <v>191830</v>
      </c>
      <c r="K185" s="551">
        <f t="shared" si="63"/>
        <v>0</v>
      </c>
      <c r="L185" s="597">
        <f t="shared" si="63"/>
        <v>15000</v>
      </c>
      <c r="M185" s="596">
        <f t="shared" si="63"/>
        <v>2844683</v>
      </c>
      <c r="N185" s="551">
        <f t="shared" si="63"/>
        <v>136909</v>
      </c>
      <c r="O185" s="551">
        <f t="shared" si="63"/>
        <v>300</v>
      </c>
      <c r="P185" s="597">
        <f t="shared" si="63"/>
        <v>0</v>
      </c>
      <c r="Q185" s="596">
        <f t="shared" si="63"/>
        <v>0</v>
      </c>
      <c r="R185" s="597">
        <f t="shared" si="63"/>
        <v>0</v>
      </c>
      <c r="S185" s="556">
        <f t="shared" si="63"/>
        <v>0</v>
      </c>
    </row>
    <row r="186" spans="1:19">
      <c r="A186" s="1753"/>
      <c r="B186" s="1756"/>
      <c r="C186" s="1758"/>
      <c r="D186" s="559" t="s">
        <v>882</v>
      </c>
      <c r="E186" s="507">
        <f t="shared" ref="E186:S186" si="64">E63+E75+E78+E81+E84+E87+E90+E93+E96+E99+E102+E105+E108+E111+E114+E117+E120+E123+E126+E129+E132+E135+E138+E141+E144+E147+E150+E153+E156+E159+E162+E165+E168+E171+E174+E177</f>
        <v>1033578</v>
      </c>
      <c r="F186" s="507">
        <f t="shared" si="64"/>
        <v>3787039</v>
      </c>
      <c r="G186" s="560">
        <f t="shared" si="64"/>
        <v>130310</v>
      </c>
      <c r="H186" s="499">
        <f t="shared" si="64"/>
        <v>32332</v>
      </c>
      <c r="I186" s="499">
        <f t="shared" si="64"/>
        <v>309027</v>
      </c>
      <c r="J186" s="499">
        <f t="shared" si="64"/>
        <v>193035</v>
      </c>
      <c r="K186" s="499">
        <f t="shared" si="64"/>
        <v>150</v>
      </c>
      <c r="L186" s="561">
        <f t="shared" si="64"/>
        <v>10713</v>
      </c>
      <c r="M186" s="560">
        <f t="shared" si="64"/>
        <v>2974263</v>
      </c>
      <c r="N186" s="499">
        <f t="shared" si="64"/>
        <v>136909</v>
      </c>
      <c r="O186" s="499">
        <f t="shared" si="64"/>
        <v>300</v>
      </c>
      <c r="P186" s="561">
        <f t="shared" si="64"/>
        <v>0</v>
      </c>
      <c r="Q186" s="560">
        <f t="shared" si="64"/>
        <v>0</v>
      </c>
      <c r="R186" s="561">
        <f t="shared" si="64"/>
        <v>0</v>
      </c>
      <c r="S186" s="554">
        <f t="shared" si="64"/>
        <v>0</v>
      </c>
    </row>
    <row r="187" spans="1:19" ht="15.75" thickBot="1">
      <c r="A187" s="1754"/>
      <c r="B187" s="1757"/>
      <c r="C187" s="1758"/>
      <c r="D187" s="1530" t="s">
        <v>981</v>
      </c>
      <c r="E187" s="181">
        <f t="shared" ref="E187:S187" si="65">E64+E76+E79+E82+E85+E88+E91+E94+E97+E100+E103+E106+E109+E112+E115+E118+E121+E124+E127+E130+E133+E136+E139+E142+E145+E148+E151+E154+E157+E160+E163+E166+E169+E172+E175+E178</f>
        <v>806452</v>
      </c>
      <c r="F187" s="181">
        <f t="shared" si="65"/>
        <v>3816770</v>
      </c>
      <c r="G187" s="562">
        <f t="shared" si="65"/>
        <v>117898</v>
      </c>
      <c r="H187" s="552">
        <f t="shared" si="65"/>
        <v>32360</v>
      </c>
      <c r="I187" s="552">
        <f t="shared" si="65"/>
        <v>365346</v>
      </c>
      <c r="J187" s="552">
        <f t="shared" si="65"/>
        <v>201895</v>
      </c>
      <c r="K187" s="552">
        <f t="shared" si="65"/>
        <v>150</v>
      </c>
      <c r="L187" s="563">
        <f t="shared" si="65"/>
        <v>14998</v>
      </c>
      <c r="M187" s="562">
        <f t="shared" si="65"/>
        <v>2945320</v>
      </c>
      <c r="N187" s="552">
        <f t="shared" si="65"/>
        <v>136561</v>
      </c>
      <c r="O187" s="552">
        <f t="shared" si="65"/>
        <v>2242</v>
      </c>
      <c r="P187" s="563">
        <f t="shared" si="65"/>
        <v>0</v>
      </c>
      <c r="Q187" s="562">
        <f t="shared" si="65"/>
        <v>0</v>
      </c>
      <c r="R187" s="563">
        <f t="shared" si="65"/>
        <v>0</v>
      </c>
      <c r="S187" s="557">
        <f t="shared" si="65"/>
        <v>0</v>
      </c>
    </row>
    <row r="188" spans="1:19">
      <c r="A188" s="1743"/>
      <c r="B188" s="1759"/>
      <c r="C188" s="1762" t="s">
        <v>124</v>
      </c>
      <c r="D188" s="1528" t="s">
        <v>3</v>
      </c>
      <c r="E188" s="553">
        <f>E5+E8+E11</f>
        <v>5107271</v>
      </c>
      <c r="F188" s="176">
        <f t="shared" ref="F188:S188" si="66">F5+F8+F11</f>
        <v>4258309</v>
      </c>
      <c r="G188" s="594">
        <f t="shared" si="66"/>
        <v>73030</v>
      </c>
      <c r="H188" s="502">
        <f t="shared" si="66"/>
        <v>16030</v>
      </c>
      <c r="I188" s="502">
        <f t="shared" si="66"/>
        <v>402011</v>
      </c>
      <c r="J188" s="502">
        <f t="shared" si="66"/>
        <v>18000</v>
      </c>
      <c r="K188" s="502">
        <f t="shared" si="66"/>
        <v>0</v>
      </c>
      <c r="L188" s="595">
        <f t="shared" si="66"/>
        <v>159000</v>
      </c>
      <c r="M188" s="594">
        <f t="shared" si="66"/>
        <v>18135</v>
      </c>
      <c r="N188" s="502">
        <f t="shared" si="66"/>
        <v>6500</v>
      </c>
      <c r="O188" s="502">
        <f t="shared" si="66"/>
        <v>0</v>
      </c>
      <c r="P188" s="595">
        <f t="shared" si="66"/>
        <v>60000</v>
      </c>
      <c r="Q188" s="594">
        <f t="shared" si="66"/>
        <v>1191066</v>
      </c>
      <c r="R188" s="595">
        <f t="shared" si="66"/>
        <v>2314537</v>
      </c>
      <c r="S188" s="553">
        <f t="shared" si="66"/>
        <v>0</v>
      </c>
    </row>
    <row r="189" spans="1:19">
      <c r="A189" s="1744"/>
      <c r="B189" s="1760"/>
      <c r="C189" s="1763"/>
      <c r="D189" s="559" t="s">
        <v>882</v>
      </c>
      <c r="E189" s="1529">
        <f t="shared" ref="E189:S190" si="67">E6+E9+E12</f>
        <v>5504502</v>
      </c>
      <c r="F189" s="507">
        <f t="shared" si="67"/>
        <v>4273786</v>
      </c>
      <c r="G189" s="560">
        <f t="shared" si="67"/>
        <v>73030</v>
      </c>
      <c r="H189" s="499">
        <f t="shared" si="67"/>
        <v>16030</v>
      </c>
      <c r="I189" s="499">
        <f t="shared" si="67"/>
        <v>435162</v>
      </c>
      <c r="J189" s="499">
        <f t="shared" si="67"/>
        <v>18000</v>
      </c>
      <c r="K189" s="499">
        <f t="shared" si="67"/>
        <v>0</v>
      </c>
      <c r="L189" s="561">
        <f t="shared" si="67"/>
        <v>177622</v>
      </c>
      <c r="M189" s="560">
        <f t="shared" si="67"/>
        <v>16285</v>
      </c>
      <c r="N189" s="499">
        <f t="shared" si="67"/>
        <v>6500</v>
      </c>
      <c r="O189" s="499">
        <f t="shared" si="67"/>
        <v>0</v>
      </c>
      <c r="P189" s="561">
        <f t="shared" si="67"/>
        <v>60000</v>
      </c>
      <c r="Q189" s="560">
        <f t="shared" si="67"/>
        <v>1195066</v>
      </c>
      <c r="R189" s="561">
        <f t="shared" si="67"/>
        <v>2276091</v>
      </c>
      <c r="S189" s="554">
        <f t="shared" si="67"/>
        <v>0</v>
      </c>
    </row>
    <row r="190" spans="1:19" ht="15.75" thickBot="1">
      <c r="A190" s="1745"/>
      <c r="B190" s="1761"/>
      <c r="C190" s="1764"/>
      <c r="D190" s="1525" t="s">
        <v>981</v>
      </c>
      <c r="E190" s="557">
        <f t="shared" si="67"/>
        <v>5641868</v>
      </c>
      <c r="F190" s="181">
        <f t="shared" si="67"/>
        <v>4193847</v>
      </c>
      <c r="G190" s="562">
        <f t="shared" si="67"/>
        <v>73030</v>
      </c>
      <c r="H190" s="552">
        <f t="shared" si="67"/>
        <v>16030</v>
      </c>
      <c r="I190" s="552">
        <f t="shared" si="67"/>
        <v>386379</v>
      </c>
      <c r="J190" s="552">
        <f t="shared" si="67"/>
        <v>18000</v>
      </c>
      <c r="K190" s="552">
        <f t="shared" si="67"/>
        <v>0</v>
      </c>
      <c r="L190" s="563">
        <f t="shared" si="67"/>
        <v>179848</v>
      </c>
      <c r="M190" s="562">
        <f t="shared" si="67"/>
        <v>16327</v>
      </c>
      <c r="N190" s="552">
        <f t="shared" si="67"/>
        <v>6500</v>
      </c>
      <c r="O190" s="552">
        <f t="shared" si="67"/>
        <v>0</v>
      </c>
      <c r="P190" s="563">
        <f t="shared" si="67"/>
        <v>10000</v>
      </c>
      <c r="Q190" s="562">
        <f t="shared" si="67"/>
        <v>1200266</v>
      </c>
      <c r="R190" s="563">
        <f t="shared" si="67"/>
        <v>2287467</v>
      </c>
      <c r="S190" s="557">
        <f t="shared" si="67"/>
        <v>0</v>
      </c>
    </row>
    <row r="191" spans="1:19">
      <c r="A191" s="558"/>
      <c r="E191" s="104"/>
    </row>
    <row r="192" spans="1:19">
      <c r="A192" s="208"/>
    </row>
    <row r="193" spans="1:19">
      <c r="A193" s="208"/>
      <c r="E193" s="104"/>
      <c r="F193" s="104"/>
      <c r="G193" s="104"/>
      <c r="H193" s="104"/>
      <c r="I193" s="104"/>
      <c r="J193" s="104"/>
      <c r="K193" s="104"/>
      <c r="L193" s="104"/>
      <c r="M193" s="104"/>
      <c r="N193" s="104"/>
      <c r="O193" s="104"/>
      <c r="P193" s="104"/>
      <c r="Q193" s="104"/>
      <c r="R193" s="104"/>
      <c r="S193" s="104"/>
    </row>
  </sheetData>
  <sortState ref="A7:C79">
    <sortCondition ref="B7:B79"/>
  </sortState>
  <mergeCells count="195">
    <mergeCell ref="C5:C7"/>
    <mergeCell ref="B5:B7"/>
    <mergeCell ref="A5:A7"/>
    <mergeCell ref="A8:A10"/>
    <mergeCell ref="B8:B10"/>
    <mergeCell ref="C8:C10"/>
    <mergeCell ref="A1:S1"/>
    <mergeCell ref="A2:S2"/>
    <mergeCell ref="A3:D4"/>
    <mergeCell ref="E3:E4"/>
    <mergeCell ref="F3:F4"/>
    <mergeCell ref="G3:L3"/>
    <mergeCell ref="M3:P3"/>
    <mergeCell ref="Q3:R3"/>
    <mergeCell ref="S3:S4"/>
    <mergeCell ref="A17:A19"/>
    <mergeCell ref="B17:B19"/>
    <mergeCell ref="C17:C19"/>
    <mergeCell ref="A20:A22"/>
    <mergeCell ref="B20:B22"/>
    <mergeCell ref="C20:C22"/>
    <mergeCell ref="A11:A13"/>
    <mergeCell ref="B11:B13"/>
    <mergeCell ref="C11:C13"/>
    <mergeCell ref="A14:A16"/>
    <mergeCell ref="B14:B16"/>
    <mergeCell ref="C14:C16"/>
    <mergeCell ref="A29:A31"/>
    <mergeCell ref="B29:B31"/>
    <mergeCell ref="C29:C31"/>
    <mergeCell ref="A32:A34"/>
    <mergeCell ref="B32:B34"/>
    <mergeCell ref="C32:C34"/>
    <mergeCell ref="A23:A25"/>
    <mergeCell ref="B23:B25"/>
    <mergeCell ref="C23:C25"/>
    <mergeCell ref="A26:A28"/>
    <mergeCell ref="B26:B28"/>
    <mergeCell ref="C26:C28"/>
    <mergeCell ref="A41:A43"/>
    <mergeCell ref="B41:B43"/>
    <mergeCell ref="C41:C43"/>
    <mergeCell ref="A44:A46"/>
    <mergeCell ref="B44:B46"/>
    <mergeCell ref="C44:C46"/>
    <mergeCell ref="A35:A37"/>
    <mergeCell ref="B35:B37"/>
    <mergeCell ref="C35:C37"/>
    <mergeCell ref="A38:A40"/>
    <mergeCell ref="B38:B40"/>
    <mergeCell ref="C38:C40"/>
    <mergeCell ref="A53:A55"/>
    <mergeCell ref="B53:B55"/>
    <mergeCell ref="C53:C55"/>
    <mergeCell ref="A56:A58"/>
    <mergeCell ref="B56:B58"/>
    <mergeCell ref="C56:C58"/>
    <mergeCell ref="A47:A49"/>
    <mergeCell ref="B47:B49"/>
    <mergeCell ref="C47:C49"/>
    <mergeCell ref="A50:A52"/>
    <mergeCell ref="B50:B52"/>
    <mergeCell ref="C50:C52"/>
    <mergeCell ref="A65:A67"/>
    <mergeCell ref="B65:B67"/>
    <mergeCell ref="C65:C67"/>
    <mergeCell ref="A68:A70"/>
    <mergeCell ref="B68:B70"/>
    <mergeCell ref="C68:C70"/>
    <mergeCell ref="A59:A61"/>
    <mergeCell ref="B59:B61"/>
    <mergeCell ref="C59:C61"/>
    <mergeCell ref="A62:A64"/>
    <mergeCell ref="B62:B64"/>
    <mergeCell ref="C62:C64"/>
    <mergeCell ref="B77:B79"/>
    <mergeCell ref="C77:C79"/>
    <mergeCell ref="A77:A79"/>
    <mergeCell ref="A80:A82"/>
    <mergeCell ref="B80:B82"/>
    <mergeCell ref="C80:C82"/>
    <mergeCell ref="A71:A73"/>
    <mergeCell ref="B71:B73"/>
    <mergeCell ref="C71:C73"/>
    <mergeCell ref="A74:A76"/>
    <mergeCell ref="B74:B76"/>
    <mergeCell ref="C74:C76"/>
    <mergeCell ref="A89:A91"/>
    <mergeCell ref="B89:B91"/>
    <mergeCell ref="C89:C91"/>
    <mergeCell ref="A92:A94"/>
    <mergeCell ref="B92:B94"/>
    <mergeCell ref="C92:C94"/>
    <mergeCell ref="C83:C85"/>
    <mergeCell ref="B83:B85"/>
    <mergeCell ref="A83:A85"/>
    <mergeCell ref="A86:A88"/>
    <mergeCell ref="B86:B88"/>
    <mergeCell ref="C86:C88"/>
    <mergeCell ref="A101:A103"/>
    <mergeCell ref="B101:B103"/>
    <mergeCell ref="C101:C103"/>
    <mergeCell ref="A104:A106"/>
    <mergeCell ref="B104:B106"/>
    <mergeCell ref="C104:C106"/>
    <mergeCell ref="A95:A97"/>
    <mergeCell ref="B95:B97"/>
    <mergeCell ref="C95:C97"/>
    <mergeCell ref="A98:A100"/>
    <mergeCell ref="B98:B100"/>
    <mergeCell ref="C98:C100"/>
    <mergeCell ref="A119:A121"/>
    <mergeCell ref="B119:B121"/>
    <mergeCell ref="C119:C121"/>
    <mergeCell ref="A122:A124"/>
    <mergeCell ref="B122:B124"/>
    <mergeCell ref="C122:C124"/>
    <mergeCell ref="A107:A109"/>
    <mergeCell ref="C116:C118"/>
    <mergeCell ref="B116:B118"/>
    <mergeCell ref="A116:A118"/>
    <mergeCell ref="C113:C115"/>
    <mergeCell ref="B113:B115"/>
    <mergeCell ref="C107:C109"/>
    <mergeCell ref="B107:B109"/>
    <mergeCell ref="A110:A112"/>
    <mergeCell ref="B110:B112"/>
    <mergeCell ref="C110:C112"/>
    <mergeCell ref="A113:A115"/>
    <mergeCell ref="A131:A133"/>
    <mergeCell ref="B131:B133"/>
    <mergeCell ref="C131:C133"/>
    <mergeCell ref="A134:A136"/>
    <mergeCell ref="B134:B136"/>
    <mergeCell ref="C134:C136"/>
    <mergeCell ref="A125:A127"/>
    <mergeCell ref="B125:B127"/>
    <mergeCell ref="C125:C127"/>
    <mergeCell ref="A128:A130"/>
    <mergeCell ref="B128:B130"/>
    <mergeCell ref="C128:C130"/>
    <mergeCell ref="A143:A145"/>
    <mergeCell ref="B143:B145"/>
    <mergeCell ref="C143:C145"/>
    <mergeCell ref="A146:A148"/>
    <mergeCell ref="B146:B148"/>
    <mergeCell ref="C146:C148"/>
    <mergeCell ref="A137:A139"/>
    <mergeCell ref="B137:B139"/>
    <mergeCell ref="C137:C139"/>
    <mergeCell ref="A140:A142"/>
    <mergeCell ref="B140:B142"/>
    <mergeCell ref="C140:C142"/>
    <mergeCell ref="A155:A157"/>
    <mergeCell ref="B155:B157"/>
    <mergeCell ref="C155:C157"/>
    <mergeCell ref="A158:A160"/>
    <mergeCell ref="B158:B160"/>
    <mergeCell ref="C158:C160"/>
    <mergeCell ref="A149:A151"/>
    <mergeCell ref="B149:B151"/>
    <mergeCell ref="C149:C151"/>
    <mergeCell ref="A152:A154"/>
    <mergeCell ref="B152:B154"/>
    <mergeCell ref="C152:C154"/>
    <mergeCell ref="A167:A169"/>
    <mergeCell ref="B167:B169"/>
    <mergeCell ref="C167:C169"/>
    <mergeCell ref="A170:A172"/>
    <mergeCell ref="B170:B172"/>
    <mergeCell ref="C170:C172"/>
    <mergeCell ref="A161:A163"/>
    <mergeCell ref="B161:B163"/>
    <mergeCell ref="C161:C163"/>
    <mergeCell ref="A164:A166"/>
    <mergeCell ref="B164:B166"/>
    <mergeCell ref="C164:C166"/>
    <mergeCell ref="A188:A190"/>
    <mergeCell ref="B188:B190"/>
    <mergeCell ref="C188:C190"/>
    <mergeCell ref="C179:C181"/>
    <mergeCell ref="C182:C184"/>
    <mergeCell ref="B179:B181"/>
    <mergeCell ref="A179:A181"/>
    <mergeCell ref="A182:A184"/>
    <mergeCell ref="B182:B184"/>
    <mergeCell ref="A173:A175"/>
    <mergeCell ref="B173:B175"/>
    <mergeCell ref="C173:C175"/>
    <mergeCell ref="A176:A178"/>
    <mergeCell ref="B176:B178"/>
    <mergeCell ref="C176:C178"/>
    <mergeCell ref="A185:A187"/>
    <mergeCell ref="B185:B187"/>
    <mergeCell ref="C185:C187"/>
  </mergeCells>
  <printOptions horizontalCentered="1"/>
  <pageMargins left="0.70866141732283472" right="0.70866141732283472" top="0.74803149606299213" bottom="0.74803149606299213" header="0.31496062992125984" footer="0.31496062992125984"/>
  <pageSetup paperSize="9" scale="37" fitToHeight="7" orientation="landscape" r:id="rId1"/>
  <headerFooter>
    <oddHeader>&amp;L&amp;"Times New Roman,Normál"5. melléklet 1, 2, 3</oddHeader>
    <oddFooter>&amp;L1. Mód.: 3/2019 (II.27.) önk. rend. 2.§. Hat.: 2019.03.01. napjától
2. Mód.: 9/2019 (IV.24.) önk. rend. 2.§ Hat.: 2019.04.25. napjától
3. Mód.: 18/2019 (IX.11.) önk. rend. 2.§ Hat.:2019.09.12. napjától</oddFooter>
  </headerFooter>
  <rowBreaks count="1" manualBreakCount="1">
    <brk id="8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view="pageLayout" topLeftCell="B58" zoomScale="60" zoomScaleNormal="100" zoomScaleSheetLayoutView="100" zoomScalePageLayoutView="60" workbookViewId="0">
      <selection sqref="A1:R1"/>
    </sheetView>
  </sheetViews>
  <sheetFormatPr defaultRowHeight="8.25"/>
  <cols>
    <col min="1" max="1" width="11.5703125" style="1659" bestFit="1" customWidth="1"/>
    <col min="2" max="2" width="10.7109375" style="1531" bestFit="1" customWidth="1"/>
    <col min="3" max="3" width="19.85546875" style="1657" customWidth="1"/>
    <col min="4" max="4" width="8" style="1659" bestFit="1" customWidth="1"/>
    <col min="5" max="6" width="7.5703125" style="1531" customWidth="1"/>
    <col min="7" max="11" width="5.7109375" style="1531" customWidth="1"/>
    <col min="12" max="12" width="5.85546875" style="1531" customWidth="1"/>
    <col min="13" max="13" width="6.140625" style="1531" customWidth="1"/>
    <col min="14" max="14" width="5.42578125" style="1531" customWidth="1"/>
    <col min="15" max="16" width="5.85546875" style="1531" customWidth="1"/>
    <col min="17" max="18" width="7.5703125" style="1531" customWidth="1"/>
    <col min="19" max="16384" width="9.140625" style="1531"/>
  </cols>
  <sheetData>
    <row r="1" spans="1:18" ht="15" customHeight="1">
      <c r="A1" s="1852" t="s">
        <v>599</v>
      </c>
      <c r="B1" s="1852"/>
      <c r="C1" s="1852"/>
      <c r="D1" s="1852"/>
      <c r="E1" s="1852"/>
      <c r="F1" s="1852"/>
      <c r="G1" s="1852"/>
      <c r="H1" s="1852"/>
      <c r="I1" s="1852"/>
      <c r="J1" s="1852"/>
      <c r="K1" s="1852"/>
      <c r="L1" s="1852"/>
      <c r="M1" s="1852"/>
      <c r="N1" s="1852"/>
      <c r="O1" s="1852"/>
      <c r="P1" s="1852"/>
      <c r="Q1" s="1852"/>
      <c r="R1" s="1852"/>
    </row>
    <row r="2" spans="1:18" ht="10.5" thickBot="1">
      <c r="A2" s="1532"/>
      <c r="B2" s="1533"/>
      <c r="C2" s="1534"/>
      <c r="D2" s="1660"/>
      <c r="E2" s="1536"/>
      <c r="F2" s="1537"/>
      <c r="G2" s="1537"/>
      <c r="H2" s="1537"/>
      <c r="I2" s="1537"/>
      <c r="J2" s="1537"/>
      <c r="K2" s="1537"/>
      <c r="L2" s="1537"/>
      <c r="M2" s="1535"/>
      <c r="N2" s="1537"/>
      <c r="O2" s="1538"/>
      <c r="P2" s="1538"/>
      <c r="Q2" s="1538"/>
      <c r="R2" s="1538"/>
    </row>
    <row r="3" spans="1:18" ht="10.5" thickTop="1">
      <c r="A3" s="1853" t="s">
        <v>2</v>
      </c>
      <c r="B3" s="1854"/>
      <c r="C3" s="1854"/>
      <c r="D3" s="1855"/>
      <c r="E3" s="1859" t="s">
        <v>101</v>
      </c>
      <c r="F3" s="1861" t="s">
        <v>102</v>
      </c>
      <c r="G3" s="1863" t="s">
        <v>103</v>
      </c>
      <c r="H3" s="1864"/>
      <c r="I3" s="1864"/>
      <c r="J3" s="1864"/>
      <c r="K3" s="1864"/>
      <c r="L3" s="1865"/>
      <c r="M3" s="1863" t="s">
        <v>104</v>
      </c>
      <c r="N3" s="1864"/>
      <c r="O3" s="1864"/>
      <c r="P3" s="1865"/>
      <c r="Q3" s="1863" t="s">
        <v>59</v>
      </c>
      <c r="R3" s="1865"/>
    </row>
    <row r="4" spans="1:18" ht="39.75" thickBot="1">
      <c r="A4" s="1856"/>
      <c r="B4" s="1857"/>
      <c r="C4" s="1857"/>
      <c r="D4" s="1858"/>
      <c r="E4" s="1860"/>
      <c r="F4" s="1862"/>
      <c r="G4" s="1539" t="s">
        <v>405</v>
      </c>
      <c r="H4" s="1540" t="s">
        <v>1048</v>
      </c>
      <c r="I4" s="1540" t="s">
        <v>115</v>
      </c>
      <c r="J4" s="1540" t="s">
        <v>116</v>
      </c>
      <c r="K4" s="1540" t="s">
        <v>117</v>
      </c>
      <c r="L4" s="1541" t="s">
        <v>23</v>
      </c>
      <c r="M4" s="1542" t="s">
        <v>60</v>
      </c>
      <c r="N4" s="1543" t="s">
        <v>61</v>
      </c>
      <c r="O4" s="1540" t="s">
        <v>118</v>
      </c>
      <c r="P4" s="1544" t="s">
        <v>119</v>
      </c>
      <c r="Q4" s="1545" t="s">
        <v>120</v>
      </c>
      <c r="R4" s="1541" t="s">
        <v>121</v>
      </c>
    </row>
    <row r="5" spans="1:18" ht="25.5" customHeight="1" thickBot="1">
      <c r="A5" s="1810" t="s">
        <v>125</v>
      </c>
      <c r="B5" s="1811"/>
      <c r="C5" s="1811"/>
      <c r="D5" s="1811"/>
      <c r="E5" s="1811"/>
      <c r="F5" s="1811"/>
      <c r="G5" s="1811"/>
      <c r="H5" s="1811"/>
      <c r="I5" s="1811"/>
      <c r="J5" s="1811"/>
      <c r="K5" s="1811"/>
      <c r="L5" s="1811"/>
      <c r="M5" s="1811"/>
      <c r="N5" s="1811"/>
      <c r="O5" s="1811"/>
      <c r="P5" s="1811"/>
      <c r="Q5" s="1811"/>
      <c r="R5" s="1833"/>
    </row>
    <row r="6" spans="1:18" ht="9.75">
      <c r="A6" s="1866" t="s">
        <v>106</v>
      </c>
      <c r="B6" s="1546" t="s">
        <v>435</v>
      </c>
      <c r="C6" s="1867" t="s">
        <v>451</v>
      </c>
      <c r="D6" s="1661" t="s">
        <v>3</v>
      </c>
      <c r="E6" s="1547">
        <v>921773</v>
      </c>
      <c r="F6" s="1548">
        <f>SUM(G6:R6)</f>
        <v>554616</v>
      </c>
      <c r="G6" s="1549">
        <f>335034+14303</f>
        <v>349337</v>
      </c>
      <c r="H6" s="1550">
        <f>68283+2895</f>
        <v>71178</v>
      </c>
      <c r="I6" s="1550">
        <f>116781+56</f>
        <v>116837</v>
      </c>
      <c r="J6" s="1550">
        <v>0</v>
      </c>
      <c r="K6" s="1550">
        <v>0</v>
      </c>
      <c r="L6" s="1551">
        <v>0</v>
      </c>
      <c r="M6" s="1549">
        <v>16350</v>
      </c>
      <c r="N6" s="1550">
        <v>914</v>
      </c>
      <c r="O6" s="1550">
        <v>0</v>
      </c>
      <c r="P6" s="1551">
        <v>0</v>
      </c>
      <c r="Q6" s="1549">
        <v>0</v>
      </c>
      <c r="R6" s="1552">
        <v>0</v>
      </c>
    </row>
    <row r="7" spans="1:18" ht="9.75">
      <c r="A7" s="1820"/>
      <c r="B7" s="1845" t="s">
        <v>456</v>
      </c>
      <c r="C7" s="1823"/>
      <c r="D7" s="1662" t="s">
        <v>883</v>
      </c>
      <c r="E7" s="1553">
        <v>921809</v>
      </c>
      <c r="F7" s="1554">
        <f>SUM(G7:R7)</f>
        <v>554639</v>
      </c>
      <c r="G7" s="1555">
        <v>349356</v>
      </c>
      <c r="H7" s="1556">
        <v>71182</v>
      </c>
      <c r="I7" s="1556">
        <v>116835</v>
      </c>
      <c r="J7" s="1556">
        <v>0</v>
      </c>
      <c r="K7" s="1556">
        <v>0</v>
      </c>
      <c r="L7" s="1557">
        <v>0</v>
      </c>
      <c r="M7" s="1555">
        <v>16352</v>
      </c>
      <c r="N7" s="1556">
        <v>914</v>
      </c>
      <c r="O7" s="1556">
        <v>0</v>
      </c>
      <c r="P7" s="1557">
        <v>0</v>
      </c>
      <c r="Q7" s="1555">
        <v>0</v>
      </c>
      <c r="R7" s="1558">
        <v>0</v>
      </c>
    </row>
    <row r="8" spans="1:18" ht="10.5" thickBot="1">
      <c r="A8" s="1821"/>
      <c r="B8" s="1846"/>
      <c r="C8" s="1824"/>
      <c r="D8" s="1663" t="s">
        <v>981</v>
      </c>
      <c r="E8" s="1559">
        <f>921809-37480+1665</f>
        <v>885994</v>
      </c>
      <c r="F8" s="1560">
        <f>SUM(G8:R8)</f>
        <v>568254</v>
      </c>
      <c r="G8" s="1561">
        <f>349356+8538</f>
        <v>357894</v>
      </c>
      <c r="H8" s="1562">
        <f>71182+1587</f>
        <v>72769</v>
      </c>
      <c r="I8" s="1562">
        <f>116835+1825+1665</f>
        <v>120325</v>
      </c>
      <c r="J8" s="1562">
        <v>0</v>
      </c>
      <c r="K8" s="1562">
        <v>0</v>
      </c>
      <c r="L8" s="1563">
        <v>0</v>
      </c>
      <c r="M8" s="1561">
        <v>16352</v>
      </c>
      <c r="N8" s="1562">
        <v>914</v>
      </c>
      <c r="O8" s="1562">
        <v>0</v>
      </c>
      <c r="P8" s="1563">
        <v>0</v>
      </c>
      <c r="Q8" s="1561">
        <v>0</v>
      </c>
      <c r="R8" s="1564">
        <v>0</v>
      </c>
    </row>
    <row r="9" spans="1:18" ht="10.5" thickTop="1">
      <c r="A9" s="1820" t="s">
        <v>106</v>
      </c>
      <c r="B9" s="1565" t="s">
        <v>436</v>
      </c>
      <c r="C9" s="1823" t="s">
        <v>452</v>
      </c>
      <c r="D9" s="1664" t="s">
        <v>3</v>
      </c>
      <c r="E9" s="1566">
        <v>0</v>
      </c>
      <c r="F9" s="1567">
        <f t="shared" ref="F9:F36" si="0">SUM(G9:R9)</f>
        <v>60249</v>
      </c>
      <c r="G9" s="1568">
        <v>49146</v>
      </c>
      <c r="H9" s="1569">
        <v>9905</v>
      </c>
      <c r="I9" s="1569">
        <v>1198</v>
      </c>
      <c r="J9" s="1569">
        <v>0</v>
      </c>
      <c r="K9" s="1569">
        <v>0</v>
      </c>
      <c r="L9" s="1570">
        <v>0</v>
      </c>
      <c r="M9" s="1568">
        <v>0</v>
      </c>
      <c r="N9" s="1569">
        <v>0</v>
      </c>
      <c r="O9" s="1569">
        <v>0</v>
      </c>
      <c r="P9" s="1570">
        <v>0</v>
      </c>
      <c r="Q9" s="1568">
        <v>0</v>
      </c>
      <c r="R9" s="1571">
        <v>0</v>
      </c>
    </row>
    <row r="10" spans="1:18" ht="9.75">
      <c r="A10" s="1820"/>
      <c r="B10" s="1845" t="s">
        <v>933</v>
      </c>
      <c r="C10" s="1823"/>
      <c r="D10" s="1662" t="s">
        <v>883</v>
      </c>
      <c r="E10" s="1553">
        <v>0</v>
      </c>
      <c r="F10" s="1554">
        <f t="shared" si="0"/>
        <v>60262</v>
      </c>
      <c r="G10" s="1555">
        <v>49157</v>
      </c>
      <c r="H10" s="1556">
        <v>9907</v>
      </c>
      <c r="I10" s="1556">
        <v>1198</v>
      </c>
      <c r="J10" s="1556">
        <v>0</v>
      </c>
      <c r="K10" s="1556">
        <v>0</v>
      </c>
      <c r="L10" s="1557">
        <v>0</v>
      </c>
      <c r="M10" s="1555">
        <v>0</v>
      </c>
      <c r="N10" s="1556">
        <v>0</v>
      </c>
      <c r="O10" s="1556">
        <v>0</v>
      </c>
      <c r="P10" s="1557">
        <v>0</v>
      </c>
      <c r="Q10" s="1555">
        <v>0</v>
      </c>
      <c r="R10" s="1558">
        <v>0</v>
      </c>
    </row>
    <row r="11" spans="1:18" ht="10.5" thickBot="1">
      <c r="A11" s="1821"/>
      <c r="B11" s="1846"/>
      <c r="C11" s="1824"/>
      <c r="D11" s="1663" t="s">
        <v>1049</v>
      </c>
      <c r="E11" s="1559">
        <v>0</v>
      </c>
      <c r="F11" s="1560">
        <f t="shared" si="0"/>
        <v>60262</v>
      </c>
      <c r="G11" s="1555">
        <v>49157</v>
      </c>
      <c r="H11" s="1556">
        <v>9907</v>
      </c>
      <c r="I11" s="1556">
        <v>1198</v>
      </c>
      <c r="J11" s="1556">
        <v>0</v>
      </c>
      <c r="K11" s="1556">
        <v>0</v>
      </c>
      <c r="L11" s="1557">
        <v>0</v>
      </c>
      <c r="M11" s="1555">
        <v>0</v>
      </c>
      <c r="N11" s="1556">
        <v>0</v>
      </c>
      <c r="O11" s="1556">
        <v>0</v>
      </c>
      <c r="P11" s="1557">
        <v>0</v>
      </c>
      <c r="Q11" s="1555">
        <v>0</v>
      </c>
      <c r="R11" s="1558">
        <v>0</v>
      </c>
    </row>
    <row r="12" spans="1:18" ht="10.5" thickTop="1">
      <c r="A12" s="1819" t="s">
        <v>106</v>
      </c>
      <c r="B12" s="1572" t="s">
        <v>437</v>
      </c>
      <c r="C12" s="1822" t="s">
        <v>453</v>
      </c>
      <c r="D12" s="1665" t="s">
        <v>3</v>
      </c>
      <c r="E12" s="1573">
        <v>4000</v>
      </c>
      <c r="F12" s="1574">
        <f t="shared" si="0"/>
        <v>12053</v>
      </c>
      <c r="G12" s="1575">
        <v>9382</v>
      </c>
      <c r="H12" s="1576">
        <v>1243</v>
      </c>
      <c r="I12" s="1576">
        <v>428</v>
      </c>
      <c r="J12" s="1576">
        <v>0</v>
      </c>
      <c r="K12" s="1576">
        <v>0</v>
      </c>
      <c r="L12" s="1577">
        <v>0</v>
      </c>
      <c r="M12" s="1575">
        <v>1000</v>
      </c>
      <c r="N12" s="1576">
        <v>0</v>
      </c>
      <c r="O12" s="1576">
        <v>0</v>
      </c>
      <c r="P12" s="1577">
        <v>0</v>
      </c>
      <c r="Q12" s="1575">
        <v>0</v>
      </c>
      <c r="R12" s="1578">
        <v>0</v>
      </c>
    </row>
    <row r="13" spans="1:18" ht="9.75">
      <c r="A13" s="1820"/>
      <c r="B13" s="1579" t="s">
        <v>934</v>
      </c>
      <c r="C13" s="1823"/>
      <c r="D13" s="1662" t="s">
        <v>883</v>
      </c>
      <c r="E13" s="1553">
        <v>4000</v>
      </c>
      <c r="F13" s="1554">
        <f t="shared" si="0"/>
        <v>12053</v>
      </c>
      <c r="G13" s="1555">
        <v>9382</v>
      </c>
      <c r="H13" s="1556">
        <v>1243</v>
      </c>
      <c r="I13" s="1556">
        <v>428</v>
      </c>
      <c r="J13" s="1556">
        <v>0</v>
      </c>
      <c r="K13" s="1556">
        <v>0</v>
      </c>
      <c r="L13" s="1557">
        <v>0</v>
      </c>
      <c r="M13" s="1555">
        <v>1000</v>
      </c>
      <c r="N13" s="1556">
        <v>0</v>
      </c>
      <c r="O13" s="1556">
        <v>0</v>
      </c>
      <c r="P13" s="1557">
        <v>0</v>
      </c>
      <c r="Q13" s="1555">
        <v>0</v>
      </c>
      <c r="R13" s="1558">
        <v>0</v>
      </c>
    </row>
    <row r="14" spans="1:18" ht="10.5" thickBot="1">
      <c r="A14" s="1821"/>
      <c r="B14" s="1580" t="s">
        <v>934</v>
      </c>
      <c r="C14" s="1824"/>
      <c r="D14" s="1663" t="s">
        <v>981</v>
      </c>
      <c r="E14" s="1559">
        <v>4000</v>
      </c>
      <c r="F14" s="1560">
        <f t="shared" si="0"/>
        <v>12053</v>
      </c>
      <c r="G14" s="1555">
        <v>9382</v>
      </c>
      <c r="H14" s="1556">
        <v>1243</v>
      </c>
      <c r="I14" s="1556">
        <v>428</v>
      </c>
      <c r="J14" s="1556">
        <v>0</v>
      </c>
      <c r="K14" s="1556">
        <v>0</v>
      </c>
      <c r="L14" s="1557">
        <v>0</v>
      </c>
      <c r="M14" s="1555">
        <v>1000</v>
      </c>
      <c r="N14" s="1556">
        <v>0</v>
      </c>
      <c r="O14" s="1556">
        <v>0</v>
      </c>
      <c r="P14" s="1557">
        <v>0</v>
      </c>
      <c r="Q14" s="1555">
        <v>0</v>
      </c>
      <c r="R14" s="1558">
        <v>0</v>
      </c>
    </row>
    <row r="15" spans="1:18" ht="10.5" thickTop="1">
      <c r="A15" s="1819" t="s">
        <v>449</v>
      </c>
      <c r="B15" s="1572" t="s">
        <v>438</v>
      </c>
      <c r="C15" s="1822" t="s">
        <v>109</v>
      </c>
      <c r="D15" s="1665" t="s">
        <v>3</v>
      </c>
      <c r="E15" s="1573">
        <v>0</v>
      </c>
      <c r="F15" s="1574">
        <f t="shared" si="0"/>
        <v>34874</v>
      </c>
      <c r="G15" s="1575">
        <v>23292</v>
      </c>
      <c r="H15" s="1576">
        <v>4642</v>
      </c>
      <c r="I15" s="1576">
        <v>6840</v>
      </c>
      <c r="J15" s="1576">
        <v>0</v>
      </c>
      <c r="K15" s="1576">
        <v>0</v>
      </c>
      <c r="L15" s="1577">
        <v>0</v>
      </c>
      <c r="M15" s="1575">
        <v>100</v>
      </c>
      <c r="N15" s="1576">
        <v>0</v>
      </c>
      <c r="O15" s="1576">
        <v>0</v>
      </c>
      <c r="P15" s="1577">
        <v>0</v>
      </c>
      <c r="Q15" s="1575">
        <v>0</v>
      </c>
      <c r="R15" s="1578">
        <v>0</v>
      </c>
    </row>
    <row r="16" spans="1:18" ht="9.75">
      <c r="A16" s="1820"/>
      <c r="B16" s="1579" t="s">
        <v>935</v>
      </c>
      <c r="C16" s="1823"/>
      <c r="D16" s="1662" t="s">
        <v>883</v>
      </c>
      <c r="E16" s="1553">
        <v>0</v>
      </c>
      <c r="F16" s="1554">
        <f t="shared" si="0"/>
        <v>34874</v>
      </c>
      <c r="G16" s="1555">
        <v>23292</v>
      </c>
      <c r="H16" s="1556">
        <v>4642</v>
      </c>
      <c r="I16" s="1556">
        <v>6840</v>
      </c>
      <c r="J16" s="1556">
        <v>0</v>
      </c>
      <c r="K16" s="1556">
        <v>0</v>
      </c>
      <c r="L16" s="1557">
        <v>0</v>
      </c>
      <c r="M16" s="1555">
        <v>100</v>
      </c>
      <c r="N16" s="1556">
        <v>0</v>
      </c>
      <c r="O16" s="1556">
        <v>0</v>
      </c>
      <c r="P16" s="1557">
        <v>0</v>
      </c>
      <c r="Q16" s="1555">
        <v>0</v>
      </c>
      <c r="R16" s="1558">
        <v>0</v>
      </c>
    </row>
    <row r="17" spans="1:18" ht="10.5" thickBot="1">
      <c r="A17" s="1821"/>
      <c r="B17" s="1580" t="s">
        <v>935</v>
      </c>
      <c r="C17" s="1824"/>
      <c r="D17" s="1663" t="s">
        <v>981</v>
      </c>
      <c r="E17" s="1559">
        <v>0</v>
      </c>
      <c r="F17" s="1560">
        <f t="shared" si="0"/>
        <v>34874</v>
      </c>
      <c r="G17" s="1555">
        <v>23292</v>
      </c>
      <c r="H17" s="1556">
        <v>4642</v>
      </c>
      <c r="I17" s="1556">
        <v>6840</v>
      </c>
      <c r="J17" s="1556">
        <v>0</v>
      </c>
      <c r="K17" s="1556">
        <v>0</v>
      </c>
      <c r="L17" s="1557">
        <v>0</v>
      </c>
      <c r="M17" s="1555">
        <v>100</v>
      </c>
      <c r="N17" s="1556">
        <v>0</v>
      </c>
      <c r="O17" s="1556">
        <v>0</v>
      </c>
      <c r="P17" s="1557">
        <v>0</v>
      </c>
      <c r="Q17" s="1555">
        <v>0</v>
      </c>
      <c r="R17" s="1558">
        <v>0</v>
      </c>
    </row>
    <row r="18" spans="1:18" ht="10.5" thickTop="1">
      <c r="A18" s="1819" t="s">
        <v>106</v>
      </c>
      <c r="B18" s="1572" t="s">
        <v>439</v>
      </c>
      <c r="C18" s="1822" t="s">
        <v>458</v>
      </c>
      <c r="D18" s="1665" t="s">
        <v>3</v>
      </c>
      <c r="E18" s="1573">
        <v>0</v>
      </c>
      <c r="F18" s="1574">
        <f t="shared" si="0"/>
        <v>50667</v>
      </c>
      <c r="G18" s="1575">
        <v>41879</v>
      </c>
      <c r="H18" s="1576">
        <v>8488</v>
      </c>
      <c r="I18" s="1576">
        <v>300</v>
      </c>
      <c r="J18" s="1576">
        <v>0</v>
      </c>
      <c r="K18" s="1576">
        <v>0</v>
      </c>
      <c r="L18" s="1577">
        <v>0</v>
      </c>
      <c r="M18" s="1575">
        <v>0</v>
      </c>
      <c r="N18" s="1576">
        <v>0</v>
      </c>
      <c r="O18" s="1576">
        <v>0</v>
      </c>
      <c r="P18" s="1577">
        <v>0</v>
      </c>
      <c r="Q18" s="1575">
        <v>0</v>
      </c>
      <c r="R18" s="1578">
        <v>0</v>
      </c>
    </row>
    <row r="19" spans="1:18" ht="9.75">
      <c r="A19" s="1820"/>
      <c r="B19" s="1579" t="s">
        <v>936</v>
      </c>
      <c r="C19" s="1823"/>
      <c r="D19" s="1662" t="s">
        <v>883</v>
      </c>
      <c r="E19" s="1553">
        <v>0</v>
      </c>
      <c r="F19" s="1554">
        <f t="shared" si="0"/>
        <v>50667</v>
      </c>
      <c r="G19" s="1555">
        <v>41879</v>
      </c>
      <c r="H19" s="1556">
        <v>8488</v>
      </c>
      <c r="I19" s="1556">
        <v>300</v>
      </c>
      <c r="J19" s="1556">
        <v>0</v>
      </c>
      <c r="K19" s="1556">
        <v>0</v>
      </c>
      <c r="L19" s="1557">
        <v>0</v>
      </c>
      <c r="M19" s="1555">
        <v>0</v>
      </c>
      <c r="N19" s="1556">
        <v>0</v>
      </c>
      <c r="O19" s="1556">
        <v>0</v>
      </c>
      <c r="P19" s="1557">
        <v>0</v>
      </c>
      <c r="Q19" s="1555">
        <v>0</v>
      </c>
      <c r="R19" s="1558">
        <v>0</v>
      </c>
    </row>
    <row r="20" spans="1:18" ht="10.5" thickBot="1">
      <c r="A20" s="1821"/>
      <c r="B20" s="1580" t="s">
        <v>936</v>
      </c>
      <c r="C20" s="1824"/>
      <c r="D20" s="1663" t="s">
        <v>981</v>
      </c>
      <c r="E20" s="1559">
        <v>0</v>
      </c>
      <c r="F20" s="1560">
        <f t="shared" si="0"/>
        <v>50667</v>
      </c>
      <c r="G20" s="1555">
        <v>41879</v>
      </c>
      <c r="H20" s="1556">
        <v>8488</v>
      </c>
      <c r="I20" s="1556">
        <v>300</v>
      </c>
      <c r="J20" s="1556">
        <v>0</v>
      </c>
      <c r="K20" s="1556">
        <v>0</v>
      </c>
      <c r="L20" s="1557">
        <v>0</v>
      </c>
      <c r="M20" s="1555">
        <v>0</v>
      </c>
      <c r="N20" s="1556">
        <v>0</v>
      </c>
      <c r="O20" s="1556">
        <v>0</v>
      </c>
      <c r="P20" s="1557">
        <v>0</v>
      </c>
      <c r="Q20" s="1555">
        <v>0</v>
      </c>
      <c r="R20" s="1558">
        <v>0</v>
      </c>
    </row>
    <row r="21" spans="1:18" ht="10.5" thickTop="1">
      <c r="A21" s="1819" t="s">
        <v>449</v>
      </c>
      <c r="B21" s="1572" t="s">
        <v>440</v>
      </c>
      <c r="C21" s="1822" t="s">
        <v>454</v>
      </c>
      <c r="D21" s="1665" t="s">
        <v>3</v>
      </c>
      <c r="E21" s="1573">
        <v>250</v>
      </c>
      <c r="F21" s="1574">
        <f t="shared" si="0"/>
        <v>1200</v>
      </c>
      <c r="G21" s="1581">
        <v>0</v>
      </c>
      <c r="H21" s="1582">
        <v>0</v>
      </c>
      <c r="I21" s="1582">
        <v>0</v>
      </c>
      <c r="J21" s="1582">
        <v>0</v>
      </c>
      <c r="K21" s="1582">
        <v>0</v>
      </c>
      <c r="L21" s="1583">
        <v>0</v>
      </c>
      <c r="M21" s="1581">
        <v>0</v>
      </c>
      <c r="N21" s="1582">
        <v>0</v>
      </c>
      <c r="O21" s="1582">
        <v>1200</v>
      </c>
      <c r="P21" s="1583">
        <v>0</v>
      </c>
      <c r="Q21" s="1581">
        <v>0</v>
      </c>
      <c r="R21" s="1578">
        <v>0</v>
      </c>
    </row>
    <row r="22" spans="1:18" ht="9.75">
      <c r="A22" s="1820"/>
      <c r="B22" s="1579" t="s">
        <v>937</v>
      </c>
      <c r="C22" s="1823"/>
      <c r="D22" s="1662" t="s">
        <v>883</v>
      </c>
      <c r="E22" s="1553">
        <v>250</v>
      </c>
      <c r="F22" s="1554">
        <f t="shared" si="0"/>
        <v>1200</v>
      </c>
      <c r="G22" s="1584">
        <v>0</v>
      </c>
      <c r="H22" s="1585">
        <v>0</v>
      </c>
      <c r="I22" s="1585">
        <v>0</v>
      </c>
      <c r="J22" s="1585">
        <v>0</v>
      </c>
      <c r="K22" s="1585">
        <v>0</v>
      </c>
      <c r="L22" s="1586">
        <v>0</v>
      </c>
      <c r="M22" s="1584">
        <v>0</v>
      </c>
      <c r="N22" s="1585">
        <v>0</v>
      </c>
      <c r="O22" s="1585">
        <v>1200</v>
      </c>
      <c r="P22" s="1586">
        <v>0</v>
      </c>
      <c r="Q22" s="1584">
        <v>0</v>
      </c>
      <c r="R22" s="1558">
        <v>0</v>
      </c>
    </row>
    <row r="23" spans="1:18" ht="10.5" thickBot="1">
      <c r="A23" s="1821"/>
      <c r="B23" s="1580" t="s">
        <v>937</v>
      </c>
      <c r="C23" s="1824"/>
      <c r="D23" s="1663" t="s">
        <v>981</v>
      </c>
      <c r="E23" s="1559">
        <v>250</v>
      </c>
      <c r="F23" s="1560">
        <f t="shared" si="0"/>
        <v>1200</v>
      </c>
      <c r="G23" s="1584">
        <v>0</v>
      </c>
      <c r="H23" s="1585">
        <v>0</v>
      </c>
      <c r="I23" s="1585">
        <v>0</v>
      </c>
      <c r="J23" s="1585">
        <v>0</v>
      </c>
      <c r="K23" s="1585">
        <v>0</v>
      </c>
      <c r="L23" s="1586">
        <v>0</v>
      </c>
      <c r="M23" s="1584">
        <v>0</v>
      </c>
      <c r="N23" s="1585">
        <v>0</v>
      </c>
      <c r="O23" s="1585">
        <v>1200</v>
      </c>
      <c r="P23" s="1586">
        <v>0</v>
      </c>
      <c r="Q23" s="1584">
        <v>0</v>
      </c>
      <c r="R23" s="1558">
        <v>0</v>
      </c>
    </row>
    <row r="24" spans="1:18" ht="10.5" thickTop="1">
      <c r="A24" s="1819" t="s">
        <v>106</v>
      </c>
      <c r="B24" s="1572" t="s">
        <v>442</v>
      </c>
      <c r="C24" s="1822" t="s">
        <v>441</v>
      </c>
      <c r="D24" s="1665" t="s">
        <v>3</v>
      </c>
      <c r="E24" s="1573">
        <v>0</v>
      </c>
      <c r="F24" s="1574">
        <f t="shared" si="0"/>
        <v>112975</v>
      </c>
      <c r="G24" s="1575">
        <f>119032-600-26364</f>
        <v>92068</v>
      </c>
      <c r="H24" s="1576">
        <f>23855-129-5141</f>
        <v>18585</v>
      </c>
      <c r="I24" s="1576">
        <f>71187-200-445-450-67770</f>
        <v>2322</v>
      </c>
      <c r="J24" s="1576">
        <v>0</v>
      </c>
      <c r="K24" s="1576">
        <v>0</v>
      </c>
      <c r="L24" s="1577">
        <v>0</v>
      </c>
      <c r="M24" s="1575">
        <v>0</v>
      </c>
      <c r="N24" s="1576">
        <v>0</v>
      </c>
      <c r="O24" s="1576">
        <v>0</v>
      </c>
      <c r="P24" s="1577">
        <v>0</v>
      </c>
      <c r="Q24" s="1575">
        <v>0</v>
      </c>
      <c r="R24" s="1578">
        <v>0</v>
      </c>
    </row>
    <row r="25" spans="1:18" ht="9.75">
      <c r="A25" s="1820"/>
      <c r="B25" s="1579" t="s">
        <v>938</v>
      </c>
      <c r="C25" s="1823"/>
      <c r="D25" s="1662" t="s">
        <v>883</v>
      </c>
      <c r="E25" s="1553">
        <v>0</v>
      </c>
      <c r="F25" s="1554">
        <f t="shared" ref="F25" si="1">SUM(G25:R25)</f>
        <v>112975</v>
      </c>
      <c r="G25" s="1555">
        <v>92068</v>
      </c>
      <c r="H25" s="1556">
        <v>18585</v>
      </c>
      <c r="I25" s="1556">
        <v>2322</v>
      </c>
      <c r="J25" s="1556">
        <v>0</v>
      </c>
      <c r="K25" s="1556">
        <v>0</v>
      </c>
      <c r="L25" s="1557">
        <v>0</v>
      </c>
      <c r="M25" s="1555">
        <v>0</v>
      </c>
      <c r="N25" s="1556">
        <v>0</v>
      </c>
      <c r="O25" s="1556">
        <v>0</v>
      </c>
      <c r="P25" s="1557">
        <v>0</v>
      </c>
      <c r="Q25" s="1555">
        <v>0</v>
      </c>
      <c r="R25" s="1558">
        <v>0</v>
      </c>
    </row>
    <row r="26" spans="1:18" ht="10.5" thickBot="1">
      <c r="A26" s="1821"/>
      <c r="B26" s="1580" t="s">
        <v>938</v>
      </c>
      <c r="C26" s="1824"/>
      <c r="D26" s="1663" t="s">
        <v>981</v>
      </c>
      <c r="E26" s="1559">
        <v>0</v>
      </c>
      <c r="F26" s="1560">
        <f t="shared" ref="F26" si="2">SUM(G26:R26)</f>
        <v>112975</v>
      </c>
      <c r="G26" s="1555">
        <v>92068</v>
      </c>
      <c r="H26" s="1556">
        <v>18585</v>
      </c>
      <c r="I26" s="1556">
        <v>2322</v>
      </c>
      <c r="J26" s="1556">
        <v>0</v>
      </c>
      <c r="K26" s="1556">
        <v>0</v>
      </c>
      <c r="L26" s="1557">
        <v>0</v>
      </c>
      <c r="M26" s="1555">
        <v>0</v>
      </c>
      <c r="N26" s="1556">
        <v>0</v>
      </c>
      <c r="O26" s="1556">
        <v>0</v>
      </c>
      <c r="P26" s="1557">
        <v>0</v>
      </c>
      <c r="Q26" s="1555">
        <v>0</v>
      </c>
      <c r="R26" s="1558">
        <v>0</v>
      </c>
    </row>
    <row r="27" spans="1:18" ht="10.5" thickTop="1">
      <c r="A27" s="1819" t="s">
        <v>449</v>
      </c>
      <c r="B27" s="1572" t="s">
        <v>443</v>
      </c>
      <c r="C27" s="1822" t="s">
        <v>444</v>
      </c>
      <c r="D27" s="1665" t="s">
        <v>3</v>
      </c>
      <c r="E27" s="1573">
        <v>2000</v>
      </c>
      <c r="F27" s="1574">
        <f t="shared" si="0"/>
        <v>1379</v>
      </c>
      <c r="G27" s="1575">
        <v>600</v>
      </c>
      <c r="H27" s="1576">
        <v>129</v>
      </c>
      <c r="I27" s="1576">
        <v>200</v>
      </c>
      <c r="J27" s="1576">
        <v>0</v>
      </c>
      <c r="K27" s="1576">
        <v>0</v>
      </c>
      <c r="L27" s="1577">
        <v>0</v>
      </c>
      <c r="M27" s="1575">
        <v>450</v>
      </c>
      <c r="N27" s="1576">
        <v>0</v>
      </c>
      <c r="O27" s="1576">
        <v>0</v>
      </c>
      <c r="P27" s="1577">
        <v>0</v>
      </c>
      <c r="Q27" s="1575">
        <v>0</v>
      </c>
      <c r="R27" s="1578">
        <v>0</v>
      </c>
    </row>
    <row r="28" spans="1:18" ht="9.75">
      <c r="A28" s="1820"/>
      <c r="B28" s="1579" t="s">
        <v>939</v>
      </c>
      <c r="C28" s="1823"/>
      <c r="D28" s="1662" t="s">
        <v>883</v>
      </c>
      <c r="E28" s="1553">
        <v>2000</v>
      </c>
      <c r="F28" s="1554">
        <f t="shared" ref="F28:F29" si="3">SUM(G28:R28)</f>
        <v>1379</v>
      </c>
      <c r="G28" s="1555">
        <v>600</v>
      </c>
      <c r="H28" s="1556">
        <v>129</v>
      </c>
      <c r="I28" s="1556">
        <v>200</v>
      </c>
      <c r="J28" s="1556">
        <v>0</v>
      </c>
      <c r="K28" s="1556">
        <v>0</v>
      </c>
      <c r="L28" s="1557">
        <v>0</v>
      </c>
      <c r="M28" s="1555">
        <v>450</v>
      </c>
      <c r="N28" s="1556">
        <v>0</v>
      </c>
      <c r="O28" s="1556">
        <v>0</v>
      </c>
      <c r="P28" s="1557">
        <v>0</v>
      </c>
      <c r="Q28" s="1555">
        <v>0</v>
      </c>
      <c r="R28" s="1558">
        <v>0</v>
      </c>
    </row>
    <row r="29" spans="1:18" ht="10.5" thickBot="1">
      <c r="A29" s="1821"/>
      <c r="B29" s="1580" t="s">
        <v>939</v>
      </c>
      <c r="C29" s="1824"/>
      <c r="D29" s="1663" t="s">
        <v>981</v>
      </c>
      <c r="E29" s="1559">
        <v>2000</v>
      </c>
      <c r="F29" s="1560">
        <f t="shared" si="3"/>
        <v>1379</v>
      </c>
      <c r="G29" s="1555">
        <v>600</v>
      </c>
      <c r="H29" s="1556">
        <v>129</v>
      </c>
      <c r="I29" s="1556">
        <v>200</v>
      </c>
      <c r="J29" s="1556">
        <v>0</v>
      </c>
      <c r="K29" s="1556">
        <v>0</v>
      </c>
      <c r="L29" s="1557">
        <v>0</v>
      </c>
      <c r="M29" s="1555">
        <v>450</v>
      </c>
      <c r="N29" s="1556">
        <v>0</v>
      </c>
      <c r="O29" s="1556">
        <v>0</v>
      </c>
      <c r="P29" s="1557">
        <v>0</v>
      </c>
      <c r="Q29" s="1555">
        <v>0</v>
      </c>
      <c r="R29" s="1558">
        <v>0</v>
      </c>
    </row>
    <row r="30" spans="1:18" ht="10.5" thickTop="1">
      <c r="A30" s="1819" t="s">
        <v>449</v>
      </c>
      <c r="B30" s="1572" t="s">
        <v>445</v>
      </c>
      <c r="C30" s="1822" t="s">
        <v>446</v>
      </c>
      <c r="D30" s="1665" t="s">
        <v>3</v>
      </c>
      <c r="E30" s="1573">
        <v>270</v>
      </c>
      <c r="F30" s="1574">
        <f t="shared" si="0"/>
        <v>695</v>
      </c>
      <c r="G30" s="1575">
        <v>0</v>
      </c>
      <c r="H30" s="1576">
        <v>0</v>
      </c>
      <c r="I30" s="1576">
        <v>445</v>
      </c>
      <c r="J30" s="1576">
        <v>0</v>
      </c>
      <c r="K30" s="1576">
        <v>0</v>
      </c>
      <c r="L30" s="1577">
        <v>0</v>
      </c>
      <c r="M30" s="1575">
        <v>250</v>
      </c>
      <c r="N30" s="1576">
        <v>0</v>
      </c>
      <c r="O30" s="1576">
        <v>0</v>
      </c>
      <c r="P30" s="1577">
        <v>0</v>
      </c>
      <c r="Q30" s="1575">
        <v>0</v>
      </c>
      <c r="R30" s="1578">
        <v>0</v>
      </c>
    </row>
    <row r="31" spans="1:18" ht="9.75">
      <c r="A31" s="1820"/>
      <c r="B31" s="1579" t="s">
        <v>940</v>
      </c>
      <c r="C31" s="1823"/>
      <c r="D31" s="1662" t="s">
        <v>883</v>
      </c>
      <c r="E31" s="1553">
        <v>270</v>
      </c>
      <c r="F31" s="1554">
        <f t="shared" ref="F31:F32" si="4">SUM(G31:R31)</f>
        <v>695</v>
      </c>
      <c r="G31" s="1555">
        <v>0</v>
      </c>
      <c r="H31" s="1556">
        <v>0</v>
      </c>
      <c r="I31" s="1556">
        <v>445</v>
      </c>
      <c r="J31" s="1556">
        <v>0</v>
      </c>
      <c r="K31" s="1556">
        <v>0</v>
      </c>
      <c r="L31" s="1557">
        <v>0</v>
      </c>
      <c r="M31" s="1555">
        <v>250</v>
      </c>
      <c r="N31" s="1556">
        <v>0</v>
      </c>
      <c r="O31" s="1556">
        <v>0</v>
      </c>
      <c r="P31" s="1557">
        <v>0</v>
      </c>
      <c r="Q31" s="1555">
        <v>0</v>
      </c>
      <c r="R31" s="1558">
        <v>0</v>
      </c>
    </row>
    <row r="32" spans="1:18" ht="10.5" thickBot="1">
      <c r="A32" s="1821"/>
      <c r="B32" s="1580" t="s">
        <v>940</v>
      </c>
      <c r="C32" s="1824"/>
      <c r="D32" s="1663" t="s">
        <v>981</v>
      </c>
      <c r="E32" s="1559">
        <v>270</v>
      </c>
      <c r="F32" s="1560">
        <f t="shared" si="4"/>
        <v>695</v>
      </c>
      <c r="G32" s="1555">
        <v>0</v>
      </c>
      <c r="H32" s="1556">
        <v>0</v>
      </c>
      <c r="I32" s="1556">
        <v>445</v>
      </c>
      <c r="J32" s="1556">
        <v>0</v>
      </c>
      <c r="K32" s="1556">
        <v>0</v>
      </c>
      <c r="L32" s="1557">
        <v>0</v>
      </c>
      <c r="M32" s="1555">
        <v>250</v>
      </c>
      <c r="N32" s="1556">
        <v>0</v>
      </c>
      <c r="O32" s="1556">
        <v>0</v>
      </c>
      <c r="P32" s="1557">
        <v>0</v>
      </c>
      <c r="Q32" s="1555">
        <v>0</v>
      </c>
      <c r="R32" s="1558">
        <v>0</v>
      </c>
    </row>
    <row r="33" spans="1:18" ht="10.5" thickTop="1">
      <c r="A33" s="1819" t="s">
        <v>449</v>
      </c>
      <c r="B33" s="1572" t="s">
        <v>447</v>
      </c>
      <c r="C33" s="1822" t="s">
        <v>448</v>
      </c>
      <c r="D33" s="1665" t="s">
        <v>3</v>
      </c>
      <c r="E33" s="1573">
        <v>140</v>
      </c>
      <c r="F33" s="1574">
        <f t="shared" si="0"/>
        <v>450</v>
      </c>
      <c r="G33" s="1575">
        <v>0</v>
      </c>
      <c r="H33" s="1576">
        <v>0</v>
      </c>
      <c r="I33" s="1576">
        <v>450</v>
      </c>
      <c r="J33" s="1576">
        <v>0</v>
      </c>
      <c r="K33" s="1576">
        <v>0</v>
      </c>
      <c r="L33" s="1577">
        <v>0</v>
      </c>
      <c r="M33" s="1575">
        <v>0</v>
      </c>
      <c r="N33" s="1576">
        <v>0</v>
      </c>
      <c r="O33" s="1576">
        <v>0</v>
      </c>
      <c r="P33" s="1577">
        <v>0</v>
      </c>
      <c r="Q33" s="1575">
        <v>0</v>
      </c>
      <c r="R33" s="1578">
        <v>0</v>
      </c>
    </row>
    <row r="34" spans="1:18" ht="9.75">
      <c r="A34" s="1820"/>
      <c r="B34" s="1579" t="s">
        <v>941</v>
      </c>
      <c r="C34" s="1823"/>
      <c r="D34" s="1662" t="s">
        <v>883</v>
      </c>
      <c r="E34" s="1553">
        <v>140</v>
      </c>
      <c r="F34" s="1554">
        <f t="shared" ref="F34:F35" si="5">SUM(G34:R34)</f>
        <v>450</v>
      </c>
      <c r="G34" s="1555">
        <v>0</v>
      </c>
      <c r="H34" s="1556">
        <v>0</v>
      </c>
      <c r="I34" s="1556">
        <v>450</v>
      </c>
      <c r="J34" s="1556">
        <v>0</v>
      </c>
      <c r="K34" s="1556">
        <v>0</v>
      </c>
      <c r="L34" s="1557">
        <v>0</v>
      </c>
      <c r="M34" s="1555">
        <v>0</v>
      </c>
      <c r="N34" s="1556">
        <v>0</v>
      </c>
      <c r="O34" s="1556">
        <v>0</v>
      </c>
      <c r="P34" s="1557">
        <v>0</v>
      </c>
      <c r="Q34" s="1555">
        <v>0</v>
      </c>
      <c r="R34" s="1558">
        <v>0</v>
      </c>
    </row>
    <row r="35" spans="1:18" ht="10.5" thickBot="1">
      <c r="A35" s="1821"/>
      <c r="B35" s="1580" t="s">
        <v>941</v>
      </c>
      <c r="C35" s="1824"/>
      <c r="D35" s="1663" t="s">
        <v>981</v>
      </c>
      <c r="E35" s="1559">
        <v>140</v>
      </c>
      <c r="F35" s="1560">
        <f t="shared" si="5"/>
        <v>450</v>
      </c>
      <c r="G35" s="1555">
        <v>0</v>
      </c>
      <c r="H35" s="1556">
        <v>0</v>
      </c>
      <c r="I35" s="1556">
        <v>450</v>
      </c>
      <c r="J35" s="1556">
        <v>0</v>
      </c>
      <c r="K35" s="1556">
        <v>0</v>
      </c>
      <c r="L35" s="1557">
        <v>0</v>
      </c>
      <c r="M35" s="1555">
        <v>0</v>
      </c>
      <c r="N35" s="1556">
        <v>0</v>
      </c>
      <c r="O35" s="1556">
        <v>0</v>
      </c>
      <c r="P35" s="1557">
        <v>0</v>
      </c>
      <c r="Q35" s="1555">
        <v>0</v>
      </c>
      <c r="R35" s="1558">
        <v>0</v>
      </c>
    </row>
    <row r="36" spans="1:18" ht="10.5" thickTop="1">
      <c r="A36" s="1819" t="s">
        <v>449</v>
      </c>
      <c r="B36" s="1572" t="s">
        <v>450</v>
      </c>
      <c r="C36" s="1822" t="s">
        <v>598</v>
      </c>
      <c r="D36" s="1665" t="s">
        <v>3</v>
      </c>
      <c r="E36" s="1573">
        <v>0</v>
      </c>
      <c r="F36" s="1574">
        <f t="shared" si="0"/>
        <v>99275</v>
      </c>
      <c r="G36" s="1575">
        <v>26364</v>
      </c>
      <c r="H36" s="1576">
        <v>5141</v>
      </c>
      <c r="I36" s="1576">
        <v>67770</v>
      </c>
      <c r="J36" s="1576">
        <v>0</v>
      </c>
      <c r="K36" s="1576">
        <v>0</v>
      </c>
      <c r="L36" s="1577">
        <v>0</v>
      </c>
      <c r="M36" s="1575">
        <v>0</v>
      </c>
      <c r="N36" s="1576">
        <v>0</v>
      </c>
      <c r="O36" s="1576">
        <v>0</v>
      </c>
      <c r="P36" s="1577">
        <v>0</v>
      </c>
      <c r="Q36" s="1575">
        <v>0</v>
      </c>
      <c r="R36" s="1578">
        <v>0</v>
      </c>
    </row>
    <row r="37" spans="1:18" ht="9.75">
      <c r="A37" s="1820"/>
      <c r="B37" s="1579" t="s">
        <v>942</v>
      </c>
      <c r="C37" s="1823"/>
      <c r="D37" s="1662" t="s">
        <v>883</v>
      </c>
      <c r="E37" s="1553">
        <v>0</v>
      </c>
      <c r="F37" s="1554">
        <f t="shared" ref="F37:F41" si="6">SUM(G37:R37)</f>
        <v>99275</v>
      </c>
      <c r="G37" s="1555">
        <v>26364</v>
      </c>
      <c r="H37" s="1556">
        <v>5141</v>
      </c>
      <c r="I37" s="1556">
        <v>67770</v>
      </c>
      <c r="J37" s="1556">
        <v>0</v>
      </c>
      <c r="K37" s="1556">
        <v>0</v>
      </c>
      <c r="L37" s="1557">
        <v>0</v>
      </c>
      <c r="M37" s="1555">
        <v>0</v>
      </c>
      <c r="N37" s="1556">
        <v>0</v>
      </c>
      <c r="O37" s="1556">
        <v>0</v>
      </c>
      <c r="P37" s="1557">
        <v>0</v>
      </c>
      <c r="Q37" s="1555">
        <v>0</v>
      </c>
      <c r="R37" s="1558">
        <v>0</v>
      </c>
    </row>
    <row r="38" spans="1:18" ht="10.5" thickBot="1">
      <c r="A38" s="1821"/>
      <c r="B38" s="1580" t="s">
        <v>942</v>
      </c>
      <c r="C38" s="1824"/>
      <c r="D38" s="1663" t="s">
        <v>981</v>
      </c>
      <c r="E38" s="1559">
        <v>0</v>
      </c>
      <c r="F38" s="1560">
        <f t="shared" si="6"/>
        <v>49845</v>
      </c>
      <c r="G38" s="1561">
        <f>26364-13127</f>
        <v>13237</v>
      </c>
      <c r="H38" s="1562">
        <f>5141-2560</f>
        <v>2581</v>
      </c>
      <c r="I38" s="1562">
        <f>67770-33743</f>
        <v>34027</v>
      </c>
      <c r="J38" s="1562">
        <v>0</v>
      </c>
      <c r="K38" s="1562">
        <v>0</v>
      </c>
      <c r="L38" s="1563">
        <v>0</v>
      </c>
      <c r="M38" s="1561">
        <v>0</v>
      </c>
      <c r="N38" s="1562">
        <v>0</v>
      </c>
      <c r="O38" s="1562">
        <v>0</v>
      </c>
      <c r="P38" s="1563">
        <v>0</v>
      </c>
      <c r="Q38" s="1561">
        <v>0</v>
      </c>
      <c r="R38" s="1564">
        <v>0</v>
      </c>
    </row>
    <row r="39" spans="1:18" ht="10.5" thickTop="1">
      <c r="A39" s="1819" t="s">
        <v>106</v>
      </c>
      <c r="B39" s="1572" t="s">
        <v>1050</v>
      </c>
      <c r="C39" s="1822" t="s">
        <v>1051</v>
      </c>
      <c r="D39" s="1665" t="s">
        <v>3</v>
      </c>
      <c r="E39" s="1573">
        <v>0</v>
      </c>
      <c r="F39" s="1574">
        <f t="shared" si="6"/>
        <v>0</v>
      </c>
      <c r="G39" s="1568">
        <v>0</v>
      </c>
      <c r="H39" s="1569">
        <v>0</v>
      </c>
      <c r="I39" s="1569">
        <v>0</v>
      </c>
      <c r="J39" s="1569">
        <v>0</v>
      </c>
      <c r="K39" s="1569">
        <v>0</v>
      </c>
      <c r="L39" s="1570">
        <v>0</v>
      </c>
      <c r="M39" s="1568"/>
      <c r="N39" s="1569">
        <v>0</v>
      </c>
      <c r="O39" s="1569">
        <v>0</v>
      </c>
      <c r="P39" s="1570">
        <v>0</v>
      </c>
      <c r="Q39" s="1568">
        <v>0</v>
      </c>
      <c r="R39" s="1571">
        <v>0</v>
      </c>
    </row>
    <row r="40" spans="1:18" ht="9.75">
      <c r="A40" s="1820"/>
      <c r="B40" s="1579" t="s">
        <v>1050</v>
      </c>
      <c r="C40" s="1823"/>
      <c r="D40" s="1662" t="s">
        <v>883</v>
      </c>
      <c r="E40" s="1553">
        <v>0</v>
      </c>
      <c r="F40" s="1554">
        <f t="shared" si="6"/>
        <v>0</v>
      </c>
      <c r="G40" s="1568">
        <v>0</v>
      </c>
      <c r="H40" s="1569">
        <v>0</v>
      </c>
      <c r="I40" s="1569">
        <v>0</v>
      </c>
      <c r="J40" s="1569">
        <v>0</v>
      </c>
      <c r="K40" s="1569">
        <v>0</v>
      </c>
      <c r="L40" s="1570">
        <v>0</v>
      </c>
      <c r="M40" s="1568">
        <v>0</v>
      </c>
      <c r="N40" s="1569">
        <v>0</v>
      </c>
      <c r="O40" s="1569">
        <v>0</v>
      </c>
      <c r="P40" s="1570">
        <v>0</v>
      </c>
      <c r="Q40" s="1568">
        <v>0</v>
      </c>
      <c r="R40" s="1571">
        <v>0</v>
      </c>
    </row>
    <row r="41" spans="1:18" ht="10.5" thickBot="1">
      <c r="A41" s="1821"/>
      <c r="B41" s="1580" t="s">
        <v>1050</v>
      </c>
      <c r="C41" s="1824"/>
      <c r="D41" s="1663" t="s">
        <v>981</v>
      </c>
      <c r="E41" s="1559">
        <v>5575</v>
      </c>
      <c r="F41" s="1560">
        <f t="shared" si="6"/>
        <v>5575</v>
      </c>
      <c r="G41" s="1587">
        <v>4440</v>
      </c>
      <c r="H41" s="1588">
        <v>901</v>
      </c>
      <c r="I41" s="1588">
        <v>234</v>
      </c>
      <c r="J41" s="1588"/>
      <c r="K41" s="1588"/>
      <c r="L41" s="1589"/>
      <c r="M41" s="1587"/>
      <c r="N41" s="1588"/>
      <c r="O41" s="1588"/>
      <c r="P41" s="1589"/>
      <c r="Q41" s="1587"/>
      <c r="R41" s="1590"/>
    </row>
    <row r="42" spans="1:18" ht="10.5" thickTop="1">
      <c r="A42" s="1834"/>
      <c r="B42" s="1836" t="s">
        <v>126</v>
      </c>
      <c r="C42" s="1837"/>
      <c r="D42" s="1666" t="s">
        <v>3</v>
      </c>
      <c r="E42" s="1567">
        <f>E6+E9+E12+E15+E18+E21+E24+E27+E30+E33+E36+E39</f>
        <v>928433</v>
      </c>
      <c r="F42" s="1567">
        <f>F6+F9+F12+F15+F18+F21+F24+F27+F30+F33+F36+F39</f>
        <v>928433</v>
      </c>
      <c r="G42" s="1591">
        <f>G6+G9+G12+G15+G18+G21+G24+G27+G30+G33+G36+G39</f>
        <v>592068</v>
      </c>
      <c r="H42" s="1592">
        <f t="shared" ref="H42:R42" si="7">H6+H9+H12+H15+H18+H21+H24+H27+H30+H33+H36+H39</f>
        <v>119311</v>
      </c>
      <c r="I42" s="1593">
        <f t="shared" si="7"/>
        <v>196790</v>
      </c>
      <c r="J42" s="1593">
        <f t="shared" si="7"/>
        <v>0</v>
      </c>
      <c r="K42" s="1593">
        <f t="shared" si="7"/>
        <v>0</v>
      </c>
      <c r="L42" s="1594">
        <f t="shared" si="7"/>
        <v>0</v>
      </c>
      <c r="M42" s="1595">
        <f t="shared" si="7"/>
        <v>18150</v>
      </c>
      <c r="N42" s="1593">
        <f t="shared" si="7"/>
        <v>914</v>
      </c>
      <c r="O42" s="1593">
        <f t="shared" si="7"/>
        <v>1200</v>
      </c>
      <c r="P42" s="1593">
        <f t="shared" si="7"/>
        <v>0</v>
      </c>
      <c r="Q42" s="1595">
        <f t="shared" si="7"/>
        <v>0</v>
      </c>
      <c r="R42" s="1596">
        <f t="shared" si="7"/>
        <v>0</v>
      </c>
    </row>
    <row r="43" spans="1:18" ht="9.75">
      <c r="A43" s="1834"/>
      <c r="B43" s="1838"/>
      <c r="C43" s="1815"/>
      <c r="D43" s="1662" t="s">
        <v>882</v>
      </c>
      <c r="E43" s="1567">
        <f t="shared" ref="E43:E44" si="8">E7+E10+E13+E16+E19+E22+E25+E28+E31+E34+E37+E40</f>
        <v>928469</v>
      </c>
      <c r="F43" s="1554">
        <f>F7+F10+F13+F16+F19+F22+F25+F28+F31+F34+F37</f>
        <v>928469</v>
      </c>
      <c r="G43" s="1597">
        <f t="shared" ref="G43:R43" si="9">G7+G10+G13+G16+G19+G22+G25+G28+G31+G34+G37</f>
        <v>592098</v>
      </c>
      <c r="H43" s="1598">
        <f t="shared" si="9"/>
        <v>119317</v>
      </c>
      <c r="I43" s="1599">
        <f t="shared" si="9"/>
        <v>196788</v>
      </c>
      <c r="J43" s="1599">
        <f t="shared" si="9"/>
        <v>0</v>
      </c>
      <c r="K43" s="1599">
        <f t="shared" si="9"/>
        <v>0</v>
      </c>
      <c r="L43" s="1600">
        <f t="shared" si="9"/>
        <v>0</v>
      </c>
      <c r="M43" s="1601">
        <f t="shared" si="9"/>
        <v>18152</v>
      </c>
      <c r="N43" s="1599">
        <f t="shared" si="9"/>
        <v>914</v>
      </c>
      <c r="O43" s="1599">
        <f t="shared" si="9"/>
        <v>1200</v>
      </c>
      <c r="P43" s="1599">
        <f t="shared" si="9"/>
        <v>0</v>
      </c>
      <c r="Q43" s="1601">
        <f t="shared" si="9"/>
        <v>0</v>
      </c>
      <c r="R43" s="1602">
        <f t="shared" si="9"/>
        <v>0</v>
      </c>
    </row>
    <row r="44" spans="1:18" ht="10.5" thickBot="1">
      <c r="A44" s="1835"/>
      <c r="B44" s="1839"/>
      <c r="C44" s="1818"/>
      <c r="D44" s="1667" t="s">
        <v>981</v>
      </c>
      <c r="E44" s="1603">
        <f t="shared" si="8"/>
        <v>898229</v>
      </c>
      <c r="F44" s="1604">
        <f>F8+F11+F14+F17+F20+F23+F26+F29+F32+F35+F38+F41</f>
        <v>898229</v>
      </c>
      <c r="G44" s="1605">
        <f>G8+G11+G14+G17+G20+G23+G26+G29+G32+G35+G38+G41</f>
        <v>591949</v>
      </c>
      <c r="H44" s="1606">
        <f t="shared" ref="H44:R44" si="10">H8+H11+H14+H17+H20+H23+H26+H29+H32+H35+H38+H41</f>
        <v>119245</v>
      </c>
      <c r="I44" s="1607">
        <f t="shared" si="10"/>
        <v>166769</v>
      </c>
      <c r="J44" s="1607">
        <f t="shared" si="10"/>
        <v>0</v>
      </c>
      <c r="K44" s="1607">
        <f t="shared" si="10"/>
        <v>0</v>
      </c>
      <c r="L44" s="1608">
        <f t="shared" si="10"/>
        <v>0</v>
      </c>
      <c r="M44" s="1609">
        <f t="shared" si="10"/>
        <v>18152</v>
      </c>
      <c r="N44" s="1607">
        <f t="shared" si="10"/>
        <v>914</v>
      </c>
      <c r="O44" s="1607">
        <f t="shared" si="10"/>
        <v>1200</v>
      </c>
      <c r="P44" s="1607">
        <f t="shared" si="10"/>
        <v>0</v>
      </c>
      <c r="Q44" s="1609">
        <f t="shared" si="10"/>
        <v>0</v>
      </c>
      <c r="R44" s="1610">
        <f t="shared" si="10"/>
        <v>0</v>
      </c>
    </row>
    <row r="45" spans="1:18" ht="18" customHeight="1">
      <c r="A45" s="1840" t="s">
        <v>127</v>
      </c>
      <c r="B45" s="1841"/>
      <c r="C45" s="1841"/>
      <c r="D45" s="1841"/>
      <c r="E45" s="1841"/>
      <c r="F45" s="1841"/>
      <c r="G45" s="1841"/>
      <c r="H45" s="1841"/>
      <c r="I45" s="1841"/>
      <c r="J45" s="1841"/>
      <c r="K45" s="1841"/>
      <c r="L45" s="1841"/>
      <c r="M45" s="1841"/>
      <c r="N45" s="1841"/>
      <c r="O45" s="1841"/>
      <c r="P45" s="1841"/>
      <c r="Q45" s="1841"/>
      <c r="R45" s="1842"/>
    </row>
    <row r="46" spans="1:18" ht="9.75">
      <c r="A46" s="1820" t="s">
        <v>106</v>
      </c>
      <c r="B46" s="1565" t="s">
        <v>943</v>
      </c>
      <c r="C46" s="1823" t="s">
        <v>127</v>
      </c>
      <c r="D46" s="1664" t="s">
        <v>3</v>
      </c>
      <c r="E46" s="1566">
        <v>36572</v>
      </c>
      <c r="F46" s="1567">
        <f>SUM(G46:R46)</f>
        <v>36572</v>
      </c>
      <c r="G46" s="1568">
        <v>29560</v>
      </c>
      <c r="H46" s="1569">
        <v>5685</v>
      </c>
      <c r="I46" s="1569">
        <v>1327</v>
      </c>
      <c r="J46" s="1569">
        <v>0</v>
      </c>
      <c r="K46" s="1569">
        <v>0</v>
      </c>
      <c r="L46" s="1570">
        <v>0</v>
      </c>
      <c r="M46" s="1568">
        <v>0</v>
      </c>
      <c r="N46" s="1569">
        <v>0</v>
      </c>
      <c r="O46" s="1569">
        <v>0</v>
      </c>
      <c r="P46" s="1570">
        <v>0</v>
      </c>
      <c r="Q46" s="1568">
        <v>0</v>
      </c>
      <c r="R46" s="1571">
        <v>0</v>
      </c>
    </row>
    <row r="47" spans="1:18" ht="9.75">
      <c r="A47" s="1820"/>
      <c r="B47" s="1579" t="s">
        <v>943</v>
      </c>
      <c r="C47" s="1823"/>
      <c r="D47" s="1662" t="s">
        <v>882</v>
      </c>
      <c r="E47" s="1553">
        <v>36578</v>
      </c>
      <c r="F47" s="1554">
        <f>SUM(G47:R47)</f>
        <v>36578</v>
      </c>
      <c r="G47" s="1555">
        <v>29565</v>
      </c>
      <c r="H47" s="1556">
        <v>5686</v>
      </c>
      <c r="I47" s="1556">
        <v>1327</v>
      </c>
      <c r="J47" s="1556">
        <v>0</v>
      </c>
      <c r="K47" s="1556">
        <v>0</v>
      </c>
      <c r="L47" s="1557">
        <v>0</v>
      </c>
      <c r="M47" s="1555">
        <v>0</v>
      </c>
      <c r="N47" s="1556">
        <v>0</v>
      </c>
      <c r="O47" s="1556">
        <v>0</v>
      </c>
      <c r="P47" s="1557">
        <v>0</v>
      </c>
      <c r="Q47" s="1555">
        <v>0</v>
      </c>
      <c r="R47" s="1558">
        <v>0</v>
      </c>
    </row>
    <row r="48" spans="1:18" ht="10.5" thickBot="1">
      <c r="A48" s="1843"/>
      <c r="B48" s="1580" t="s">
        <v>943</v>
      </c>
      <c r="C48" s="1844"/>
      <c r="D48" s="1663" t="s">
        <v>981</v>
      </c>
      <c r="E48" s="1559">
        <f>36578+112+1604</f>
        <v>38294</v>
      </c>
      <c r="F48" s="1560">
        <f>SUM(G48:R48)</f>
        <v>38294</v>
      </c>
      <c r="G48" s="1561">
        <f>29565+94+1060</f>
        <v>30719</v>
      </c>
      <c r="H48" s="1562">
        <f>5686+18+494</f>
        <v>6198</v>
      </c>
      <c r="I48" s="1562">
        <f>1327+50</f>
        <v>1377</v>
      </c>
      <c r="J48" s="1562">
        <v>0</v>
      </c>
      <c r="K48" s="1562">
        <v>0</v>
      </c>
      <c r="L48" s="1563">
        <v>0</v>
      </c>
      <c r="M48" s="1561">
        <v>0</v>
      </c>
      <c r="N48" s="1562">
        <v>0</v>
      </c>
      <c r="O48" s="1562">
        <v>0</v>
      </c>
      <c r="P48" s="1563">
        <v>0</v>
      </c>
      <c r="Q48" s="1561">
        <v>0</v>
      </c>
      <c r="R48" s="1564">
        <v>0</v>
      </c>
    </row>
    <row r="49" spans="1:18" ht="10.5" thickTop="1">
      <c r="A49" s="1819" t="s">
        <v>106</v>
      </c>
      <c r="B49" s="1565" t="s">
        <v>1052</v>
      </c>
      <c r="C49" s="1822" t="s">
        <v>1051</v>
      </c>
      <c r="D49" s="1664" t="s">
        <v>3</v>
      </c>
      <c r="E49" s="1566">
        <v>0</v>
      </c>
      <c r="F49" s="1567">
        <f t="shared" ref="F49:F51" si="11">SUM(G49:R49)</f>
        <v>0</v>
      </c>
      <c r="G49" s="1568">
        <v>0</v>
      </c>
      <c r="H49" s="1569">
        <v>0</v>
      </c>
      <c r="I49" s="1569">
        <v>0</v>
      </c>
      <c r="J49" s="1569">
        <v>0</v>
      </c>
      <c r="K49" s="1569">
        <v>0</v>
      </c>
      <c r="L49" s="1570">
        <v>0</v>
      </c>
      <c r="M49" s="1568">
        <v>0</v>
      </c>
      <c r="N49" s="1569">
        <v>0</v>
      </c>
      <c r="O49" s="1569">
        <v>0</v>
      </c>
      <c r="P49" s="1570">
        <v>0</v>
      </c>
      <c r="Q49" s="1568">
        <v>0</v>
      </c>
      <c r="R49" s="1571">
        <v>0</v>
      </c>
    </row>
    <row r="50" spans="1:18" ht="9.75">
      <c r="A50" s="1820"/>
      <c r="B50" s="1579" t="s">
        <v>1052</v>
      </c>
      <c r="C50" s="1823"/>
      <c r="D50" s="1662" t="s">
        <v>883</v>
      </c>
      <c r="E50" s="1553">
        <v>0</v>
      </c>
      <c r="F50" s="1554">
        <f t="shared" si="11"/>
        <v>0</v>
      </c>
      <c r="G50" s="1568">
        <v>0</v>
      </c>
      <c r="H50" s="1569">
        <v>0</v>
      </c>
      <c r="I50" s="1569">
        <v>0</v>
      </c>
      <c r="J50" s="1569">
        <v>0</v>
      </c>
      <c r="K50" s="1569">
        <v>0</v>
      </c>
      <c r="L50" s="1570">
        <v>0</v>
      </c>
      <c r="M50" s="1568">
        <v>0</v>
      </c>
      <c r="N50" s="1569">
        <v>0</v>
      </c>
      <c r="O50" s="1569">
        <v>0</v>
      </c>
      <c r="P50" s="1570">
        <v>0</v>
      </c>
      <c r="Q50" s="1568">
        <v>0</v>
      </c>
      <c r="R50" s="1571">
        <v>0</v>
      </c>
    </row>
    <row r="51" spans="1:18" ht="10.5" thickBot="1">
      <c r="A51" s="1821"/>
      <c r="B51" s="1580" t="s">
        <v>1052</v>
      </c>
      <c r="C51" s="1824"/>
      <c r="D51" s="1663" t="s">
        <v>981</v>
      </c>
      <c r="E51" s="1559">
        <v>398</v>
      </c>
      <c r="F51" s="1560">
        <f t="shared" si="11"/>
        <v>398</v>
      </c>
      <c r="G51" s="1561">
        <v>328</v>
      </c>
      <c r="H51" s="1562">
        <v>67</v>
      </c>
      <c r="I51" s="1562">
        <v>3</v>
      </c>
      <c r="J51" s="1562">
        <v>0</v>
      </c>
      <c r="K51" s="1562">
        <v>0</v>
      </c>
      <c r="L51" s="1563">
        <v>0</v>
      </c>
      <c r="M51" s="1561">
        <v>0</v>
      </c>
      <c r="N51" s="1562">
        <v>0</v>
      </c>
      <c r="O51" s="1562">
        <v>0</v>
      </c>
      <c r="P51" s="1563">
        <v>0</v>
      </c>
      <c r="Q51" s="1561">
        <v>0</v>
      </c>
      <c r="R51" s="1564">
        <v>0</v>
      </c>
    </row>
    <row r="52" spans="1:18" ht="10.5" thickTop="1">
      <c r="A52" s="1825"/>
      <c r="B52" s="1848" t="s">
        <v>1053</v>
      </c>
      <c r="C52" s="1829"/>
      <c r="D52" s="1668" t="s">
        <v>3</v>
      </c>
      <c r="E52" s="1566">
        <f>E46+E49</f>
        <v>36572</v>
      </c>
      <c r="F52" s="1566">
        <f t="shared" ref="F52:R54" si="12">F46+F49</f>
        <v>36572</v>
      </c>
      <c r="G52" s="1611">
        <f t="shared" si="12"/>
        <v>29560</v>
      </c>
      <c r="H52" s="1612">
        <f t="shared" si="12"/>
        <v>5685</v>
      </c>
      <c r="I52" s="1612">
        <f t="shared" si="12"/>
        <v>1327</v>
      </c>
      <c r="J52" s="1612">
        <f t="shared" si="12"/>
        <v>0</v>
      </c>
      <c r="K52" s="1612">
        <f t="shared" si="12"/>
        <v>0</v>
      </c>
      <c r="L52" s="1613">
        <f t="shared" si="12"/>
        <v>0</v>
      </c>
      <c r="M52" s="1611">
        <f t="shared" si="12"/>
        <v>0</v>
      </c>
      <c r="N52" s="1612">
        <f t="shared" si="12"/>
        <v>0</v>
      </c>
      <c r="O52" s="1612">
        <f t="shared" si="12"/>
        <v>0</v>
      </c>
      <c r="P52" s="1613">
        <f t="shared" si="12"/>
        <v>0</v>
      </c>
      <c r="Q52" s="1611">
        <f t="shared" si="12"/>
        <v>0</v>
      </c>
      <c r="R52" s="1613">
        <f t="shared" si="12"/>
        <v>0</v>
      </c>
    </row>
    <row r="53" spans="1:18" ht="9.75">
      <c r="A53" s="1826"/>
      <c r="B53" s="1828"/>
      <c r="C53" s="1830"/>
      <c r="D53" s="1662" t="s">
        <v>882</v>
      </c>
      <c r="E53" s="1553">
        <f>E47+E50</f>
        <v>36578</v>
      </c>
      <c r="F53" s="1553">
        <f t="shared" si="12"/>
        <v>36578</v>
      </c>
      <c r="G53" s="1614">
        <f t="shared" si="12"/>
        <v>29565</v>
      </c>
      <c r="H53" s="1615">
        <f t="shared" si="12"/>
        <v>5686</v>
      </c>
      <c r="I53" s="1615">
        <f t="shared" si="12"/>
        <v>1327</v>
      </c>
      <c r="J53" s="1615">
        <f t="shared" si="12"/>
        <v>0</v>
      </c>
      <c r="K53" s="1615">
        <f t="shared" si="12"/>
        <v>0</v>
      </c>
      <c r="L53" s="1616">
        <f t="shared" si="12"/>
        <v>0</v>
      </c>
      <c r="M53" s="1614">
        <f t="shared" si="12"/>
        <v>0</v>
      </c>
      <c r="N53" s="1615">
        <f t="shared" si="12"/>
        <v>0</v>
      </c>
      <c r="O53" s="1615">
        <f t="shared" si="12"/>
        <v>0</v>
      </c>
      <c r="P53" s="1616">
        <f t="shared" si="12"/>
        <v>0</v>
      </c>
      <c r="Q53" s="1614">
        <f t="shared" si="12"/>
        <v>0</v>
      </c>
      <c r="R53" s="1616">
        <f t="shared" si="12"/>
        <v>0</v>
      </c>
    </row>
    <row r="54" spans="1:18" ht="10.5" thickBot="1">
      <c r="A54" s="1827"/>
      <c r="B54" s="1831"/>
      <c r="C54" s="1832"/>
      <c r="D54" s="1667" t="s">
        <v>981</v>
      </c>
      <c r="E54" s="1617">
        <f>E48+E51</f>
        <v>38692</v>
      </c>
      <c r="F54" s="1617">
        <f t="shared" si="12"/>
        <v>38692</v>
      </c>
      <c r="G54" s="1618">
        <f t="shared" si="12"/>
        <v>31047</v>
      </c>
      <c r="H54" s="1619">
        <f t="shared" si="12"/>
        <v>6265</v>
      </c>
      <c r="I54" s="1619">
        <f t="shared" si="12"/>
        <v>1380</v>
      </c>
      <c r="J54" s="1619">
        <f t="shared" si="12"/>
        <v>0</v>
      </c>
      <c r="K54" s="1619">
        <f t="shared" si="12"/>
        <v>0</v>
      </c>
      <c r="L54" s="1620">
        <f t="shared" si="12"/>
        <v>0</v>
      </c>
      <c r="M54" s="1618">
        <f t="shared" si="12"/>
        <v>0</v>
      </c>
      <c r="N54" s="1619">
        <f t="shared" si="12"/>
        <v>0</v>
      </c>
      <c r="O54" s="1619">
        <f t="shared" si="12"/>
        <v>0</v>
      </c>
      <c r="P54" s="1620">
        <f t="shared" si="12"/>
        <v>0</v>
      </c>
      <c r="Q54" s="1618">
        <f t="shared" si="12"/>
        <v>0</v>
      </c>
      <c r="R54" s="1620">
        <f t="shared" si="12"/>
        <v>0</v>
      </c>
    </row>
    <row r="55" spans="1:18" ht="16.5" customHeight="1">
      <c r="A55" s="1840" t="s">
        <v>128</v>
      </c>
      <c r="B55" s="1841"/>
      <c r="C55" s="1841"/>
      <c r="D55" s="1841"/>
      <c r="E55" s="1841"/>
      <c r="F55" s="1841"/>
      <c r="G55" s="1849"/>
      <c r="H55" s="1849"/>
      <c r="I55" s="1849"/>
      <c r="J55" s="1849"/>
      <c r="K55" s="1849"/>
      <c r="L55" s="1849"/>
      <c r="M55" s="1849"/>
      <c r="N55" s="1849"/>
      <c r="O55" s="1849"/>
      <c r="P55" s="1849"/>
      <c r="Q55" s="1849"/>
      <c r="R55" s="1850"/>
    </row>
    <row r="56" spans="1:18" ht="9.75">
      <c r="A56" s="1851" t="s">
        <v>106</v>
      </c>
      <c r="B56" s="1579" t="s">
        <v>1054</v>
      </c>
      <c r="C56" s="1847" t="s">
        <v>128</v>
      </c>
      <c r="D56" s="1662" t="s">
        <v>3</v>
      </c>
      <c r="E56" s="1553">
        <v>35229</v>
      </c>
      <c r="F56" s="1554">
        <v>35229</v>
      </c>
      <c r="G56" s="1555">
        <v>26686</v>
      </c>
      <c r="H56" s="1556">
        <v>5590</v>
      </c>
      <c r="I56" s="1556">
        <v>2753</v>
      </c>
      <c r="J56" s="1556">
        <v>0</v>
      </c>
      <c r="K56" s="1556">
        <v>0</v>
      </c>
      <c r="L56" s="1557">
        <v>0</v>
      </c>
      <c r="M56" s="1555">
        <v>200</v>
      </c>
      <c r="N56" s="1556">
        <v>0</v>
      </c>
      <c r="O56" s="1556">
        <v>0</v>
      </c>
      <c r="P56" s="1557">
        <v>0</v>
      </c>
      <c r="Q56" s="1555">
        <v>0</v>
      </c>
      <c r="R56" s="1558">
        <v>0</v>
      </c>
    </row>
    <row r="57" spans="1:18" ht="9.75">
      <c r="A57" s="1820"/>
      <c r="B57" s="1579" t="s">
        <v>457</v>
      </c>
      <c r="C57" s="1823"/>
      <c r="D57" s="1662" t="s">
        <v>882</v>
      </c>
      <c r="E57" s="1553">
        <v>35229</v>
      </c>
      <c r="F57" s="1554">
        <f>SUM(G57:R57)</f>
        <v>35229</v>
      </c>
      <c r="G57" s="1555">
        <v>26686</v>
      </c>
      <c r="H57" s="1556">
        <v>5590</v>
      </c>
      <c r="I57" s="1556">
        <v>2753</v>
      </c>
      <c r="J57" s="1556">
        <v>0</v>
      </c>
      <c r="K57" s="1556">
        <v>0</v>
      </c>
      <c r="L57" s="1557">
        <v>0</v>
      </c>
      <c r="M57" s="1555">
        <v>200</v>
      </c>
      <c r="N57" s="1556">
        <v>0</v>
      </c>
      <c r="O57" s="1556">
        <v>0</v>
      </c>
      <c r="P57" s="1557">
        <v>0</v>
      </c>
      <c r="Q57" s="1555">
        <v>0</v>
      </c>
      <c r="R57" s="1558">
        <v>0</v>
      </c>
    </row>
    <row r="58" spans="1:18" ht="10.5" thickBot="1">
      <c r="A58" s="1843"/>
      <c r="B58" s="1580" t="s">
        <v>457</v>
      </c>
      <c r="C58" s="1844"/>
      <c r="D58" s="1667" t="s">
        <v>981</v>
      </c>
      <c r="E58" s="1617">
        <f>35229+1301</f>
        <v>36530</v>
      </c>
      <c r="F58" s="1604">
        <f>SUM(G58:R58)</f>
        <v>36530</v>
      </c>
      <c r="G58" s="1561">
        <f>26686+1093</f>
        <v>27779</v>
      </c>
      <c r="H58" s="1562">
        <f>5590+208</f>
        <v>5798</v>
      </c>
      <c r="I58" s="1562">
        <v>2753</v>
      </c>
      <c r="J58" s="1562">
        <v>0</v>
      </c>
      <c r="K58" s="1562">
        <v>0</v>
      </c>
      <c r="L58" s="1563">
        <v>0</v>
      </c>
      <c r="M58" s="1561">
        <v>200</v>
      </c>
      <c r="N58" s="1562">
        <v>0</v>
      </c>
      <c r="O58" s="1562">
        <v>0</v>
      </c>
      <c r="P58" s="1563">
        <v>0</v>
      </c>
      <c r="Q58" s="1561">
        <v>0</v>
      </c>
      <c r="R58" s="1564">
        <v>0</v>
      </c>
    </row>
    <row r="59" spans="1:18" ht="10.5" thickTop="1">
      <c r="A59" s="1819" t="s">
        <v>106</v>
      </c>
      <c r="B59" s="1565" t="s">
        <v>1055</v>
      </c>
      <c r="C59" s="1822" t="s">
        <v>1051</v>
      </c>
      <c r="D59" s="1665" t="s">
        <v>3</v>
      </c>
      <c r="E59" s="1573">
        <v>0</v>
      </c>
      <c r="F59" s="1574">
        <f t="shared" ref="F59:F61" si="13">SUM(G59:R59)</f>
        <v>0</v>
      </c>
      <c r="G59" s="1568">
        <v>0</v>
      </c>
      <c r="H59" s="1569">
        <v>0</v>
      </c>
      <c r="I59" s="1569">
        <v>0</v>
      </c>
      <c r="J59" s="1569">
        <v>0</v>
      </c>
      <c r="K59" s="1569">
        <v>0</v>
      </c>
      <c r="L59" s="1570">
        <v>0</v>
      </c>
      <c r="M59" s="1568">
        <v>0</v>
      </c>
      <c r="N59" s="1569">
        <v>0</v>
      </c>
      <c r="O59" s="1569">
        <v>0</v>
      </c>
      <c r="P59" s="1570">
        <v>0</v>
      </c>
      <c r="Q59" s="1568">
        <v>0</v>
      </c>
      <c r="R59" s="1571">
        <v>0</v>
      </c>
    </row>
    <row r="60" spans="1:18" ht="9.75">
      <c r="A60" s="1820"/>
      <c r="B60" s="1579" t="s">
        <v>1055</v>
      </c>
      <c r="C60" s="1823"/>
      <c r="D60" s="1662" t="s">
        <v>883</v>
      </c>
      <c r="E60" s="1553">
        <v>0</v>
      </c>
      <c r="F60" s="1554">
        <f t="shared" si="13"/>
        <v>0</v>
      </c>
      <c r="G60" s="1568">
        <v>0</v>
      </c>
      <c r="H60" s="1569">
        <v>0</v>
      </c>
      <c r="I60" s="1569">
        <v>0</v>
      </c>
      <c r="J60" s="1569">
        <v>0</v>
      </c>
      <c r="K60" s="1569">
        <v>0</v>
      </c>
      <c r="L60" s="1570">
        <v>0</v>
      </c>
      <c r="M60" s="1568">
        <v>0</v>
      </c>
      <c r="N60" s="1569">
        <v>0</v>
      </c>
      <c r="O60" s="1569">
        <v>0</v>
      </c>
      <c r="P60" s="1570">
        <v>0</v>
      </c>
      <c r="Q60" s="1568">
        <v>0</v>
      </c>
      <c r="R60" s="1571">
        <v>0</v>
      </c>
    </row>
    <row r="61" spans="1:18" ht="10.5" thickBot="1">
      <c r="A61" s="1821"/>
      <c r="B61" s="1580" t="s">
        <v>1055</v>
      </c>
      <c r="C61" s="1824"/>
      <c r="D61" s="1663" t="s">
        <v>981</v>
      </c>
      <c r="E61" s="1559">
        <v>443</v>
      </c>
      <c r="F61" s="1560">
        <f t="shared" si="13"/>
        <v>443</v>
      </c>
      <c r="G61" s="1587">
        <v>348</v>
      </c>
      <c r="H61" s="1588">
        <v>77</v>
      </c>
      <c r="I61" s="1588">
        <v>18</v>
      </c>
      <c r="J61" s="1588">
        <v>0</v>
      </c>
      <c r="K61" s="1588">
        <v>0</v>
      </c>
      <c r="L61" s="1589">
        <v>0</v>
      </c>
      <c r="M61" s="1587">
        <v>0</v>
      </c>
      <c r="N61" s="1588">
        <v>0</v>
      </c>
      <c r="O61" s="1588">
        <v>0</v>
      </c>
      <c r="P61" s="1589">
        <v>0</v>
      </c>
      <c r="Q61" s="1587">
        <v>0</v>
      </c>
      <c r="R61" s="1590">
        <v>0</v>
      </c>
    </row>
    <row r="62" spans="1:18" ht="10.5" thickTop="1">
      <c r="A62" s="1825"/>
      <c r="B62" s="1828" t="s">
        <v>1056</v>
      </c>
      <c r="C62" s="1829"/>
      <c r="D62" s="1668" t="s">
        <v>3</v>
      </c>
      <c r="E62" s="1573">
        <f>E56+E59</f>
        <v>35229</v>
      </c>
      <c r="F62" s="1574">
        <f t="shared" ref="F62:R64" si="14">F56+F59</f>
        <v>35229</v>
      </c>
      <c r="G62" s="1575">
        <f t="shared" si="14"/>
        <v>26686</v>
      </c>
      <c r="H62" s="1576">
        <f t="shared" si="14"/>
        <v>5590</v>
      </c>
      <c r="I62" s="1576">
        <f t="shared" si="14"/>
        <v>2753</v>
      </c>
      <c r="J62" s="1576">
        <f t="shared" si="14"/>
        <v>0</v>
      </c>
      <c r="K62" s="1576">
        <f t="shared" si="14"/>
        <v>0</v>
      </c>
      <c r="L62" s="1577">
        <f t="shared" si="14"/>
        <v>0</v>
      </c>
      <c r="M62" s="1621">
        <f t="shared" si="14"/>
        <v>200</v>
      </c>
      <c r="N62" s="1576">
        <f t="shared" si="14"/>
        <v>0</v>
      </c>
      <c r="O62" s="1576">
        <f t="shared" si="14"/>
        <v>0</v>
      </c>
      <c r="P62" s="1622">
        <f t="shared" si="14"/>
        <v>0</v>
      </c>
      <c r="Q62" s="1575">
        <f t="shared" si="14"/>
        <v>0</v>
      </c>
      <c r="R62" s="1578">
        <f t="shared" si="14"/>
        <v>0</v>
      </c>
    </row>
    <row r="63" spans="1:18" ht="9.75">
      <c r="A63" s="1826"/>
      <c r="B63" s="1828"/>
      <c r="C63" s="1830"/>
      <c r="D63" s="1662" t="s">
        <v>882</v>
      </c>
      <c r="E63" s="1553">
        <f>E57+E60</f>
        <v>35229</v>
      </c>
      <c r="F63" s="1554">
        <f t="shared" si="14"/>
        <v>35229</v>
      </c>
      <c r="G63" s="1555">
        <f t="shared" si="14"/>
        <v>26686</v>
      </c>
      <c r="H63" s="1556">
        <f t="shared" si="14"/>
        <v>5590</v>
      </c>
      <c r="I63" s="1556">
        <f t="shared" si="14"/>
        <v>2753</v>
      </c>
      <c r="J63" s="1556">
        <f t="shared" si="14"/>
        <v>0</v>
      </c>
      <c r="K63" s="1556">
        <f t="shared" si="14"/>
        <v>0</v>
      </c>
      <c r="L63" s="1557">
        <f t="shared" si="14"/>
        <v>0</v>
      </c>
      <c r="M63" s="1623">
        <f t="shared" si="14"/>
        <v>200</v>
      </c>
      <c r="N63" s="1556">
        <f t="shared" si="14"/>
        <v>0</v>
      </c>
      <c r="O63" s="1556">
        <f t="shared" si="14"/>
        <v>0</v>
      </c>
      <c r="P63" s="1624">
        <f t="shared" si="14"/>
        <v>0</v>
      </c>
      <c r="Q63" s="1555">
        <f t="shared" si="14"/>
        <v>0</v>
      </c>
      <c r="R63" s="1558">
        <f t="shared" si="14"/>
        <v>0</v>
      </c>
    </row>
    <row r="64" spans="1:18" ht="10.5" thickBot="1">
      <c r="A64" s="1827"/>
      <c r="B64" s="1831"/>
      <c r="C64" s="1832"/>
      <c r="D64" s="1667" t="s">
        <v>981</v>
      </c>
      <c r="E64" s="1617">
        <f>E58+E61</f>
        <v>36973</v>
      </c>
      <c r="F64" s="1604">
        <f t="shared" si="14"/>
        <v>36973</v>
      </c>
      <c r="G64" s="1625">
        <f t="shared" si="14"/>
        <v>28127</v>
      </c>
      <c r="H64" s="1626">
        <f t="shared" si="14"/>
        <v>5875</v>
      </c>
      <c r="I64" s="1626">
        <f t="shared" si="14"/>
        <v>2771</v>
      </c>
      <c r="J64" s="1626">
        <f t="shared" si="14"/>
        <v>0</v>
      </c>
      <c r="K64" s="1626">
        <f t="shared" si="14"/>
        <v>0</v>
      </c>
      <c r="L64" s="1627">
        <f t="shared" si="14"/>
        <v>0</v>
      </c>
      <c r="M64" s="1628">
        <f t="shared" si="14"/>
        <v>200</v>
      </c>
      <c r="N64" s="1626">
        <f t="shared" si="14"/>
        <v>0</v>
      </c>
      <c r="O64" s="1626">
        <f t="shared" si="14"/>
        <v>0</v>
      </c>
      <c r="P64" s="1629">
        <f t="shared" si="14"/>
        <v>0</v>
      </c>
      <c r="Q64" s="1625">
        <f t="shared" si="14"/>
        <v>0</v>
      </c>
      <c r="R64" s="1630">
        <f t="shared" si="14"/>
        <v>0</v>
      </c>
    </row>
    <row r="65" spans="1:18" ht="18.75" customHeight="1">
      <c r="A65" s="1840" t="s">
        <v>129</v>
      </c>
      <c r="B65" s="1841"/>
      <c r="C65" s="1841"/>
      <c r="D65" s="1841"/>
      <c r="E65" s="1841"/>
      <c r="F65" s="1841"/>
      <c r="G65" s="1841"/>
      <c r="H65" s="1841"/>
      <c r="I65" s="1841"/>
      <c r="J65" s="1841"/>
      <c r="K65" s="1841"/>
      <c r="L65" s="1841"/>
      <c r="M65" s="1841"/>
      <c r="N65" s="1841"/>
      <c r="O65" s="1841"/>
      <c r="P65" s="1841"/>
      <c r="Q65" s="1841"/>
      <c r="R65" s="1842"/>
    </row>
    <row r="66" spans="1:18" ht="9.75">
      <c r="A66" s="1851" t="s">
        <v>106</v>
      </c>
      <c r="B66" s="1579" t="s">
        <v>455</v>
      </c>
      <c r="C66" s="1847" t="s">
        <v>129</v>
      </c>
      <c r="D66" s="1662" t="s">
        <v>3</v>
      </c>
      <c r="E66" s="1553">
        <v>18597</v>
      </c>
      <c r="F66" s="1554">
        <v>18597</v>
      </c>
      <c r="G66" s="1555">
        <v>14271</v>
      </c>
      <c r="H66" s="1556">
        <v>2797</v>
      </c>
      <c r="I66" s="1556">
        <v>1529</v>
      </c>
      <c r="J66" s="1556">
        <v>0</v>
      </c>
      <c r="K66" s="1556">
        <v>0</v>
      </c>
      <c r="L66" s="1557">
        <v>0</v>
      </c>
      <c r="M66" s="1555">
        <v>0</v>
      </c>
      <c r="N66" s="1556">
        <v>0</v>
      </c>
      <c r="O66" s="1556">
        <v>0</v>
      </c>
      <c r="P66" s="1557">
        <v>0</v>
      </c>
      <c r="Q66" s="1555">
        <v>0</v>
      </c>
      <c r="R66" s="1558">
        <v>0</v>
      </c>
    </row>
    <row r="67" spans="1:18" ht="9.75">
      <c r="A67" s="1820"/>
      <c r="B67" s="1579" t="s">
        <v>455</v>
      </c>
      <c r="C67" s="1823"/>
      <c r="D67" s="1662" t="s">
        <v>882</v>
      </c>
      <c r="E67" s="1553">
        <v>18617</v>
      </c>
      <c r="F67" s="1554">
        <f>SUM(G67:R67)</f>
        <v>18617</v>
      </c>
      <c r="G67" s="1555">
        <v>14288</v>
      </c>
      <c r="H67" s="1556">
        <v>2800</v>
      </c>
      <c r="I67" s="1556">
        <v>1529</v>
      </c>
      <c r="J67" s="1556">
        <v>0</v>
      </c>
      <c r="K67" s="1556">
        <v>0</v>
      </c>
      <c r="L67" s="1557">
        <v>0</v>
      </c>
      <c r="M67" s="1555">
        <v>0</v>
      </c>
      <c r="N67" s="1556">
        <v>0</v>
      </c>
      <c r="O67" s="1556">
        <v>0</v>
      </c>
      <c r="P67" s="1557">
        <v>0</v>
      </c>
      <c r="Q67" s="1555">
        <v>0</v>
      </c>
      <c r="R67" s="1558">
        <v>0</v>
      </c>
    </row>
    <row r="68" spans="1:18" ht="10.5" thickBot="1">
      <c r="A68" s="1843"/>
      <c r="B68" s="1580" t="s">
        <v>455</v>
      </c>
      <c r="C68" s="1844"/>
      <c r="D68" s="1667" t="s">
        <v>981</v>
      </c>
      <c r="E68" s="1617">
        <f>18617+420+14</f>
        <v>19051</v>
      </c>
      <c r="F68" s="1604">
        <f>SUM(G68:R68)</f>
        <v>19051</v>
      </c>
      <c r="G68" s="1561">
        <f>14288+353+12</f>
        <v>14653</v>
      </c>
      <c r="H68" s="1562">
        <f>2800+67+2</f>
        <v>2869</v>
      </c>
      <c r="I68" s="1562">
        <v>1529</v>
      </c>
      <c r="J68" s="1562">
        <v>0</v>
      </c>
      <c r="K68" s="1562">
        <v>0</v>
      </c>
      <c r="L68" s="1563">
        <v>0</v>
      </c>
      <c r="M68" s="1561">
        <v>0</v>
      </c>
      <c r="N68" s="1562">
        <v>0</v>
      </c>
      <c r="O68" s="1562">
        <v>0</v>
      </c>
      <c r="P68" s="1563">
        <v>0</v>
      </c>
      <c r="Q68" s="1561">
        <v>0</v>
      </c>
      <c r="R68" s="1564">
        <v>0</v>
      </c>
    </row>
    <row r="69" spans="1:18" ht="10.5" thickTop="1">
      <c r="A69" s="1819" t="s">
        <v>106</v>
      </c>
      <c r="B69" s="1565" t="s">
        <v>1057</v>
      </c>
      <c r="C69" s="1822" t="s">
        <v>1051</v>
      </c>
      <c r="D69" s="1665" t="s">
        <v>3</v>
      </c>
      <c r="E69" s="1573">
        <v>0</v>
      </c>
      <c r="F69" s="1574">
        <f t="shared" ref="F69:F71" si="15">SUM(G69:R69)</f>
        <v>0</v>
      </c>
      <c r="G69" s="1568">
        <v>0</v>
      </c>
      <c r="H69" s="1569">
        <v>0</v>
      </c>
      <c r="I69" s="1569">
        <v>0</v>
      </c>
      <c r="J69" s="1569">
        <v>0</v>
      </c>
      <c r="K69" s="1569">
        <v>0</v>
      </c>
      <c r="L69" s="1570">
        <v>0</v>
      </c>
      <c r="M69" s="1568">
        <v>0</v>
      </c>
      <c r="N69" s="1569">
        <v>0</v>
      </c>
      <c r="O69" s="1569">
        <v>0</v>
      </c>
      <c r="P69" s="1570">
        <v>0</v>
      </c>
      <c r="Q69" s="1568">
        <v>0</v>
      </c>
      <c r="R69" s="1571">
        <v>0</v>
      </c>
    </row>
    <row r="70" spans="1:18" ht="9.75">
      <c r="A70" s="1820"/>
      <c r="B70" s="1579" t="s">
        <v>1057</v>
      </c>
      <c r="C70" s="1823"/>
      <c r="D70" s="1662" t="s">
        <v>883</v>
      </c>
      <c r="E70" s="1553">
        <v>0</v>
      </c>
      <c r="F70" s="1554">
        <v>0</v>
      </c>
      <c r="G70" s="1568">
        <v>0</v>
      </c>
      <c r="H70" s="1569">
        <v>0</v>
      </c>
      <c r="I70" s="1569">
        <v>0</v>
      </c>
      <c r="J70" s="1569">
        <v>0</v>
      </c>
      <c r="K70" s="1569">
        <v>0</v>
      </c>
      <c r="L70" s="1570">
        <v>0</v>
      </c>
      <c r="M70" s="1568">
        <v>0</v>
      </c>
      <c r="N70" s="1569">
        <v>0</v>
      </c>
      <c r="O70" s="1569">
        <v>0</v>
      </c>
      <c r="P70" s="1570">
        <v>0</v>
      </c>
      <c r="Q70" s="1568">
        <v>0</v>
      </c>
      <c r="R70" s="1571">
        <v>0</v>
      </c>
    </row>
    <row r="71" spans="1:18" ht="10.5" thickBot="1">
      <c r="A71" s="1821"/>
      <c r="B71" s="1580" t="s">
        <v>1057</v>
      </c>
      <c r="C71" s="1824"/>
      <c r="D71" s="1663" t="s">
        <v>981</v>
      </c>
      <c r="E71" s="1559">
        <v>284</v>
      </c>
      <c r="F71" s="1554">
        <f t="shared" si="15"/>
        <v>284</v>
      </c>
      <c r="G71" s="1587">
        <v>223</v>
      </c>
      <c r="H71" s="1588">
        <v>46</v>
      </c>
      <c r="I71" s="1588">
        <v>15</v>
      </c>
      <c r="J71" s="1588">
        <v>0</v>
      </c>
      <c r="K71" s="1588">
        <v>0</v>
      </c>
      <c r="L71" s="1589">
        <v>0</v>
      </c>
      <c r="M71" s="1587">
        <v>0</v>
      </c>
      <c r="N71" s="1588">
        <v>0</v>
      </c>
      <c r="O71" s="1588">
        <v>0</v>
      </c>
      <c r="P71" s="1589">
        <v>0</v>
      </c>
      <c r="Q71" s="1587">
        <v>0</v>
      </c>
      <c r="R71" s="1590">
        <v>0</v>
      </c>
    </row>
    <row r="72" spans="1:18" ht="10.5" thickTop="1">
      <c r="A72" s="1825"/>
      <c r="B72" s="1828" t="s">
        <v>1058</v>
      </c>
      <c r="C72" s="1829"/>
      <c r="D72" s="1668" t="s">
        <v>3</v>
      </c>
      <c r="E72" s="1573">
        <f>E66+E69</f>
        <v>18597</v>
      </c>
      <c r="F72" s="1574">
        <f t="shared" ref="F72:R74" si="16">F66+F69</f>
        <v>18597</v>
      </c>
      <c r="G72" s="1575">
        <f t="shared" si="16"/>
        <v>14271</v>
      </c>
      <c r="H72" s="1576">
        <f t="shared" si="16"/>
        <v>2797</v>
      </c>
      <c r="I72" s="1576">
        <f t="shared" si="16"/>
        <v>1529</v>
      </c>
      <c r="J72" s="1576">
        <f t="shared" si="16"/>
        <v>0</v>
      </c>
      <c r="K72" s="1576">
        <f t="shared" si="16"/>
        <v>0</v>
      </c>
      <c r="L72" s="1577">
        <f t="shared" si="16"/>
        <v>0</v>
      </c>
      <c r="M72" s="1621">
        <f t="shared" si="16"/>
        <v>0</v>
      </c>
      <c r="N72" s="1576">
        <f t="shared" si="16"/>
        <v>0</v>
      </c>
      <c r="O72" s="1576">
        <f t="shared" si="16"/>
        <v>0</v>
      </c>
      <c r="P72" s="1622">
        <f t="shared" si="16"/>
        <v>0</v>
      </c>
      <c r="Q72" s="1575">
        <f t="shared" si="16"/>
        <v>0</v>
      </c>
      <c r="R72" s="1578">
        <f t="shared" si="16"/>
        <v>0</v>
      </c>
    </row>
    <row r="73" spans="1:18" ht="9.75">
      <c r="A73" s="1826"/>
      <c r="B73" s="1828"/>
      <c r="C73" s="1830"/>
      <c r="D73" s="1662" t="s">
        <v>882</v>
      </c>
      <c r="E73" s="1553">
        <f>E67+E70</f>
        <v>18617</v>
      </c>
      <c r="F73" s="1554">
        <f t="shared" si="16"/>
        <v>18617</v>
      </c>
      <c r="G73" s="1555">
        <f t="shared" si="16"/>
        <v>14288</v>
      </c>
      <c r="H73" s="1556">
        <f t="shared" si="16"/>
        <v>2800</v>
      </c>
      <c r="I73" s="1556">
        <f t="shared" si="16"/>
        <v>1529</v>
      </c>
      <c r="J73" s="1556">
        <f t="shared" si="16"/>
        <v>0</v>
      </c>
      <c r="K73" s="1556">
        <f t="shared" si="16"/>
        <v>0</v>
      </c>
      <c r="L73" s="1557">
        <f t="shared" si="16"/>
        <v>0</v>
      </c>
      <c r="M73" s="1623">
        <f t="shared" si="16"/>
        <v>0</v>
      </c>
      <c r="N73" s="1556">
        <f t="shared" si="16"/>
        <v>0</v>
      </c>
      <c r="O73" s="1556">
        <f t="shared" si="16"/>
        <v>0</v>
      </c>
      <c r="P73" s="1624">
        <f t="shared" si="16"/>
        <v>0</v>
      </c>
      <c r="Q73" s="1555">
        <f t="shared" si="16"/>
        <v>0</v>
      </c>
      <c r="R73" s="1558">
        <f t="shared" si="16"/>
        <v>0</v>
      </c>
    </row>
    <row r="74" spans="1:18" ht="10.5" thickBot="1">
      <c r="A74" s="1827"/>
      <c r="B74" s="1831"/>
      <c r="C74" s="1832"/>
      <c r="D74" s="1667" t="s">
        <v>981</v>
      </c>
      <c r="E74" s="1617">
        <f>E68+E71</f>
        <v>19335</v>
      </c>
      <c r="F74" s="1604">
        <f t="shared" si="16"/>
        <v>19335</v>
      </c>
      <c r="G74" s="1631">
        <f t="shared" si="16"/>
        <v>14876</v>
      </c>
      <c r="H74" s="1632">
        <f t="shared" si="16"/>
        <v>2915</v>
      </c>
      <c r="I74" s="1632">
        <f t="shared" si="16"/>
        <v>1544</v>
      </c>
      <c r="J74" s="1632">
        <f t="shared" si="16"/>
        <v>0</v>
      </c>
      <c r="K74" s="1632">
        <f t="shared" si="16"/>
        <v>0</v>
      </c>
      <c r="L74" s="1633">
        <f t="shared" si="16"/>
        <v>0</v>
      </c>
      <c r="M74" s="1634">
        <f t="shared" si="16"/>
        <v>0</v>
      </c>
      <c r="N74" s="1632">
        <f t="shared" si="16"/>
        <v>0</v>
      </c>
      <c r="O74" s="1632">
        <f t="shared" si="16"/>
        <v>0</v>
      </c>
      <c r="P74" s="1635">
        <f t="shared" si="16"/>
        <v>0</v>
      </c>
      <c r="Q74" s="1631">
        <f t="shared" si="16"/>
        <v>0</v>
      </c>
      <c r="R74" s="1636">
        <f t="shared" si="16"/>
        <v>0</v>
      </c>
    </row>
    <row r="75" spans="1:18" s="1642" customFormat="1" ht="9.75">
      <c r="A75" s="1810" t="s">
        <v>130</v>
      </c>
      <c r="B75" s="1811"/>
      <c r="C75" s="1812"/>
      <c r="D75" s="1661" t="s">
        <v>3</v>
      </c>
      <c r="E75" s="1548">
        <f>E52+E62+E72</f>
        <v>90398</v>
      </c>
      <c r="F75" s="1637">
        <f t="shared" ref="F75:R77" si="17">F52+F62+F72</f>
        <v>90398</v>
      </c>
      <c r="G75" s="1638">
        <f t="shared" si="17"/>
        <v>70517</v>
      </c>
      <c r="H75" s="1639">
        <f t="shared" si="17"/>
        <v>14072</v>
      </c>
      <c r="I75" s="1639">
        <f t="shared" si="17"/>
        <v>5609</v>
      </c>
      <c r="J75" s="1639">
        <f t="shared" si="17"/>
        <v>0</v>
      </c>
      <c r="K75" s="1639">
        <f t="shared" si="17"/>
        <v>0</v>
      </c>
      <c r="L75" s="1640">
        <f t="shared" si="17"/>
        <v>0</v>
      </c>
      <c r="M75" s="1638">
        <f t="shared" si="17"/>
        <v>200</v>
      </c>
      <c r="N75" s="1639">
        <f t="shared" si="17"/>
        <v>0</v>
      </c>
      <c r="O75" s="1639">
        <f t="shared" si="17"/>
        <v>0</v>
      </c>
      <c r="P75" s="1640">
        <f t="shared" si="17"/>
        <v>0</v>
      </c>
      <c r="Q75" s="1638">
        <f t="shared" si="17"/>
        <v>0</v>
      </c>
      <c r="R75" s="1641">
        <f t="shared" si="17"/>
        <v>0</v>
      </c>
    </row>
    <row r="76" spans="1:18" s="1642" customFormat="1" ht="9.75">
      <c r="A76" s="1813"/>
      <c r="B76" s="1814"/>
      <c r="C76" s="1815"/>
      <c r="D76" s="1662" t="s">
        <v>882</v>
      </c>
      <c r="E76" s="1567">
        <f>E53+E63+E73</f>
        <v>90424</v>
      </c>
      <c r="F76" s="1597">
        <f t="shared" si="17"/>
        <v>90424</v>
      </c>
      <c r="G76" s="1643">
        <f t="shared" si="17"/>
        <v>70539</v>
      </c>
      <c r="H76" s="1599">
        <f t="shared" si="17"/>
        <v>14076</v>
      </c>
      <c r="I76" s="1599">
        <f t="shared" si="17"/>
        <v>5609</v>
      </c>
      <c r="J76" s="1599">
        <f t="shared" si="17"/>
        <v>0</v>
      </c>
      <c r="K76" s="1599">
        <f t="shared" si="17"/>
        <v>0</v>
      </c>
      <c r="L76" s="1598">
        <f t="shared" si="17"/>
        <v>0</v>
      </c>
      <c r="M76" s="1643">
        <f t="shared" si="17"/>
        <v>200</v>
      </c>
      <c r="N76" s="1599">
        <f t="shared" si="17"/>
        <v>0</v>
      </c>
      <c r="O76" s="1599">
        <f t="shared" si="17"/>
        <v>0</v>
      </c>
      <c r="P76" s="1598">
        <f t="shared" si="17"/>
        <v>0</v>
      </c>
      <c r="Q76" s="1643">
        <f t="shared" si="17"/>
        <v>0</v>
      </c>
      <c r="R76" s="1600">
        <f t="shared" si="17"/>
        <v>0</v>
      </c>
    </row>
    <row r="77" spans="1:18" s="1642" customFormat="1" ht="10.5" thickBot="1">
      <c r="A77" s="1816"/>
      <c r="B77" s="1817"/>
      <c r="C77" s="1818"/>
      <c r="D77" s="1669" t="s">
        <v>981</v>
      </c>
      <c r="E77" s="1644">
        <f>E54+E64+E74</f>
        <v>95000</v>
      </c>
      <c r="F77" s="1645">
        <f t="shared" si="17"/>
        <v>95000</v>
      </c>
      <c r="G77" s="1646">
        <f t="shared" si="17"/>
        <v>74050</v>
      </c>
      <c r="H77" s="1607">
        <f t="shared" si="17"/>
        <v>15055</v>
      </c>
      <c r="I77" s="1607">
        <f t="shared" si="17"/>
        <v>5695</v>
      </c>
      <c r="J77" s="1607">
        <f t="shared" si="17"/>
        <v>0</v>
      </c>
      <c r="K77" s="1607">
        <f t="shared" si="17"/>
        <v>0</v>
      </c>
      <c r="L77" s="1606">
        <f t="shared" si="17"/>
        <v>0</v>
      </c>
      <c r="M77" s="1646">
        <f t="shared" si="17"/>
        <v>200</v>
      </c>
      <c r="N77" s="1607">
        <f t="shared" si="17"/>
        <v>0</v>
      </c>
      <c r="O77" s="1607">
        <f t="shared" si="17"/>
        <v>0</v>
      </c>
      <c r="P77" s="1606">
        <f t="shared" si="17"/>
        <v>0</v>
      </c>
      <c r="Q77" s="1646">
        <f t="shared" si="17"/>
        <v>0</v>
      </c>
      <c r="R77" s="1608">
        <f t="shared" si="17"/>
        <v>0</v>
      </c>
    </row>
    <row r="78" spans="1:18" s="1642" customFormat="1" ht="9.75">
      <c r="A78" s="1810" t="s">
        <v>131</v>
      </c>
      <c r="B78" s="1811"/>
      <c r="C78" s="1812"/>
      <c r="D78" s="1670" t="s">
        <v>3</v>
      </c>
      <c r="E78" s="1548">
        <f>E42+E52+E62+E72</f>
        <v>1018831</v>
      </c>
      <c r="F78" s="1647">
        <f t="shared" ref="F78:R78" si="18">F42+F52+F62+F72</f>
        <v>1018831</v>
      </c>
      <c r="G78" s="1648">
        <f t="shared" si="18"/>
        <v>662585</v>
      </c>
      <c r="H78" s="1649">
        <f t="shared" si="18"/>
        <v>133383</v>
      </c>
      <c r="I78" s="1649">
        <f t="shared" si="18"/>
        <v>202399</v>
      </c>
      <c r="J78" s="1649">
        <f t="shared" si="18"/>
        <v>0</v>
      </c>
      <c r="K78" s="1649">
        <f t="shared" si="18"/>
        <v>0</v>
      </c>
      <c r="L78" s="1650">
        <f t="shared" si="18"/>
        <v>0</v>
      </c>
      <c r="M78" s="1648">
        <f t="shared" si="18"/>
        <v>18350</v>
      </c>
      <c r="N78" s="1649">
        <f t="shared" si="18"/>
        <v>914</v>
      </c>
      <c r="O78" s="1649">
        <f t="shared" si="18"/>
        <v>1200</v>
      </c>
      <c r="P78" s="1650">
        <f t="shared" si="18"/>
        <v>0</v>
      </c>
      <c r="Q78" s="1648">
        <f t="shared" si="18"/>
        <v>0</v>
      </c>
      <c r="R78" s="1650">
        <f t="shared" si="18"/>
        <v>0</v>
      </c>
    </row>
    <row r="79" spans="1:18" s="1642" customFormat="1" ht="9.75">
      <c r="A79" s="1813"/>
      <c r="B79" s="1814"/>
      <c r="C79" s="1815"/>
      <c r="D79" s="1662" t="s">
        <v>882</v>
      </c>
      <c r="E79" s="1554">
        <f t="shared" ref="E79:R80" si="19">E43+E53+E63+E73</f>
        <v>1018893</v>
      </c>
      <c r="F79" s="1602">
        <f t="shared" si="19"/>
        <v>1018893</v>
      </c>
      <c r="G79" s="1643">
        <f t="shared" si="19"/>
        <v>662637</v>
      </c>
      <c r="H79" s="1599">
        <f t="shared" si="19"/>
        <v>133393</v>
      </c>
      <c r="I79" s="1599">
        <f t="shared" si="19"/>
        <v>202397</v>
      </c>
      <c r="J79" s="1599">
        <f t="shared" si="19"/>
        <v>0</v>
      </c>
      <c r="K79" s="1599">
        <f t="shared" si="19"/>
        <v>0</v>
      </c>
      <c r="L79" s="1600">
        <f t="shared" si="19"/>
        <v>0</v>
      </c>
      <c r="M79" s="1643">
        <f t="shared" si="19"/>
        <v>18352</v>
      </c>
      <c r="N79" s="1599">
        <f t="shared" si="19"/>
        <v>914</v>
      </c>
      <c r="O79" s="1599">
        <f t="shared" si="19"/>
        <v>1200</v>
      </c>
      <c r="P79" s="1600">
        <f t="shared" si="19"/>
        <v>0</v>
      </c>
      <c r="Q79" s="1643">
        <f t="shared" si="19"/>
        <v>0</v>
      </c>
      <c r="R79" s="1600">
        <f t="shared" si="19"/>
        <v>0</v>
      </c>
    </row>
    <row r="80" spans="1:18" s="1642" customFormat="1" ht="10.5" thickBot="1">
      <c r="A80" s="1816"/>
      <c r="B80" s="1817"/>
      <c r="C80" s="1818"/>
      <c r="D80" s="1667" t="s">
        <v>981</v>
      </c>
      <c r="E80" s="1604">
        <f>E44+E54+E64+E74</f>
        <v>993229</v>
      </c>
      <c r="F80" s="1610">
        <f t="shared" si="19"/>
        <v>993229</v>
      </c>
      <c r="G80" s="1646">
        <f t="shared" si="19"/>
        <v>665999</v>
      </c>
      <c r="H80" s="1607">
        <f t="shared" si="19"/>
        <v>134300</v>
      </c>
      <c r="I80" s="1607">
        <f t="shared" si="19"/>
        <v>172464</v>
      </c>
      <c r="J80" s="1607">
        <f t="shared" si="19"/>
        <v>0</v>
      </c>
      <c r="K80" s="1607">
        <f t="shared" si="19"/>
        <v>0</v>
      </c>
      <c r="L80" s="1608">
        <f t="shared" si="19"/>
        <v>0</v>
      </c>
      <c r="M80" s="1646">
        <f t="shared" si="19"/>
        <v>18352</v>
      </c>
      <c r="N80" s="1607">
        <f t="shared" si="19"/>
        <v>914</v>
      </c>
      <c r="O80" s="1607">
        <f t="shared" si="19"/>
        <v>1200</v>
      </c>
      <c r="P80" s="1608">
        <f t="shared" si="19"/>
        <v>0</v>
      </c>
      <c r="Q80" s="1646">
        <f t="shared" si="19"/>
        <v>0</v>
      </c>
      <c r="R80" s="1608">
        <f t="shared" si="19"/>
        <v>0</v>
      </c>
    </row>
    <row r="81" spans="1:18" s="1642" customFormat="1" ht="9.75">
      <c r="A81" s="1810" t="s">
        <v>123</v>
      </c>
      <c r="B81" s="1811"/>
      <c r="C81" s="1812"/>
      <c r="D81" s="1666" t="s">
        <v>3</v>
      </c>
      <c r="E81" s="1567">
        <v>0</v>
      </c>
      <c r="F81" s="1567">
        <v>0</v>
      </c>
      <c r="G81" s="1648">
        <v>0</v>
      </c>
      <c r="H81" s="1649">
        <v>0</v>
      </c>
      <c r="I81" s="1649">
        <v>0</v>
      </c>
      <c r="J81" s="1649">
        <v>0</v>
      </c>
      <c r="K81" s="1649">
        <v>0</v>
      </c>
      <c r="L81" s="1650">
        <v>0</v>
      </c>
      <c r="M81" s="1648">
        <v>0</v>
      </c>
      <c r="N81" s="1649">
        <v>0</v>
      </c>
      <c r="O81" s="1649">
        <v>0</v>
      </c>
      <c r="P81" s="1650">
        <v>0</v>
      </c>
      <c r="Q81" s="1648">
        <v>0</v>
      </c>
      <c r="R81" s="1650">
        <v>0</v>
      </c>
    </row>
    <row r="82" spans="1:18" s="1642" customFormat="1" ht="9.75">
      <c r="A82" s="1813"/>
      <c r="B82" s="1814"/>
      <c r="C82" s="1815"/>
      <c r="D82" s="1662" t="s">
        <v>882</v>
      </c>
      <c r="E82" s="1554">
        <v>0</v>
      </c>
      <c r="F82" s="1554">
        <v>0</v>
      </c>
      <c r="G82" s="1643">
        <v>0</v>
      </c>
      <c r="H82" s="1599">
        <v>0</v>
      </c>
      <c r="I82" s="1599">
        <v>0</v>
      </c>
      <c r="J82" s="1599">
        <v>0</v>
      </c>
      <c r="K82" s="1599">
        <v>0</v>
      </c>
      <c r="L82" s="1600">
        <v>0</v>
      </c>
      <c r="M82" s="1643">
        <v>0</v>
      </c>
      <c r="N82" s="1599">
        <v>0</v>
      </c>
      <c r="O82" s="1599">
        <v>0</v>
      </c>
      <c r="P82" s="1600">
        <v>0</v>
      </c>
      <c r="Q82" s="1643">
        <v>0</v>
      </c>
      <c r="R82" s="1600">
        <v>0</v>
      </c>
    </row>
    <row r="83" spans="1:18" s="1642" customFormat="1" ht="10.5" thickBot="1">
      <c r="A83" s="1816"/>
      <c r="B83" s="1817"/>
      <c r="C83" s="1818"/>
      <c r="D83" s="1669" t="s">
        <v>981</v>
      </c>
      <c r="E83" s="1644">
        <v>0</v>
      </c>
      <c r="F83" s="1644">
        <v>0</v>
      </c>
      <c r="G83" s="1651">
        <v>0</v>
      </c>
      <c r="H83" s="1652">
        <v>0</v>
      </c>
      <c r="I83" s="1652">
        <v>0</v>
      </c>
      <c r="J83" s="1652">
        <v>0</v>
      </c>
      <c r="K83" s="1652">
        <v>0</v>
      </c>
      <c r="L83" s="1653">
        <v>0</v>
      </c>
      <c r="M83" s="1651">
        <v>0</v>
      </c>
      <c r="N83" s="1652">
        <v>0</v>
      </c>
      <c r="O83" s="1652">
        <v>0</v>
      </c>
      <c r="P83" s="1653">
        <v>0</v>
      </c>
      <c r="Q83" s="1651">
        <v>0</v>
      </c>
      <c r="R83" s="1653">
        <v>0</v>
      </c>
    </row>
    <row r="84" spans="1:18" s="1642" customFormat="1" ht="9.75">
      <c r="A84" s="1810" t="s">
        <v>597</v>
      </c>
      <c r="B84" s="1811"/>
      <c r="C84" s="1812"/>
      <c r="D84" s="1670" t="s">
        <v>3</v>
      </c>
      <c r="E84" s="1548">
        <f>SUM(E15+E27+E30+E33+E36+E21)</f>
        <v>2660</v>
      </c>
      <c r="F84" s="1548">
        <f t="shared" ref="F84:R84" si="20">SUM(F15+F27+F30+F33+F36+F21)</f>
        <v>137873</v>
      </c>
      <c r="G84" s="1638">
        <f t="shared" si="20"/>
        <v>50256</v>
      </c>
      <c r="H84" s="1639">
        <f t="shared" si="20"/>
        <v>9912</v>
      </c>
      <c r="I84" s="1639">
        <f t="shared" si="20"/>
        <v>75705</v>
      </c>
      <c r="J84" s="1639">
        <f t="shared" si="20"/>
        <v>0</v>
      </c>
      <c r="K84" s="1639">
        <f t="shared" si="20"/>
        <v>0</v>
      </c>
      <c r="L84" s="1641">
        <f t="shared" si="20"/>
        <v>0</v>
      </c>
      <c r="M84" s="1638">
        <f t="shared" si="20"/>
        <v>800</v>
      </c>
      <c r="N84" s="1639">
        <f t="shared" si="20"/>
        <v>0</v>
      </c>
      <c r="O84" s="1639">
        <f t="shared" si="20"/>
        <v>1200</v>
      </c>
      <c r="P84" s="1641">
        <f t="shared" si="20"/>
        <v>0</v>
      </c>
      <c r="Q84" s="1638">
        <f t="shared" si="20"/>
        <v>0</v>
      </c>
      <c r="R84" s="1641">
        <f t="shared" si="20"/>
        <v>0</v>
      </c>
    </row>
    <row r="85" spans="1:18" s="1642" customFormat="1" ht="9.75">
      <c r="A85" s="1813"/>
      <c r="B85" s="1814"/>
      <c r="C85" s="1815"/>
      <c r="D85" s="1662" t="s">
        <v>882</v>
      </c>
      <c r="E85" s="1554">
        <f t="shared" ref="E85:R86" si="21">SUM(E16+E28+E31+E34+E37+E22)</f>
        <v>2660</v>
      </c>
      <c r="F85" s="1554">
        <f t="shared" si="21"/>
        <v>137873</v>
      </c>
      <c r="G85" s="1643">
        <f t="shared" si="21"/>
        <v>50256</v>
      </c>
      <c r="H85" s="1599">
        <f t="shared" si="21"/>
        <v>9912</v>
      </c>
      <c r="I85" s="1599">
        <f t="shared" si="21"/>
        <v>75705</v>
      </c>
      <c r="J85" s="1599">
        <f t="shared" si="21"/>
        <v>0</v>
      </c>
      <c r="K85" s="1599">
        <f t="shared" si="21"/>
        <v>0</v>
      </c>
      <c r="L85" s="1600">
        <f t="shared" si="21"/>
        <v>0</v>
      </c>
      <c r="M85" s="1643">
        <f t="shared" si="21"/>
        <v>800</v>
      </c>
      <c r="N85" s="1599">
        <f t="shared" si="21"/>
        <v>0</v>
      </c>
      <c r="O85" s="1599">
        <f t="shared" si="21"/>
        <v>1200</v>
      </c>
      <c r="P85" s="1600">
        <f t="shared" si="21"/>
        <v>0</v>
      </c>
      <c r="Q85" s="1643">
        <f t="shared" si="21"/>
        <v>0</v>
      </c>
      <c r="R85" s="1600">
        <f t="shared" si="21"/>
        <v>0</v>
      </c>
    </row>
    <row r="86" spans="1:18" s="1642" customFormat="1" ht="10.5" thickBot="1">
      <c r="A86" s="1816"/>
      <c r="B86" s="1817"/>
      <c r="C86" s="1818"/>
      <c r="D86" s="1667" t="s">
        <v>981</v>
      </c>
      <c r="E86" s="1644">
        <f t="shared" si="21"/>
        <v>2660</v>
      </c>
      <c r="F86" s="1644">
        <f t="shared" si="21"/>
        <v>88443</v>
      </c>
      <c r="G86" s="1651">
        <f t="shared" si="21"/>
        <v>37129</v>
      </c>
      <c r="H86" s="1652">
        <f t="shared" si="21"/>
        <v>7352</v>
      </c>
      <c r="I86" s="1652">
        <f t="shared" si="21"/>
        <v>41962</v>
      </c>
      <c r="J86" s="1652">
        <f t="shared" si="21"/>
        <v>0</v>
      </c>
      <c r="K86" s="1652">
        <f t="shared" si="21"/>
        <v>0</v>
      </c>
      <c r="L86" s="1653">
        <f t="shared" si="21"/>
        <v>0</v>
      </c>
      <c r="M86" s="1651">
        <f t="shared" si="21"/>
        <v>800</v>
      </c>
      <c r="N86" s="1652">
        <f t="shared" si="21"/>
        <v>0</v>
      </c>
      <c r="O86" s="1652">
        <f t="shared" si="21"/>
        <v>1200</v>
      </c>
      <c r="P86" s="1653">
        <f t="shared" si="21"/>
        <v>0</v>
      </c>
      <c r="Q86" s="1651">
        <f t="shared" si="21"/>
        <v>0</v>
      </c>
      <c r="R86" s="1653">
        <f t="shared" si="21"/>
        <v>0</v>
      </c>
    </row>
    <row r="87" spans="1:18" s="1642" customFormat="1" ht="9.75">
      <c r="A87" s="1810" t="s">
        <v>124</v>
      </c>
      <c r="B87" s="1811"/>
      <c r="C87" s="1812"/>
      <c r="D87" s="1670" t="s">
        <v>3</v>
      </c>
      <c r="E87" s="1548">
        <f>E6+E9+E12+E18+E24+E39+E46+E49+E56+E59+E66+E69</f>
        <v>1016171</v>
      </c>
      <c r="F87" s="1637">
        <f>F6+F9+F12+F18+F24+F39+F46+F49+F56+F59+F66+F69</f>
        <v>880958</v>
      </c>
      <c r="G87" s="1638">
        <f t="shared" ref="G87:R87" si="22">G6+G9+G12+G18+G24+G39+G46+G49+G56+G59+G66+G69</f>
        <v>612329</v>
      </c>
      <c r="H87" s="1639">
        <f t="shared" si="22"/>
        <v>123471</v>
      </c>
      <c r="I87" s="1639">
        <f t="shared" si="22"/>
        <v>126694</v>
      </c>
      <c r="J87" s="1639">
        <f t="shared" si="22"/>
        <v>0</v>
      </c>
      <c r="K87" s="1639">
        <f t="shared" si="22"/>
        <v>0</v>
      </c>
      <c r="L87" s="1641">
        <f t="shared" si="22"/>
        <v>0</v>
      </c>
      <c r="M87" s="1654">
        <f t="shared" si="22"/>
        <v>17550</v>
      </c>
      <c r="N87" s="1639">
        <f t="shared" si="22"/>
        <v>914</v>
      </c>
      <c r="O87" s="1639">
        <f t="shared" si="22"/>
        <v>0</v>
      </c>
      <c r="P87" s="1641">
        <f t="shared" si="22"/>
        <v>0</v>
      </c>
      <c r="Q87" s="1638">
        <f t="shared" si="22"/>
        <v>0</v>
      </c>
      <c r="R87" s="1641">
        <f t="shared" si="22"/>
        <v>0</v>
      </c>
    </row>
    <row r="88" spans="1:18" ht="9.75">
      <c r="A88" s="1813"/>
      <c r="B88" s="1814"/>
      <c r="C88" s="1815"/>
      <c r="D88" s="1662" t="s">
        <v>882</v>
      </c>
      <c r="E88" s="1554">
        <f t="shared" ref="E88:R89" si="23">E7+E10+E13+E19+E25+E40+E47+E50+E57+E60+E67+E70</f>
        <v>1016233</v>
      </c>
      <c r="F88" s="1597">
        <f t="shared" si="23"/>
        <v>881020</v>
      </c>
      <c r="G88" s="1643">
        <f t="shared" si="23"/>
        <v>612381</v>
      </c>
      <c r="H88" s="1599">
        <f t="shared" si="23"/>
        <v>123481</v>
      </c>
      <c r="I88" s="1599">
        <f t="shared" si="23"/>
        <v>126692</v>
      </c>
      <c r="J88" s="1599">
        <f t="shared" si="23"/>
        <v>0</v>
      </c>
      <c r="K88" s="1599">
        <f t="shared" si="23"/>
        <v>0</v>
      </c>
      <c r="L88" s="1600">
        <f t="shared" si="23"/>
        <v>0</v>
      </c>
      <c r="M88" s="1601">
        <f t="shared" si="23"/>
        <v>17552</v>
      </c>
      <c r="N88" s="1599">
        <f t="shared" si="23"/>
        <v>914</v>
      </c>
      <c r="O88" s="1599">
        <f t="shared" si="23"/>
        <v>0</v>
      </c>
      <c r="P88" s="1600">
        <f t="shared" si="23"/>
        <v>0</v>
      </c>
      <c r="Q88" s="1643">
        <f t="shared" si="23"/>
        <v>0</v>
      </c>
      <c r="R88" s="1600">
        <f t="shared" si="23"/>
        <v>0</v>
      </c>
    </row>
    <row r="89" spans="1:18" ht="10.5" thickBot="1">
      <c r="A89" s="1816"/>
      <c r="B89" s="1817"/>
      <c r="C89" s="1818"/>
      <c r="D89" s="1667" t="s">
        <v>981</v>
      </c>
      <c r="E89" s="1604">
        <f t="shared" si="23"/>
        <v>990569</v>
      </c>
      <c r="F89" s="1605">
        <f t="shared" si="23"/>
        <v>904786</v>
      </c>
      <c r="G89" s="1646">
        <f t="shared" si="23"/>
        <v>628870</v>
      </c>
      <c r="H89" s="1607">
        <f t="shared" si="23"/>
        <v>126948</v>
      </c>
      <c r="I89" s="1607">
        <f t="shared" si="23"/>
        <v>130502</v>
      </c>
      <c r="J89" s="1607">
        <f t="shared" si="23"/>
        <v>0</v>
      </c>
      <c r="K89" s="1607">
        <f t="shared" si="23"/>
        <v>0</v>
      </c>
      <c r="L89" s="1608">
        <f t="shared" si="23"/>
        <v>0</v>
      </c>
      <c r="M89" s="1609">
        <f t="shared" si="23"/>
        <v>17552</v>
      </c>
      <c r="N89" s="1607">
        <f t="shared" si="23"/>
        <v>914</v>
      </c>
      <c r="O89" s="1607">
        <f t="shared" si="23"/>
        <v>0</v>
      </c>
      <c r="P89" s="1608">
        <f t="shared" si="23"/>
        <v>0</v>
      </c>
      <c r="Q89" s="1646">
        <f t="shared" si="23"/>
        <v>0</v>
      </c>
      <c r="R89" s="1608">
        <f t="shared" si="23"/>
        <v>0</v>
      </c>
    </row>
    <row r="90" spans="1:18" ht="9.75">
      <c r="A90" s="1655"/>
      <c r="B90" s="1656"/>
    </row>
    <row r="91" spans="1:18">
      <c r="A91" s="1658"/>
    </row>
    <row r="92" spans="1:18">
      <c r="A92" s="1658"/>
    </row>
  </sheetData>
  <mergeCells count="62">
    <mergeCell ref="A6:A8"/>
    <mergeCell ref="C6:C8"/>
    <mergeCell ref="A9:A11"/>
    <mergeCell ref="A18:A20"/>
    <mergeCell ref="C18:C20"/>
    <mergeCell ref="C9:C11"/>
    <mergeCell ref="A12:A14"/>
    <mergeCell ref="C12:C14"/>
    <mergeCell ref="A15:A17"/>
    <mergeCell ref="C15:C17"/>
    <mergeCell ref="A1:R1"/>
    <mergeCell ref="A3:D4"/>
    <mergeCell ref="E3:E4"/>
    <mergeCell ref="F3:F4"/>
    <mergeCell ref="G3:L3"/>
    <mergeCell ref="M3:P3"/>
    <mergeCell ref="Q3:R3"/>
    <mergeCell ref="A24:A26"/>
    <mergeCell ref="C24:C26"/>
    <mergeCell ref="A27:A29"/>
    <mergeCell ref="C27:C29"/>
    <mergeCell ref="A21:A23"/>
    <mergeCell ref="C21:C23"/>
    <mergeCell ref="C66:C68"/>
    <mergeCell ref="C49:C51"/>
    <mergeCell ref="B52:C54"/>
    <mergeCell ref="A55:R55"/>
    <mergeCell ref="A56:A58"/>
    <mergeCell ref="C56:C58"/>
    <mergeCell ref="A59:A61"/>
    <mergeCell ref="C59:C61"/>
    <mergeCell ref="A62:A64"/>
    <mergeCell ref="B62:C64"/>
    <mergeCell ref="A66:A68"/>
    <mergeCell ref="A65:R65"/>
    <mergeCell ref="A52:A54"/>
    <mergeCell ref="A49:A51"/>
    <mergeCell ref="A5:R5"/>
    <mergeCell ref="A42:A44"/>
    <mergeCell ref="B42:C44"/>
    <mergeCell ref="A45:R45"/>
    <mergeCell ref="A46:A48"/>
    <mergeCell ref="C46:C48"/>
    <mergeCell ref="B7:B8"/>
    <mergeCell ref="B10:B11"/>
    <mergeCell ref="A36:A38"/>
    <mergeCell ref="C36:C38"/>
    <mergeCell ref="A39:A41"/>
    <mergeCell ref="C39:C41"/>
    <mergeCell ref="A30:A32"/>
    <mergeCell ref="C30:C32"/>
    <mergeCell ref="A33:A35"/>
    <mergeCell ref="C33:C35"/>
    <mergeCell ref="A78:C80"/>
    <mergeCell ref="A81:C83"/>
    <mergeCell ref="A84:C86"/>
    <mergeCell ref="A87:C89"/>
    <mergeCell ref="A69:A71"/>
    <mergeCell ref="C69:C71"/>
    <mergeCell ref="A72:A74"/>
    <mergeCell ref="B72:C74"/>
    <mergeCell ref="A75:C77"/>
  </mergeCells>
  <printOptions horizontalCentered="1"/>
  <pageMargins left="0.70866141732283472" right="0.70866141732283472" top="0.74803149606299213" bottom="0.74803149606299213" header="0.31496062992125984" footer="0.31496062992125984"/>
  <pageSetup paperSize="9" scale="63" orientation="portrait" r:id="rId1"/>
  <headerFooter>
    <oddHeader>&amp;L&amp;"Times New Roman,Normál"&amp;8 5. melléklet 1, 2, 3</oddHeader>
    <oddFooter>&amp;L&amp;"Times New Roman,Normál"1. Mód.: 3/2019 (II.27.) önk. rend. 2.§. Hat.: 2019.03.01. napjától
2. Mód.: 9/2019 (IV.24.) önk. rend. 2.§ Hat.: 2019.04.25. napjától
3. Mód.: 18/2019 (IX.11.) önk. rend. 2.§ Hat.:2019.09.12. napjától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Layout" topLeftCell="A79" zoomScaleNormal="100" workbookViewId="0">
      <selection activeCell="C49" sqref="C49"/>
    </sheetView>
  </sheetViews>
  <sheetFormatPr defaultColWidth="9" defaultRowHeight="15"/>
  <cols>
    <col min="1" max="1" width="18.28515625" style="49" customWidth="1"/>
    <col min="2" max="2" width="10.140625" style="49" customWidth="1"/>
    <col min="3" max="3" width="12.85546875" style="49" bestFit="1" customWidth="1"/>
    <col min="4" max="4" width="7.5703125" style="49" customWidth="1"/>
    <col min="5" max="5" width="8.42578125" style="49" bestFit="1" customWidth="1"/>
    <col min="6" max="6" width="7.85546875" style="49" customWidth="1"/>
    <col min="7" max="8" width="8.42578125" style="49" bestFit="1" customWidth="1"/>
    <col min="9" max="9" width="6.85546875" style="49" customWidth="1"/>
    <col min="10" max="10" width="8.28515625" style="49" customWidth="1"/>
    <col min="11" max="12" width="5.42578125" style="49" customWidth="1"/>
    <col min="13" max="13" width="4.42578125" style="49" customWidth="1"/>
    <col min="14" max="14" width="6.140625" style="49" bestFit="1" customWidth="1"/>
    <col min="15" max="15" width="7" style="49" customWidth="1"/>
    <col min="16" max="16" width="10.140625" style="49" bestFit="1" customWidth="1"/>
    <col min="17" max="17" width="8.7109375" style="49" customWidth="1"/>
    <col min="18" max="18" width="13.7109375" style="49" customWidth="1"/>
    <col min="19" max="16384" width="9" style="49"/>
  </cols>
  <sheetData>
    <row r="1" spans="1:21" ht="21" customHeight="1">
      <c r="A1" s="1868" t="s">
        <v>876</v>
      </c>
      <c r="B1" s="1868"/>
      <c r="C1" s="1868"/>
      <c r="D1" s="1868"/>
      <c r="E1" s="1868"/>
      <c r="F1" s="1868"/>
      <c r="G1" s="1868"/>
      <c r="H1" s="1868"/>
      <c r="I1" s="1868"/>
      <c r="J1" s="1868"/>
      <c r="K1" s="1868"/>
      <c r="L1" s="1868"/>
      <c r="M1" s="1868"/>
      <c r="N1" s="1868"/>
      <c r="O1" s="1868"/>
      <c r="P1" s="1868"/>
      <c r="Q1" s="1868"/>
      <c r="R1" s="1868"/>
    </row>
    <row r="2" spans="1:21" ht="12.75" customHeight="1" thickBot="1">
      <c r="A2" s="1868"/>
      <c r="B2" s="1868"/>
      <c r="C2" s="1868"/>
      <c r="D2" s="1868"/>
      <c r="E2" s="1868"/>
      <c r="F2" s="1868"/>
      <c r="G2" s="1868"/>
      <c r="H2" s="1868"/>
      <c r="I2" s="1868"/>
      <c r="J2" s="1868"/>
      <c r="K2" s="1868"/>
      <c r="L2" s="1868"/>
      <c r="M2" s="1868"/>
      <c r="N2" s="1868"/>
      <c r="O2" s="1868"/>
      <c r="P2" s="1868"/>
      <c r="Q2" s="1868"/>
      <c r="R2" s="1868"/>
    </row>
    <row r="3" spans="1:21" ht="27.75" customHeight="1">
      <c r="A3" s="1869" t="s">
        <v>132</v>
      </c>
      <c r="B3" s="1871" t="s">
        <v>133</v>
      </c>
      <c r="C3" s="1873"/>
      <c r="D3" s="1875" t="s">
        <v>20</v>
      </c>
      <c r="E3" s="1723"/>
      <c r="F3" s="1723"/>
      <c r="G3" s="1723"/>
      <c r="H3" s="1876"/>
      <c r="I3" s="1871" t="s">
        <v>868</v>
      </c>
      <c r="J3" s="1871"/>
      <c r="K3" s="1871"/>
      <c r="L3" s="1871"/>
      <c r="M3" s="1871" t="s">
        <v>963</v>
      </c>
      <c r="N3" s="1871" t="s">
        <v>964</v>
      </c>
      <c r="O3" s="1871"/>
      <c r="P3" s="1877" t="s">
        <v>959</v>
      </c>
      <c r="Q3" s="1871" t="s">
        <v>960</v>
      </c>
      <c r="R3" s="1887" t="s">
        <v>869</v>
      </c>
    </row>
    <row r="4" spans="1:21" ht="97.5" customHeight="1" thickBot="1">
      <c r="A4" s="1870"/>
      <c r="B4" s="1872"/>
      <c r="C4" s="1874"/>
      <c r="D4" s="273" t="s">
        <v>954</v>
      </c>
      <c r="E4" s="273" t="s">
        <v>955</v>
      </c>
      <c r="F4" s="273" t="s">
        <v>956</v>
      </c>
      <c r="G4" s="273" t="s">
        <v>30</v>
      </c>
      <c r="H4" s="273" t="s">
        <v>134</v>
      </c>
      <c r="I4" s="273" t="s">
        <v>957</v>
      </c>
      <c r="J4" s="273" t="s">
        <v>877</v>
      </c>
      <c r="K4" s="273" t="s">
        <v>961</v>
      </c>
      <c r="L4" s="273" t="s">
        <v>962</v>
      </c>
      <c r="M4" s="1872"/>
      <c r="N4" s="273" t="s">
        <v>965</v>
      </c>
      <c r="O4" s="273" t="s">
        <v>958</v>
      </c>
      <c r="P4" s="1878"/>
      <c r="Q4" s="1872"/>
      <c r="R4" s="1888"/>
      <c r="T4" s="199"/>
      <c r="U4" s="199"/>
    </row>
    <row r="5" spans="1:21">
      <c r="A5" s="1879" t="s">
        <v>136</v>
      </c>
      <c r="B5" s="1873" t="s">
        <v>107</v>
      </c>
      <c r="C5" s="612" t="s">
        <v>3</v>
      </c>
      <c r="D5" s="612"/>
      <c r="E5" s="613">
        <v>620</v>
      </c>
      <c r="F5" s="613"/>
      <c r="G5" s="613">
        <v>1420</v>
      </c>
      <c r="H5" s="613">
        <v>551</v>
      </c>
      <c r="I5" s="613">
        <v>0</v>
      </c>
      <c r="J5" s="613">
        <v>0</v>
      </c>
      <c r="K5" s="613">
        <v>0</v>
      </c>
      <c r="L5" s="613">
        <v>0</v>
      </c>
      <c r="M5" s="613">
        <v>0</v>
      </c>
      <c r="N5" s="613">
        <v>0</v>
      </c>
      <c r="O5" s="613">
        <v>0</v>
      </c>
      <c r="P5" s="613">
        <v>101453</v>
      </c>
      <c r="Q5" s="613">
        <f>SUM(D5:O5)</f>
        <v>2591</v>
      </c>
      <c r="R5" s="614">
        <f>P5+Q5</f>
        <v>104044</v>
      </c>
      <c r="S5" s="103"/>
      <c r="U5" s="103"/>
    </row>
    <row r="6" spans="1:21">
      <c r="A6" s="1880"/>
      <c r="B6" s="1882"/>
      <c r="C6" s="601" t="s">
        <v>894</v>
      </c>
      <c r="D6" s="228"/>
      <c r="E6" s="400">
        <v>620</v>
      </c>
      <c r="F6" s="400"/>
      <c r="G6" s="400">
        <v>1420</v>
      </c>
      <c r="H6" s="400">
        <v>551</v>
      </c>
      <c r="I6" s="400">
        <v>0</v>
      </c>
      <c r="J6" s="400">
        <v>0</v>
      </c>
      <c r="K6" s="400">
        <v>0</v>
      </c>
      <c r="L6" s="400">
        <v>0</v>
      </c>
      <c r="M6" s="400">
        <v>0</v>
      </c>
      <c r="N6" s="400">
        <v>0</v>
      </c>
      <c r="O6" s="400">
        <v>0</v>
      </c>
      <c r="P6" s="400">
        <v>105239</v>
      </c>
      <c r="Q6" s="400">
        <f>SUM(D6:O6)</f>
        <v>2591</v>
      </c>
      <c r="R6" s="414">
        <f>P6+Q6</f>
        <v>107830</v>
      </c>
      <c r="S6" s="103"/>
      <c r="U6" s="103"/>
    </row>
    <row r="7" spans="1:21" ht="15.75" thickBot="1">
      <c r="A7" s="1881"/>
      <c r="B7" s="1874"/>
      <c r="C7" s="1501" t="s">
        <v>1033</v>
      </c>
      <c r="D7" s="615"/>
      <c r="E7" s="182">
        <v>1025</v>
      </c>
      <c r="F7" s="182"/>
      <c r="G7" s="182">
        <v>1420</v>
      </c>
      <c r="H7" s="182">
        <v>551</v>
      </c>
      <c r="I7" s="182">
        <v>0</v>
      </c>
      <c r="J7" s="182">
        <v>0</v>
      </c>
      <c r="K7" s="182">
        <v>0</v>
      </c>
      <c r="L7" s="182">
        <v>0</v>
      </c>
      <c r="M7" s="182">
        <v>0</v>
      </c>
      <c r="N7" s="182">
        <v>0</v>
      </c>
      <c r="O7" s="182">
        <v>11</v>
      </c>
      <c r="P7" s="182">
        <v>106074</v>
      </c>
      <c r="Q7" s="182">
        <v>3007</v>
      </c>
      <c r="R7" s="198">
        <f>P7+Q7</f>
        <v>109081</v>
      </c>
      <c r="S7" s="103"/>
      <c r="U7" s="103"/>
    </row>
    <row r="8" spans="1:21" ht="14.25" customHeight="1">
      <c r="A8" s="1883" t="s">
        <v>137</v>
      </c>
      <c r="B8" s="1885" t="s">
        <v>107</v>
      </c>
      <c r="C8" s="610" t="s">
        <v>3</v>
      </c>
      <c r="D8" s="610"/>
      <c r="E8" s="611">
        <v>0</v>
      </c>
      <c r="F8" s="611"/>
      <c r="G8" s="611">
        <v>142</v>
      </c>
      <c r="H8" s="611">
        <v>39</v>
      </c>
      <c r="I8" s="611">
        <v>0</v>
      </c>
      <c r="J8" s="611">
        <v>0</v>
      </c>
      <c r="K8" s="611">
        <v>0</v>
      </c>
      <c r="L8" s="611">
        <v>0</v>
      </c>
      <c r="M8" s="611">
        <v>0</v>
      </c>
      <c r="N8" s="611">
        <v>0</v>
      </c>
      <c r="O8" s="611">
        <v>0</v>
      </c>
      <c r="P8" s="611">
        <v>35706</v>
      </c>
      <c r="Q8" s="611">
        <f t="shared" ref="Q8:Q77" si="0">SUM(D8:O8)</f>
        <v>181</v>
      </c>
      <c r="R8" s="436">
        <f t="shared" ref="R8:R77" si="1">P8+Q8</f>
        <v>35887</v>
      </c>
      <c r="S8" s="103"/>
      <c r="U8" s="103"/>
    </row>
    <row r="9" spans="1:21">
      <c r="A9" s="1880"/>
      <c r="B9" s="1882"/>
      <c r="C9" s="601" t="s">
        <v>894</v>
      </c>
      <c r="D9" s="228"/>
      <c r="E9" s="400">
        <v>0</v>
      </c>
      <c r="F9" s="400"/>
      <c r="G9" s="400">
        <v>142</v>
      </c>
      <c r="H9" s="400">
        <v>39</v>
      </c>
      <c r="I9" s="400">
        <v>0</v>
      </c>
      <c r="J9" s="400">
        <v>0</v>
      </c>
      <c r="K9" s="400">
        <v>0</v>
      </c>
      <c r="L9" s="400">
        <v>0</v>
      </c>
      <c r="M9" s="400">
        <v>0</v>
      </c>
      <c r="N9" s="400">
        <v>0</v>
      </c>
      <c r="O9" s="400">
        <v>0</v>
      </c>
      <c r="P9" s="400">
        <v>35706</v>
      </c>
      <c r="Q9" s="400">
        <f>SUM(D9:O9)</f>
        <v>181</v>
      </c>
      <c r="R9" s="414">
        <f t="shared" ref="R9" si="2">P9+Q9</f>
        <v>35887</v>
      </c>
      <c r="S9" s="103"/>
      <c r="U9" s="103"/>
    </row>
    <row r="10" spans="1:21" ht="15.75" thickBot="1">
      <c r="A10" s="1884"/>
      <c r="B10" s="1886"/>
      <c r="C10" s="1502" t="s">
        <v>1033</v>
      </c>
      <c r="D10" s="616"/>
      <c r="E10" s="419">
        <v>0</v>
      </c>
      <c r="F10" s="419"/>
      <c r="G10" s="419">
        <v>142</v>
      </c>
      <c r="H10" s="419">
        <v>39</v>
      </c>
      <c r="I10" s="419">
        <v>0</v>
      </c>
      <c r="J10" s="419">
        <v>0</v>
      </c>
      <c r="K10" s="419">
        <v>0</v>
      </c>
      <c r="L10" s="419">
        <v>0</v>
      </c>
      <c r="M10" s="419">
        <v>0</v>
      </c>
      <c r="N10" s="419">
        <v>0</v>
      </c>
      <c r="O10" s="419">
        <v>0</v>
      </c>
      <c r="P10" s="419">
        <v>36169</v>
      </c>
      <c r="Q10" s="419">
        <v>181</v>
      </c>
      <c r="R10" s="438">
        <f t="shared" si="1"/>
        <v>36350</v>
      </c>
      <c r="S10" s="103"/>
      <c r="U10" s="103"/>
    </row>
    <row r="11" spans="1:21">
      <c r="A11" s="1879" t="s">
        <v>138</v>
      </c>
      <c r="B11" s="1873" t="s">
        <v>107</v>
      </c>
      <c r="C11" s="612" t="s">
        <v>3</v>
      </c>
      <c r="D11" s="612"/>
      <c r="E11" s="613">
        <v>291</v>
      </c>
      <c r="F11" s="613"/>
      <c r="G11" s="613">
        <v>1898</v>
      </c>
      <c r="H11" s="613">
        <v>592</v>
      </c>
      <c r="I11" s="613">
        <v>0</v>
      </c>
      <c r="J11" s="613">
        <v>0</v>
      </c>
      <c r="K11" s="613">
        <v>0</v>
      </c>
      <c r="L11" s="613">
        <v>0</v>
      </c>
      <c r="M11" s="613">
        <v>0</v>
      </c>
      <c r="N11" s="613">
        <v>0</v>
      </c>
      <c r="O11" s="613">
        <v>0</v>
      </c>
      <c r="P11" s="613">
        <v>88935</v>
      </c>
      <c r="Q11" s="613">
        <f t="shared" si="0"/>
        <v>2781</v>
      </c>
      <c r="R11" s="614">
        <f t="shared" si="1"/>
        <v>91716</v>
      </c>
      <c r="S11" s="103"/>
      <c r="U11" s="103"/>
    </row>
    <row r="12" spans="1:21">
      <c r="A12" s="1880"/>
      <c r="B12" s="1882"/>
      <c r="C12" s="601" t="s">
        <v>894</v>
      </c>
      <c r="D12" s="228"/>
      <c r="E12" s="400">
        <v>291</v>
      </c>
      <c r="F12" s="400"/>
      <c r="G12" s="400">
        <v>1898</v>
      </c>
      <c r="H12" s="400">
        <v>592</v>
      </c>
      <c r="I12" s="400">
        <v>0</v>
      </c>
      <c r="J12" s="400">
        <v>0</v>
      </c>
      <c r="K12" s="400">
        <v>0</v>
      </c>
      <c r="L12" s="400">
        <v>0</v>
      </c>
      <c r="M12" s="400">
        <v>0</v>
      </c>
      <c r="N12" s="400">
        <v>0</v>
      </c>
      <c r="O12" s="400">
        <v>0</v>
      </c>
      <c r="P12" s="400">
        <v>89209</v>
      </c>
      <c r="Q12" s="400">
        <f>SUM(D12:O12)</f>
        <v>2781</v>
      </c>
      <c r="R12" s="414">
        <f t="shared" ref="R12" si="3">P12+Q12</f>
        <v>91990</v>
      </c>
      <c r="S12" s="103"/>
      <c r="U12" s="103"/>
    </row>
    <row r="13" spans="1:21" ht="15.75" thickBot="1">
      <c r="A13" s="1881"/>
      <c r="B13" s="1874"/>
      <c r="C13" s="1501" t="s">
        <v>1033</v>
      </c>
      <c r="D13" s="615"/>
      <c r="E13" s="182">
        <v>291</v>
      </c>
      <c r="F13" s="182"/>
      <c r="G13" s="182">
        <v>1898</v>
      </c>
      <c r="H13" s="182">
        <v>592</v>
      </c>
      <c r="I13" s="182">
        <v>0</v>
      </c>
      <c r="J13" s="182">
        <v>1525</v>
      </c>
      <c r="K13" s="182">
        <v>0</v>
      </c>
      <c r="L13" s="182">
        <v>0</v>
      </c>
      <c r="M13" s="182">
        <v>0</v>
      </c>
      <c r="N13" s="182">
        <v>0</v>
      </c>
      <c r="O13" s="182">
        <v>3</v>
      </c>
      <c r="P13" s="182">
        <v>90323</v>
      </c>
      <c r="Q13" s="182">
        <v>4309</v>
      </c>
      <c r="R13" s="198">
        <f t="shared" si="1"/>
        <v>94632</v>
      </c>
      <c r="S13" s="103"/>
      <c r="U13" s="103"/>
    </row>
    <row r="14" spans="1:21">
      <c r="A14" s="1879" t="s">
        <v>139</v>
      </c>
      <c r="B14" s="1873" t="s">
        <v>107</v>
      </c>
      <c r="C14" s="612" t="s">
        <v>3</v>
      </c>
      <c r="D14" s="612"/>
      <c r="E14" s="613">
        <v>1788</v>
      </c>
      <c r="F14" s="613">
        <v>1130</v>
      </c>
      <c r="G14" s="613">
        <v>1777</v>
      </c>
      <c r="H14" s="613">
        <v>1269</v>
      </c>
      <c r="I14" s="613">
        <v>0</v>
      </c>
      <c r="J14" s="613">
        <v>0</v>
      </c>
      <c r="K14" s="613">
        <v>0</v>
      </c>
      <c r="L14" s="613">
        <v>0</v>
      </c>
      <c r="M14" s="613">
        <v>0</v>
      </c>
      <c r="N14" s="613">
        <v>0</v>
      </c>
      <c r="O14" s="613">
        <v>0</v>
      </c>
      <c r="P14" s="613">
        <v>124842</v>
      </c>
      <c r="Q14" s="613">
        <f t="shared" si="0"/>
        <v>5964</v>
      </c>
      <c r="R14" s="614">
        <f t="shared" si="1"/>
        <v>130806</v>
      </c>
      <c r="S14" s="103"/>
      <c r="U14" s="103"/>
    </row>
    <row r="15" spans="1:21">
      <c r="A15" s="1880"/>
      <c r="B15" s="1882"/>
      <c r="C15" s="601" t="s">
        <v>894</v>
      </c>
      <c r="D15" s="228"/>
      <c r="E15" s="400">
        <v>1788</v>
      </c>
      <c r="F15" s="400">
        <v>1130</v>
      </c>
      <c r="G15" s="400">
        <v>1777</v>
      </c>
      <c r="H15" s="400">
        <v>1269</v>
      </c>
      <c r="I15" s="400">
        <v>0</v>
      </c>
      <c r="J15" s="400">
        <v>0</v>
      </c>
      <c r="K15" s="400">
        <v>0</v>
      </c>
      <c r="L15" s="400">
        <v>0</v>
      </c>
      <c r="M15" s="400">
        <v>0</v>
      </c>
      <c r="N15" s="400">
        <v>0</v>
      </c>
      <c r="O15" s="400">
        <v>0</v>
      </c>
      <c r="P15" s="400">
        <v>127073</v>
      </c>
      <c r="Q15" s="400">
        <f>SUM(D15:O15)</f>
        <v>5964</v>
      </c>
      <c r="R15" s="414">
        <f t="shared" ref="R15" si="4">P15+Q15</f>
        <v>133037</v>
      </c>
      <c r="S15" s="103"/>
      <c r="U15" s="103"/>
    </row>
    <row r="16" spans="1:21" ht="15.75" thickBot="1">
      <c r="A16" s="1881"/>
      <c r="B16" s="1874"/>
      <c r="C16" s="1501" t="s">
        <v>1033</v>
      </c>
      <c r="D16" s="615"/>
      <c r="E16" s="182">
        <v>2586</v>
      </c>
      <c r="F16" s="182">
        <v>1130</v>
      </c>
      <c r="G16" s="182">
        <v>1777</v>
      </c>
      <c r="H16" s="182">
        <v>1269</v>
      </c>
      <c r="I16" s="182">
        <v>0</v>
      </c>
      <c r="J16" s="182">
        <v>0</v>
      </c>
      <c r="K16" s="182">
        <v>0</v>
      </c>
      <c r="L16" s="182">
        <v>0</v>
      </c>
      <c r="M16" s="182">
        <v>0</v>
      </c>
      <c r="N16" s="182">
        <v>0</v>
      </c>
      <c r="O16" s="182">
        <v>223</v>
      </c>
      <c r="P16" s="182">
        <v>127268</v>
      </c>
      <c r="Q16" s="182">
        <v>6985</v>
      </c>
      <c r="R16" s="198">
        <f t="shared" si="1"/>
        <v>134253</v>
      </c>
      <c r="S16" s="103"/>
      <c r="U16" s="103"/>
    </row>
    <row r="17" spans="1:21">
      <c r="A17" s="1879" t="s">
        <v>140</v>
      </c>
      <c r="B17" s="1873" t="s">
        <v>107</v>
      </c>
      <c r="C17" s="612" t="s">
        <v>3</v>
      </c>
      <c r="D17" s="612"/>
      <c r="E17" s="613">
        <v>336</v>
      </c>
      <c r="F17" s="613"/>
      <c r="G17" s="613">
        <v>1445</v>
      </c>
      <c r="H17" s="613">
        <v>482</v>
      </c>
      <c r="I17" s="613">
        <v>0</v>
      </c>
      <c r="J17" s="613">
        <v>0</v>
      </c>
      <c r="K17" s="613">
        <v>0</v>
      </c>
      <c r="L17" s="613">
        <v>0</v>
      </c>
      <c r="M17" s="613">
        <v>0</v>
      </c>
      <c r="N17" s="613">
        <v>0</v>
      </c>
      <c r="O17" s="613">
        <v>0</v>
      </c>
      <c r="P17" s="613">
        <v>67099</v>
      </c>
      <c r="Q17" s="613">
        <f t="shared" si="0"/>
        <v>2263</v>
      </c>
      <c r="R17" s="614">
        <f t="shared" si="1"/>
        <v>69362</v>
      </c>
      <c r="S17" s="103"/>
      <c r="U17" s="103"/>
    </row>
    <row r="18" spans="1:21">
      <c r="A18" s="1880"/>
      <c r="B18" s="1882"/>
      <c r="C18" s="601" t="s">
        <v>894</v>
      </c>
      <c r="D18" s="228"/>
      <c r="E18" s="400">
        <v>336</v>
      </c>
      <c r="F18" s="400"/>
      <c r="G18" s="400">
        <v>1445</v>
      </c>
      <c r="H18" s="400">
        <v>482</v>
      </c>
      <c r="I18" s="400">
        <v>0</v>
      </c>
      <c r="J18" s="400">
        <v>0</v>
      </c>
      <c r="K18" s="400">
        <v>0</v>
      </c>
      <c r="L18" s="400">
        <v>0</v>
      </c>
      <c r="M18" s="400">
        <v>0</v>
      </c>
      <c r="N18" s="400">
        <v>0</v>
      </c>
      <c r="O18" s="400">
        <v>0</v>
      </c>
      <c r="P18" s="400">
        <v>67826</v>
      </c>
      <c r="Q18" s="400">
        <f>SUM(D18:O18)</f>
        <v>2263</v>
      </c>
      <c r="R18" s="414">
        <f t="shared" ref="R18" si="5">P18+Q18</f>
        <v>70089</v>
      </c>
      <c r="S18" s="103"/>
      <c r="U18" s="103"/>
    </row>
    <row r="19" spans="1:21" ht="15.75" thickBot="1">
      <c r="A19" s="1881"/>
      <c r="B19" s="1874"/>
      <c r="C19" s="1501" t="s">
        <v>1033</v>
      </c>
      <c r="D19" s="615"/>
      <c r="E19" s="182">
        <v>336</v>
      </c>
      <c r="F19" s="182"/>
      <c r="G19" s="182">
        <v>1445</v>
      </c>
      <c r="H19" s="182">
        <v>482</v>
      </c>
      <c r="I19" s="182">
        <v>0</v>
      </c>
      <c r="J19" s="182">
        <v>0</v>
      </c>
      <c r="K19" s="182">
        <v>0</v>
      </c>
      <c r="L19" s="182">
        <v>0</v>
      </c>
      <c r="M19" s="182">
        <v>0</v>
      </c>
      <c r="N19" s="182">
        <v>0</v>
      </c>
      <c r="O19" s="182">
        <v>649</v>
      </c>
      <c r="P19" s="182">
        <v>68078</v>
      </c>
      <c r="Q19" s="182">
        <v>2912</v>
      </c>
      <c r="R19" s="198">
        <f t="shared" si="1"/>
        <v>70990</v>
      </c>
      <c r="S19" s="103"/>
      <c r="U19" s="103"/>
    </row>
    <row r="20" spans="1:21">
      <c r="A20" s="1883" t="s">
        <v>141</v>
      </c>
      <c r="B20" s="1885" t="s">
        <v>107</v>
      </c>
      <c r="C20" s="610" t="s">
        <v>3</v>
      </c>
      <c r="D20" s="610"/>
      <c r="E20" s="611">
        <v>302</v>
      </c>
      <c r="F20" s="611"/>
      <c r="G20" s="611">
        <v>1770</v>
      </c>
      <c r="H20" s="611">
        <v>560</v>
      </c>
      <c r="I20" s="611">
        <v>0</v>
      </c>
      <c r="J20" s="611">
        <v>0</v>
      </c>
      <c r="K20" s="611">
        <v>0</v>
      </c>
      <c r="L20" s="611">
        <v>0</v>
      </c>
      <c r="M20" s="611">
        <v>0</v>
      </c>
      <c r="N20" s="611">
        <v>0</v>
      </c>
      <c r="O20" s="611">
        <v>0</v>
      </c>
      <c r="P20" s="611">
        <v>101520</v>
      </c>
      <c r="Q20" s="611">
        <f t="shared" si="0"/>
        <v>2632</v>
      </c>
      <c r="R20" s="436">
        <f t="shared" si="1"/>
        <v>104152</v>
      </c>
      <c r="S20" s="103"/>
      <c r="U20" s="103"/>
    </row>
    <row r="21" spans="1:21">
      <c r="A21" s="1880"/>
      <c r="B21" s="1882"/>
      <c r="C21" s="601" t="s">
        <v>894</v>
      </c>
      <c r="D21" s="228"/>
      <c r="E21" s="400">
        <v>302</v>
      </c>
      <c r="F21" s="400"/>
      <c r="G21" s="400">
        <v>1770</v>
      </c>
      <c r="H21" s="400">
        <v>560</v>
      </c>
      <c r="I21" s="400">
        <v>0</v>
      </c>
      <c r="J21" s="400">
        <v>0</v>
      </c>
      <c r="K21" s="400">
        <v>0</v>
      </c>
      <c r="L21" s="400">
        <v>0</v>
      </c>
      <c r="M21" s="400">
        <v>0</v>
      </c>
      <c r="N21" s="400">
        <v>0</v>
      </c>
      <c r="O21" s="400">
        <v>0</v>
      </c>
      <c r="P21" s="400">
        <v>103128</v>
      </c>
      <c r="Q21" s="400">
        <f>SUM(D21:O21)</f>
        <v>2632</v>
      </c>
      <c r="R21" s="414">
        <f t="shared" ref="R21" si="6">P21+Q21</f>
        <v>105760</v>
      </c>
      <c r="S21" s="103"/>
      <c r="U21" s="103"/>
    </row>
    <row r="22" spans="1:21" ht="15.75" thickBot="1">
      <c r="A22" s="1884"/>
      <c r="B22" s="1886"/>
      <c r="C22" s="1502" t="s">
        <v>1033</v>
      </c>
      <c r="D22" s="616"/>
      <c r="E22" s="419">
        <v>302</v>
      </c>
      <c r="F22" s="419"/>
      <c r="G22" s="419">
        <v>1770</v>
      </c>
      <c r="H22" s="419">
        <v>560</v>
      </c>
      <c r="I22" s="419">
        <v>0</v>
      </c>
      <c r="J22" s="419">
        <v>0</v>
      </c>
      <c r="K22" s="419">
        <v>0</v>
      </c>
      <c r="L22" s="419">
        <v>0</v>
      </c>
      <c r="M22" s="419">
        <v>0</v>
      </c>
      <c r="N22" s="419">
        <v>0</v>
      </c>
      <c r="O22" s="419">
        <v>76</v>
      </c>
      <c r="P22" s="419">
        <v>102792</v>
      </c>
      <c r="Q22" s="419">
        <v>2708</v>
      </c>
      <c r="R22" s="438">
        <f t="shared" si="1"/>
        <v>105500</v>
      </c>
      <c r="S22" s="103"/>
      <c r="U22" s="103"/>
    </row>
    <row r="23" spans="1:21" s="200" customFormat="1">
      <c r="A23" s="1896" t="s">
        <v>142</v>
      </c>
      <c r="B23" s="1873" t="s">
        <v>107</v>
      </c>
      <c r="C23" s="612" t="s">
        <v>3</v>
      </c>
      <c r="D23" s="612"/>
      <c r="E23" s="613">
        <v>0</v>
      </c>
      <c r="F23" s="613"/>
      <c r="G23" s="613">
        <v>308</v>
      </c>
      <c r="H23" s="613">
        <v>84</v>
      </c>
      <c r="I23" s="613">
        <v>0</v>
      </c>
      <c r="J23" s="613">
        <v>0</v>
      </c>
      <c r="K23" s="613">
        <v>0</v>
      </c>
      <c r="L23" s="613">
        <v>0</v>
      </c>
      <c r="M23" s="613">
        <v>0</v>
      </c>
      <c r="N23" s="613">
        <v>0</v>
      </c>
      <c r="O23" s="613">
        <v>0</v>
      </c>
      <c r="P23" s="613">
        <v>19046</v>
      </c>
      <c r="Q23" s="613">
        <f t="shared" si="0"/>
        <v>392</v>
      </c>
      <c r="R23" s="614">
        <f t="shared" si="1"/>
        <v>19438</v>
      </c>
      <c r="S23" s="103"/>
      <c r="U23" s="103"/>
    </row>
    <row r="24" spans="1:21" s="200" customFormat="1">
      <c r="A24" s="1897"/>
      <c r="B24" s="1882"/>
      <c r="C24" s="601" t="s">
        <v>870</v>
      </c>
      <c r="D24" s="228"/>
      <c r="E24" s="400">
        <v>0</v>
      </c>
      <c r="F24" s="400"/>
      <c r="G24" s="400">
        <v>308</v>
      </c>
      <c r="H24" s="400">
        <v>84</v>
      </c>
      <c r="I24" s="400">
        <v>0</v>
      </c>
      <c r="J24" s="400">
        <v>0</v>
      </c>
      <c r="K24" s="400">
        <v>0</v>
      </c>
      <c r="L24" s="400">
        <v>0</v>
      </c>
      <c r="M24" s="400">
        <v>0</v>
      </c>
      <c r="N24" s="400">
        <v>0</v>
      </c>
      <c r="O24" s="400">
        <v>0</v>
      </c>
      <c r="P24" s="400">
        <v>19046</v>
      </c>
      <c r="Q24" s="400">
        <f t="shared" ref="Q24" si="7">SUM(D24:O24)</f>
        <v>392</v>
      </c>
      <c r="R24" s="414">
        <f t="shared" ref="R24" si="8">P24+Q24</f>
        <v>19438</v>
      </c>
      <c r="S24" s="103"/>
      <c r="U24" s="103"/>
    </row>
    <row r="25" spans="1:21" s="200" customFormat="1" ht="15.75" thickBot="1">
      <c r="A25" s="1898"/>
      <c r="B25" s="1874"/>
      <c r="C25" s="1501" t="s">
        <v>1033</v>
      </c>
      <c r="D25" s="615"/>
      <c r="E25" s="182">
        <v>0</v>
      </c>
      <c r="F25" s="182"/>
      <c r="G25" s="182">
        <v>308</v>
      </c>
      <c r="H25" s="182">
        <v>84</v>
      </c>
      <c r="I25" s="182">
        <v>0</v>
      </c>
      <c r="J25" s="182">
        <v>0</v>
      </c>
      <c r="K25" s="182">
        <v>0</v>
      </c>
      <c r="L25" s="182">
        <v>0</v>
      </c>
      <c r="M25" s="182">
        <v>0</v>
      </c>
      <c r="N25" s="182">
        <v>0</v>
      </c>
      <c r="O25" s="182">
        <v>0</v>
      </c>
      <c r="P25" s="182">
        <v>18746</v>
      </c>
      <c r="Q25" s="182">
        <v>392</v>
      </c>
      <c r="R25" s="198">
        <f t="shared" si="1"/>
        <v>19138</v>
      </c>
      <c r="S25" s="103"/>
      <c r="U25" s="103"/>
    </row>
    <row r="26" spans="1:21">
      <c r="A26" s="1879" t="s">
        <v>143</v>
      </c>
      <c r="B26" s="1892" t="s">
        <v>107</v>
      </c>
      <c r="C26" s="624" t="s">
        <v>3</v>
      </c>
      <c r="D26" s="624"/>
      <c r="E26" s="625">
        <v>15662</v>
      </c>
      <c r="F26" s="625"/>
      <c r="G26" s="625">
        <v>6452</v>
      </c>
      <c r="H26" s="625">
        <v>4621</v>
      </c>
      <c r="I26" s="625">
        <v>0</v>
      </c>
      <c r="J26" s="625">
        <v>0</v>
      </c>
      <c r="K26" s="625">
        <v>0</v>
      </c>
      <c r="L26" s="625">
        <v>0</v>
      </c>
      <c r="M26" s="625">
        <v>0</v>
      </c>
      <c r="N26" s="625">
        <v>0</v>
      </c>
      <c r="O26" s="625">
        <v>0</v>
      </c>
      <c r="P26" s="625">
        <v>221655</v>
      </c>
      <c r="Q26" s="625">
        <f t="shared" si="0"/>
        <v>26735</v>
      </c>
      <c r="R26" s="626">
        <f t="shared" si="1"/>
        <v>248390</v>
      </c>
      <c r="S26" s="103"/>
      <c r="U26" s="103"/>
    </row>
    <row r="27" spans="1:21">
      <c r="A27" s="1880"/>
      <c r="B27" s="1882"/>
      <c r="C27" s="601" t="s">
        <v>894</v>
      </c>
      <c r="D27" s="228"/>
      <c r="E27" s="400">
        <v>15662</v>
      </c>
      <c r="F27" s="400"/>
      <c r="G27" s="400">
        <v>6452</v>
      </c>
      <c r="H27" s="400">
        <v>4621</v>
      </c>
      <c r="I27" s="400">
        <v>0</v>
      </c>
      <c r="J27" s="400">
        <v>0</v>
      </c>
      <c r="K27" s="400">
        <v>0</v>
      </c>
      <c r="L27" s="400">
        <v>0</v>
      </c>
      <c r="M27" s="400">
        <v>0</v>
      </c>
      <c r="N27" s="400">
        <v>0</v>
      </c>
      <c r="O27" s="400">
        <v>0</v>
      </c>
      <c r="P27" s="400">
        <v>223412</v>
      </c>
      <c r="Q27" s="400">
        <f>SUM(D27:O27)</f>
        <v>26735</v>
      </c>
      <c r="R27" s="414">
        <f t="shared" ref="R27" si="9">P27+Q27</f>
        <v>250147</v>
      </c>
      <c r="S27" s="103"/>
      <c r="U27" s="103"/>
    </row>
    <row r="28" spans="1:21" ht="15.75" thickBot="1">
      <c r="A28" s="1884"/>
      <c r="B28" s="1886"/>
      <c r="C28" s="1502" t="s">
        <v>1033</v>
      </c>
      <c r="D28" s="616"/>
      <c r="E28" s="419">
        <v>15662</v>
      </c>
      <c r="F28" s="419"/>
      <c r="G28" s="419">
        <v>9452</v>
      </c>
      <c r="H28" s="419">
        <v>4621</v>
      </c>
      <c r="I28" s="419">
        <v>0</v>
      </c>
      <c r="J28" s="419">
        <v>0</v>
      </c>
      <c r="K28" s="419">
        <v>0</v>
      </c>
      <c r="L28" s="419">
        <v>0</v>
      </c>
      <c r="M28" s="419">
        <v>0</v>
      </c>
      <c r="N28" s="419">
        <v>0</v>
      </c>
      <c r="O28" s="419">
        <v>730</v>
      </c>
      <c r="P28" s="419">
        <v>225134</v>
      </c>
      <c r="Q28" s="419">
        <v>30465</v>
      </c>
      <c r="R28" s="438">
        <f t="shared" si="1"/>
        <v>255599</v>
      </c>
      <c r="S28" s="103"/>
      <c r="U28" s="103"/>
    </row>
    <row r="29" spans="1:21">
      <c r="A29" s="1889" t="s">
        <v>879</v>
      </c>
      <c r="B29" s="1892" t="s">
        <v>107</v>
      </c>
      <c r="C29" s="624" t="s">
        <v>3</v>
      </c>
      <c r="D29" s="624"/>
      <c r="E29" s="625">
        <v>0</v>
      </c>
      <c r="F29" s="625"/>
      <c r="G29" s="625">
        <v>18744</v>
      </c>
      <c r="H29" s="625">
        <v>5062</v>
      </c>
      <c r="I29" s="625">
        <v>0</v>
      </c>
      <c r="J29" s="625">
        <v>0</v>
      </c>
      <c r="K29" s="625">
        <v>0</v>
      </c>
      <c r="L29" s="625">
        <v>0</v>
      </c>
      <c r="M29" s="625">
        <v>0</v>
      </c>
      <c r="N29" s="625">
        <v>0</v>
      </c>
      <c r="O29" s="625">
        <v>0</v>
      </c>
      <c r="P29" s="625">
        <v>62117</v>
      </c>
      <c r="Q29" s="625">
        <f t="shared" si="0"/>
        <v>23806</v>
      </c>
      <c r="R29" s="626">
        <f t="shared" si="1"/>
        <v>85923</v>
      </c>
      <c r="S29" s="103"/>
      <c r="U29" s="103"/>
    </row>
    <row r="30" spans="1:21">
      <c r="A30" s="1890"/>
      <c r="B30" s="1882"/>
      <c r="C30" s="601" t="s">
        <v>894</v>
      </c>
      <c r="D30" s="228"/>
      <c r="E30" s="400">
        <v>0</v>
      </c>
      <c r="F30" s="400"/>
      <c r="G30" s="400">
        <v>18744</v>
      </c>
      <c r="H30" s="400">
        <v>5062</v>
      </c>
      <c r="I30" s="400">
        <v>0</v>
      </c>
      <c r="J30" s="400">
        <v>0</v>
      </c>
      <c r="K30" s="400">
        <v>0</v>
      </c>
      <c r="L30" s="400">
        <v>0</v>
      </c>
      <c r="M30" s="400">
        <v>0</v>
      </c>
      <c r="N30" s="400">
        <v>0</v>
      </c>
      <c r="O30" s="400">
        <v>0</v>
      </c>
      <c r="P30" s="400">
        <v>42597</v>
      </c>
      <c r="Q30" s="400">
        <f>SUM(D30:O30)</f>
        <v>23806</v>
      </c>
      <c r="R30" s="414">
        <f t="shared" ref="R30" si="10">P30+Q30</f>
        <v>66403</v>
      </c>
      <c r="S30" s="103"/>
      <c r="U30" s="103"/>
    </row>
    <row r="31" spans="1:21" ht="15.75" thickBot="1">
      <c r="A31" s="1891"/>
      <c r="B31" s="1893"/>
      <c r="C31" s="1503" t="s">
        <v>1033</v>
      </c>
      <c r="D31" s="617"/>
      <c r="E31" s="618">
        <v>0</v>
      </c>
      <c r="F31" s="618"/>
      <c r="G31" s="618">
        <v>18744</v>
      </c>
      <c r="H31" s="618">
        <v>5062</v>
      </c>
      <c r="I31" s="618">
        <v>0</v>
      </c>
      <c r="J31" s="618">
        <v>0</v>
      </c>
      <c r="K31" s="618">
        <v>0</v>
      </c>
      <c r="L31" s="618">
        <v>0</v>
      </c>
      <c r="M31" s="618">
        <v>0</v>
      </c>
      <c r="N31" s="618">
        <v>0</v>
      </c>
      <c r="O31" s="618">
        <v>0</v>
      </c>
      <c r="P31" s="618">
        <v>42597</v>
      </c>
      <c r="Q31" s="618">
        <v>23806</v>
      </c>
      <c r="R31" s="619">
        <f t="shared" si="1"/>
        <v>66403</v>
      </c>
      <c r="S31" s="103"/>
      <c r="U31" s="103"/>
    </row>
    <row r="32" spans="1:21" ht="15.75" thickTop="1">
      <c r="A32" s="1894" t="s">
        <v>145</v>
      </c>
      <c r="B32" s="1895" t="s">
        <v>107</v>
      </c>
      <c r="C32" s="621" t="s">
        <v>3</v>
      </c>
      <c r="D32" s="621"/>
      <c r="E32" s="622">
        <v>0</v>
      </c>
      <c r="F32" s="622"/>
      <c r="G32" s="622">
        <v>12848</v>
      </c>
      <c r="H32" s="622">
        <v>3470</v>
      </c>
      <c r="I32" s="622">
        <v>0</v>
      </c>
      <c r="J32" s="622">
        <v>0</v>
      </c>
      <c r="K32" s="622">
        <v>0</v>
      </c>
      <c r="L32" s="622">
        <v>0</v>
      </c>
      <c r="M32" s="622">
        <v>0</v>
      </c>
      <c r="N32" s="622">
        <v>0</v>
      </c>
      <c r="O32" s="622">
        <v>0</v>
      </c>
      <c r="P32" s="622">
        <v>29139</v>
      </c>
      <c r="Q32" s="622">
        <f t="shared" si="0"/>
        <v>16318</v>
      </c>
      <c r="R32" s="623">
        <f t="shared" si="1"/>
        <v>45457</v>
      </c>
      <c r="S32" s="103"/>
      <c r="U32" s="103"/>
    </row>
    <row r="33" spans="1:21">
      <c r="A33" s="1890"/>
      <c r="B33" s="1882"/>
      <c r="C33" s="601" t="s">
        <v>894</v>
      </c>
      <c r="D33" s="228"/>
      <c r="E33" s="400">
        <v>0</v>
      </c>
      <c r="F33" s="400"/>
      <c r="G33" s="400">
        <v>12848</v>
      </c>
      <c r="H33" s="400">
        <v>3470</v>
      </c>
      <c r="I33" s="400">
        <v>0</v>
      </c>
      <c r="J33" s="400">
        <v>0</v>
      </c>
      <c r="K33" s="400">
        <v>0</v>
      </c>
      <c r="L33" s="400">
        <v>0</v>
      </c>
      <c r="M33" s="400">
        <v>0</v>
      </c>
      <c r="N33" s="400">
        <v>0</v>
      </c>
      <c r="O33" s="400">
        <v>0</v>
      </c>
      <c r="P33" s="400">
        <v>18531</v>
      </c>
      <c r="Q33" s="400">
        <f>SUM(D33:O33)</f>
        <v>16318</v>
      </c>
      <c r="R33" s="414">
        <f t="shared" ref="R33" si="11">P33+Q33</f>
        <v>34849</v>
      </c>
      <c r="S33" s="103"/>
      <c r="U33" s="103"/>
    </row>
    <row r="34" spans="1:21" ht="15.75" thickBot="1">
      <c r="A34" s="1891"/>
      <c r="B34" s="1893"/>
      <c r="C34" s="1503" t="s">
        <v>1033</v>
      </c>
      <c r="D34" s="617"/>
      <c r="E34" s="618">
        <v>0</v>
      </c>
      <c r="F34" s="618"/>
      <c r="G34" s="618">
        <v>12848</v>
      </c>
      <c r="H34" s="618">
        <v>3470</v>
      </c>
      <c r="I34" s="618">
        <v>0</v>
      </c>
      <c r="J34" s="618">
        <v>0</v>
      </c>
      <c r="K34" s="618">
        <v>0</v>
      </c>
      <c r="L34" s="618">
        <v>0</v>
      </c>
      <c r="M34" s="618">
        <v>0</v>
      </c>
      <c r="N34" s="618">
        <v>0</v>
      </c>
      <c r="O34" s="618">
        <v>0</v>
      </c>
      <c r="P34" s="618">
        <v>18531</v>
      </c>
      <c r="Q34" s="618">
        <v>16318</v>
      </c>
      <c r="R34" s="619">
        <f t="shared" si="1"/>
        <v>34849</v>
      </c>
      <c r="S34" s="103"/>
      <c r="U34" s="103"/>
    </row>
    <row r="35" spans="1:21" s="201" customFormat="1" ht="15.75" thickTop="1">
      <c r="A35" s="1883" t="s">
        <v>878</v>
      </c>
      <c r="B35" s="1902" t="s">
        <v>107</v>
      </c>
      <c r="C35" s="610" t="s">
        <v>3</v>
      </c>
      <c r="D35" s="620"/>
      <c r="E35" s="420">
        <v>0</v>
      </c>
      <c r="F35" s="420"/>
      <c r="G35" s="420">
        <v>31592</v>
      </c>
      <c r="H35" s="420">
        <v>8532</v>
      </c>
      <c r="I35" s="420">
        <v>0</v>
      </c>
      <c r="J35" s="420">
        <v>0</v>
      </c>
      <c r="K35" s="420">
        <v>0</v>
      </c>
      <c r="L35" s="420">
        <v>0</v>
      </c>
      <c r="M35" s="420">
        <v>0</v>
      </c>
      <c r="N35" s="420">
        <v>0</v>
      </c>
      <c r="O35" s="420">
        <v>0</v>
      </c>
      <c r="P35" s="420">
        <f>SUM(P29+P32)</f>
        <v>91256</v>
      </c>
      <c r="Q35" s="420">
        <f t="shared" si="0"/>
        <v>40124</v>
      </c>
      <c r="R35" s="436">
        <f t="shared" si="1"/>
        <v>131380</v>
      </c>
      <c r="S35" s="202"/>
      <c r="U35" s="202"/>
    </row>
    <row r="36" spans="1:21" s="201" customFormat="1">
      <c r="A36" s="1880"/>
      <c r="B36" s="1903"/>
      <c r="C36" s="601" t="s">
        <v>894</v>
      </c>
      <c r="D36" s="602">
        <f t="shared" ref="D36:P37" si="12">D30+D33</f>
        <v>0</v>
      </c>
      <c r="E36" s="403">
        <f t="shared" si="12"/>
        <v>0</v>
      </c>
      <c r="F36" s="403">
        <f t="shared" si="12"/>
        <v>0</v>
      </c>
      <c r="G36" s="403">
        <f t="shared" si="12"/>
        <v>31592</v>
      </c>
      <c r="H36" s="403">
        <f t="shared" si="12"/>
        <v>8532</v>
      </c>
      <c r="I36" s="403">
        <f t="shared" si="12"/>
        <v>0</v>
      </c>
      <c r="J36" s="403">
        <f t="shared" si="12"/>
        <v>0</v>
      </c>
      <c r="K36" s="403">
        <f t="shared" si="12"/>
        <v>0</v>
      </c>
      <c r="L36" s="403">
        <f t="shared" si="12"/>
        <v>0</v>
      </c>
      <c r="M36" s="403">
        <f t="shared" si="12"/>
        <v>0</v>
      </c>
      <c r="N36" s="403">
        <f t="shared" si="12"/>
        <v>0</v>
      </c>
      <c r="O36" s="403">
        <f t="shared" si="12"/>
        <v>0</v>
      </c>
      <c r="P36" s="403">
        <f t="shared" si="12"/>
        <v>61128</v>
      </c>
      <c r="Q36" s="403">
        <f t="shared" ref="Q36" si="13">SUM(D36:O36)</f>
        <v>40124</v>
      </c>
      <c r="R36" s="414">
        <f t="shared" ref="R36" si="14">SUM(D36:P36)</f>
        <v>101252</v>
      </c>
      <c r="S36" s="202"/>
      <c r="U36" s="202"/>
    </row>
    <row r="37" spans="1:21" s="201" customFormat="1" ht="15.75" thickBot="1">
      <c r="A37" s="1881"/>
      <c r="B37" s="1872"/>
      <c r="C37" s="1501" t="s">
        <v>1033</v>
      </c>
      <c r="D37" s="196">
        <f t="shared" si="12"/>
        <v>0</v>
      </c>
      <c r="E37" s="197">
        <f t="shared" si="12"/>
        <v>0</v>
      </c>
      <c r="F37" s="197">
        <f t="shared" si="12"/>
        <v>0</v>
      </c>
      <c r="G37" s="197">
        <f t="shared" si="12"/>
        <v>31592</v>
      </c>
      <c r="H37" s="197">
        <f t="shared" si="12"/>
        <v>8532</v>
      </c>
      <c r="I37" s="197">
        <f t="shared" si="12"/>
        <v>0</v>
      </c>
      <c r="J37" s="197">
        <f t="shared" si="12"/>
        <v>0</v>
      </c>
      <c r="K37" s="197">
        <f t="shared" si="12"/>
        <v>0</v>
      </c>
      <c r="L37" s="197">
        <f t="shared" si="12"/>
        <v>0</v>
      </c>
      <c r="M37" s="197">
        <f t="shared" si="12"/>
        <v>0</v>
      </c>
      <c r="N37" s="197">
        <f t="shared" si="12"/>
        <v>0</v>
      </c>
      <c r="O37" s="197">
        <f t="shared" si="12"/>
        <v>0</v>
      </c>
      <c r="P37" s="197">
        <f t="shared" si="12"/>
        <v>61128</v>
      </c>
      <c r="Q37" s="197">
        <f t="shared" ref="Q37" si="15">SUM(D37:O37)</f>
        <v>40124</v>
      </c>
      <c r="R37" s="198">
        <f t="shared" ref="R37" si="16">SUM(D37:P37)</f>
        <v>101252</v>
      </c>
      <c r="S37" s="202"/>
      <c r="U37" s="202"/>
    </row>
    <row r="38" spans="1:21">
      <c r="A38" s="1904" t="s">
        <v>147</v>
      </c>
      <c r="B38" s="1885" t="s">
        <v>107</v>
      </c>
      <c r="C38" s="610" t="s">
        <v>3</v>
      </c>
      <c r="D38" s="610"/>
      <c r="E38" s="611">
        <v>13500</v>
      </c>
      <c r="F38" s="611"/>
      <c r="G38" s="611">
        <v>20586</v>
      </c>
      <c r="H38" s="611">
        <v>5559</v>
      </c>
      <c r="I38" s="611">
        <v>0</v>
      </c>
      <c r="J38" s="611">
        <v>0</v>
      </c>
      <c r="K38" s="611">
        <v>0</v>
      </c>
      <c r="L38" s="611">
        <v>0</v>
      </c>
      <c r="M38" s="611">
        <v>0</v>
      </c>
      <c r="N38" s="611">
        <v>0</v>
      </c>
      <c r="O38" s="611">
        <v>0</v>
      </c>
      <c r="P38" s="611">
        <v>83843</v>
      </c>
      <c r="Q38" s="611">
        <f t="shared" si="0"/>
        <v>39645</v>
      </c>
      <c r="R38" s="436">
        <f t="shared" si="1"/>
        <v>123488</v>
      </c>
      <c r="S38" s="103"/>
      <c r="U38" s="103"/>
    </row>
    <row r="39" spans="1:21">
      <c r="A39" s="1900"/>
      <c r="B39" s="1882"/>
      <c r="C39" s="601" t="s">
        <v>894</v>
      </c>
      <c r="D39" s="228"/>
      <c r="E39" s="400">
        <v>13500</v>
      </c>
      <c r="F39" s="400"/>
      <c r="G39" s="400">
        <v>20586</v>
      </c>
      <c r="H39" s="400">
        <v>5559</v>
      </c>
      <c r="I39" s="400">
        <v>0</v>
      </c>
      <c r="J39" s="400">
        <v>0</v>
      </c>
      <c r="K39" s="400">
        <v>0</v>
      </c>
      <c r="L39" s="400">
        <v>0</v>
      </c>
      <c r="M39" s="400">
        <v>0</v>
      </c>
      <c r="N39" s="400">
        <v>0</v>
      </c>
      <c r="O39" s="400">
        <v>0</v>
      </c>
      <c r="P39" s="400">
        <v>65468</v>
      </c>
      <c r="Q39" s="400">
        <f>SUM(D39:O39)</f>
        <v>39645</v>
      </c>
      <c r="R39" s="414">
        <f t="shared" ref="R39" si="17">P39+Q39</f>
        <v>105113</v>
      </c>
      <c r="S39" s="103"/>
      <c r="U39" s="103"/>
    </row>
    <row r="40" spans="1:21" ht="15.75" thickBot="1">
      <c r="A40" s="1901"/>
      <c r="B40" s="1893"/>
      <c r="C40" s="1503" t="s">
        <v>1033</v>
      </c>
      <c r="D40" s="617"/>
      <c r="E40" s="618">
        <v>13500</v>
      </c>
      <c r="F40" s="618"/>
      <c r="G40" s="618">
        <v>20586</v>
      </c>
      <c r="H40" s="618">
        <v>5559</v>
      </c>
      <c r="I40" s="618">
        <v>0</v>
      </c>
      <c r="J40" s="618">
        <v>0</v>
      </c>
      <c r="K40" s="618">
        <v>0</v>
      </c>
      <c r="L40" s="618">
        <v>0</v>
      </c>
      <c r="M40" s="618">
        <v>0</v>
      </c>
      <c r="N40" s="618">
        <v>0</v>
      </c>
      <c r="O40" s="618">
        <v>0</v>
      </c>
      <c r="P40" s="618">
        <v>65468</v>
      </c>
      <c r="Q40" s="618">
        <v>39645</v>
      </c>
      <c r="R40" s="619">
        <f t="shared" si="1"/>
        <v>105113</v>
      </c>
      <c r="S40" s="103"/>
      <c r="U40" s="103"/>
    </row>
    <row r="41" spans="1:21" ht="15.75" thickTop="1">
      <c r="A41" s="1899" t="s">
        <v>148</v>
      </c>
      <c r="B41" s="1895" t="s">
        <v>107</v>
      </c>
      <c r="C41" s="621" t="s">
        <v>3</v>
      </c>
      <c r="D41" s="621"/>
      <c r="E41" s="622">
        <v>0</v>
      </c>
      <c r="F41" s="622"/>
      <c r="G41" s="622">
        <v>9230</v>
      </c>
      <c r="H41" s="622">
        <v>2493</v>
      </c>
      <c r="I41" s="622">
        <v>0</v>
      </c>
      <c r="J41" s="622">
        <v>0</v>
      </c>
      <c r="K41" s="622">
        <v>0</v>
      </c>
      <c r="L41" s="622">
        <v>0</v>
      </c>
      <c r="M41" s="622">
        <v>0</v>
      </c>
      <c r="N41" s="622">
        <v>0</v>
      </c>
      <c r="O41" s="622">
        <v>0</v>
      </c>
      <c r="P41" s="622">
        <v>24397</v>
      </c>
      <c r="Q41" s="622">
        <f t="shared" si="0"/>
        <v>11723</v>
      </c>
      <c r="R41" s="623">
        <f t="shared" si="1"/>
        <v>36120</v>
      </c>
      <c r="S41" s="103"/>
      <c r="U41" s="103"/>
    </row>
    <row r="42" spans="1:21">
      <c r="A42" s="1900"/>
      <c r="B42" s="1882"/>
      <c r="C42" s="601" t="s">
        <v>894</v>
      </c>
      <c r="D42" s="228"/>
      <c r="E42" s="400">
        <v>0</v>
      </c>
      <c r="F42" s="400"/>
      <c r="G42" s="400">
        <v>9230</v>
      </c>
      <c r="H42" s="400">
        <v>2493</v>
      </c>
      <c r="I42" s="400">
        <v>0</v>
      </c>
      <c r="J42" s="400">
        <v>0</v>
      </c>
      <c r="K42" s="400">
        <v>0</v>
      </c>
      <c r="L42" s="400">
        <v>0</v>
      </c>
      <c r="M42" s="400">
        <v>0</v>
      </c>
      <c r="N42" s="400">
        <v>0</v>
      </c>
      <c r="O42" s="400">
        <v>0</v>
      </c>
      <c r="P42" s="400">
        <v>16728</v>
      </c>
      <c r="Q42" s="400">
        <f>SUM(D42:O42)</f>
        <v>11723</v>
      </c>
      <c r="R42" s="414">
        <f t="shared" ref="R42" si="18">P42+Q42</f>
        <v>28451</v>
      </c>
      <c r="S42" s="103"/>
      <c r="U42" s="103"/>
    </row>
    <row r="43" spans="1:21" ht="15.75" thickBot="1">
      <c r="A43" s="1901"/>
      <c r="B43" s="1893"/>
      <c r="C43" s="1503" t="s">
        <v>1033</v>
      </c>
      <c r="D43" s="617"/>
      <c r="E43" s="618">
        <v>0</v>
      </c>
      <c r="F43" s="618"/>
      <c r="G43" s="618">
        <v>9230</v>
      </c>
      <c r="H43" s="618">
        <v>2493</v>
      </c>
      <c r="I43" s="618">
        <v>0</v>
      </c>
      <c r="J43" s="618">
        <v>0</v>
      </c>
      <c r="K43" s="618">
        <v>0</v>
      </c>
      <c r="L43" s="618">
        <v>0</v>
      </c>
      <c r="M43" s="618">
        <v>0</v>
      </c>
      <c r="N43" s="618">
        <v>0</v>
      </c>
      <c r="O43" s="618">
        <v>0</v>
      </c>
      <c r="P43" s="618">
        <v>16728</v>
      </c>
      <c r="Q43" s="618">
        <v>11723</v>
      </c>
      <c r="R43" s="619">
        <f t="shared" si="1"/>
        <v>28451</v>
      </c>
      <c r="S43" s="103"/>
      <c r="U43" s="103"/>
    </row>
    <row r="44" spans="1:21" s="203" customFormat="1" ht="15.75" thickTop="1">
      <c r="A44" s="1883" t="s">
        <v>149</v>
      </c>
      <c r="B44" s="1902" t="s">
        <v>107</v>
      </c>
      <c r="C44" s="610" t="s">
        <v>3</v>
      </c>
      <c r="D44" s="620"/>
      <c r="E44" s="420">
        <v>13500</v>
      </c>
      <c r="F44" s="420"/>
      <c r="G44" s="420">
        <v>29816</v>
      </c>
      <c r="H44" s="420">
        <v>8052</v>
      </c>
      <c r="I44" s="420">
        <v>0</v>
      </c>
      <c r="J44" s="420">
        <v>0</v>
      </c>
      <c r="K44" s="420">
        <v>0</v>
      </c>
      <c r="L44" s="420">
        <v>0</v>
      </c>
      <c r="M44" s="420">
        <v>0</v>
      </c>
      <c r="N44" s="420">
        <v>0</v>
      </c>
      <c r="O44" s="420">
        <v>0</v>
      </c>
      <c r="P44" s="420">
        <f>SUM(P38+P41)</f>
        <v>108240</v>
      </c>
      <c r="Q44" s="420">
        <f t="shared" si="0"/>
        <v>51368</v>
      </c>
      <c r="R44" s="436">
        <f t="shared" si="1"/>
        <v>159608</v>
      </c>
      <c r="S44" s="202"/>
      <c r="U44" s="202"/>
    </row>
    <row r="45" spans="1:21" s="203" customFormat="1">
      <c r="A45" s="1880"/>
      <c r="B45" s="1903"/>
      <c r="C45" s="601" t="s">
        <v>894</v>
      </c>
      <c r="D45" s="602">
        <f t="shared" ref="D45:P46" si="19">D39+D42</f>
        <v>0</v>
      </c>
      <c r="E45" s="403">
        <f t="shared" si="19"/>
        <v>13500</v>
      </c>
      <c r="F45" s="403">
        <f t="shared" si="19"/>
        <v>0</v>
      </c>
      <c r="G45" s="403">
        <f t="shared" si="19"/>
        <v>29816</v>
      </c>
      <c r="H45" s="403">
        <f t="shared" si="19"/>
        <v>8052</v>
      </c>
      <c r="I45" s="403">
        <f t="shared" si="19"/>
        <v>0</v>
      </c>
      <c r="J45" s="403">
        <f t="shared" si="19"/>
        <v>0</v>
      </c>
      <c r="K45" s="403">
        <f t="shared" si="19"/>
        <v>0</v>
      </c>
      <c r="L45" s="403">
        <f t="shared" si="19"/>
        <v>0</v>
      </c>
      <c r="M45" s="403">
        <f t="shared" si="19"/>
        <v>0</v>
      </c>
      <c r="N45" s="403">
        <f t="shared" si="19"/>
        <v>0</v>
      </c>
      <c r="O45" s="403">
        <f t="shared" si="19"/>
        <v>0</v>
      </c>
      <c r="P45" s="403">
        <f t="shared" si="19"/>
        <v>82196</v>
      </c>
      <c r="Q45" s="403">
        <f t="shared" ref="Q45" si="20">SUM(D45:O45)</f>
        <v>51368</v>
      </c>
      <c r="R45" s="414">
        <f t="shared" ref="R45" si="21">SUM(D45:P45)</f>
        <v>133564</v>
      </c>
      <c r="S45" s="202"/>
      <c r="U45" s="202"/>
    </row>
    <row r="46" spans="1:21" s="203" customFormat="1" ht="15.75" thickBot="1">
      <c r="A46" s="1881"/>
      <c r="B46" s="1872"/>
      <c r="C46" s="1501" t="s">
        <v>1033</v>
      </c>
      <c r="D46" s="196">
        <f t="shared" si="19"/>
        <v>0</v>
      </c>
      <c r="E46" s="197">
        <f t="shared" si="19"/>
        <v>13500</v>
      </c>
      <c r="F46" s="197">
        <f t="shared" si="19"/>
        <v>0</v>
      </c>
      <c r="G46" s="197">
        <f t="shared" si="19"/>
        <v>29816</v>
      </c>
      <c r="H46" s="197">
        <f t="shared" si="19"/>
        <v>8052</v>
      </c>
      <c r="I46" s="197">
        <f t="shared" si="19"/>
        <v>0</v>
      </c>
      <c r="J46" s="197">
        <f t="shared" si="19"/>
        <v>0</v>
      </c>
      <c r="K46" s="197">
        <f t="shared" si="19"/>
        <v>0</v>
      </c>
      <c r="L46" s="197">
        <f t="shared" si="19"/>
        <v>0</v>
      </c>
      <c r="M46" s="197">
        <f t="shared" si="19"/>
        <v>0</v>
      </c>
      <c r="N46" s="197">
        <f t="shared" si="19"/>
        <v>0</v>
      </c>
      <c r="O46" s="197">
        <f t="shared" si="19"/>
        <v>0</v>
      </c>
      <c r="P46" s="197">
        <f t="shared" si="19"/>
        <v>82196</v>
      </c>
      <c r="Q46" s="197">
        <f t="shared" ref="Q46" si="22">SUM(D46:O46)</f>
        <v>51368</v>
      </c>
      <c r="R46" s="198">
        <f t="shared" ref="R46" si="23">SUM(D46:P46)</f>
        <v>133564</v>
      </c>
      <c r="S46" s="202"/>
      <c r="U46" s="202"/>
    </row>
    <row r="47" spans="1:21">
      <c r="A47" s="1909" t="s">
        <v>150</v>
      </c>
      <c r="B47" s="1873" t="s">
        <v>107</v>
      </c>
      <c r="C47" s="612" t="s">
        <v>3</v>
      </c>
      <c r="D47" s="612"/>
      <c r="E47" s="613">
        <v>0</v>
      </c>
      <c r="F47" s="613"/>
      <c r="G47" s="613">
        <v>4056</v>
      </c>
      <c r="H47" s="613">
        <v>1096</v>
      </c>
      <c r="I47" s="613">
        <v>0</v>
      </c>
      <c r="J47" s="613">
        <v>0</v>
      </c>
      <c r="K47" s="613">
        <v>0</v>
      </c>
      <c r="L47" s="613">
        <v>0</v>
      </c>
      <c r="M47" s="613">
        <v>0</v>
      </c>
      <c r="N47" s="613">
        <v>0</v>
      </c>
      <c r="O47" s="613">
        <v>0</v>
      </c>
      <c r="P47" s="613">
        <v>28995</v>
      </c>
      <c r="Q47" s="613">
        <f t="shared" si="0"/>
        <v>5152</v>
      </c>
      <c r="R47" s="614">
        <f t="shared" si="1"/>
        <v>34147</v>
      </c>
      <c r="S47" s="103"/>
      <c r="U47" s="103"/>
    </row>
    <row r="48" spans="1:21">
      <c r="A48" s="1910"/>
      <c r="B48" s="1882"/>
      <c r="C48" s="601" t="s">
        <v>894</v>
      </c>
      <c r="D48" s="228"/>
      <c r="E48" s="400">
        <v>0</v>
      </c>
      <c r="F48" s="400"/>
      <c r="G48" s="400">
        <v>4056</v>
      </c>
      <c r="H48" s="400">
        <v>1096</v>
      </c>
      <c r="I48" s="400">
        <v>0</v>
      </c>
      <c r="J48" s="400">
        <v>0</v>
      </c>
      <c r="K48" s="400">
        <v>0</v>
      </c>
      <c r="L48" s="400">
        <v>0</v>
      </c>
      <c r="M48" s="400">
        <v>0</v>
      </c>
      <c r="N48" s="400">
        <v>0</v>
      </c>
      <c r="O48" s="400">
        <v>0</v>
      </c>
      <c r="P48" s="400">
        <v>21814</v>
      </c>
      <c r="Q48" s="400">
        <f>SUM(D48:O48)</f>
        <v>5152</v>
      </c>
      <c r="R48" s="414">
        <f t="shared" ref="R48" si="24">P48+Q48</f>
        <v>26966</v>
      </c>
      <c r="S48" s="103"/>
      <c r="U48" s="103"/>
    </row>
    <row r="49" spans="1:21" ht="15.75" thickBot="1">
      <c r="A49" s="1911"/>
      <c r="B49" s="1874"/>
      <c r="C49" s="1501" t="s">
        <v>1033</v>
      </c>
      <c r="D49" s="615"/>
      <c r="E49" s="182">
        <v>0</v>
      </c>
      <c r="F49" s="182"/>
      <c r="G49" s="182">
        <v>4056</v>
      </c>
      <c r="H49" s="182">
        <v>1096</v>
      </c>
      <c r="I49" s="182">
        <v>0</v>
      </c>
      <c r="J49" s="182">
        <v>0</v>
      </c>
      <c r="K49" s="182">
        <v>0</v>
      </c>
      <c r="L49" s="182">
        <v>0</v>
      </c>
      <c r="M49" s="182">
        <v>0</v>
      </c>
      <c r="N49" s="182">
        <v>0</v>
      </c>
      <c r="O49" s="182">
        <v>0</v>
      </c>
      <c r="P49" s="182">
        <v>21814</v>
      </c>
      <c r="Q49" s="182">
        <v>5152</v>
      </c>
      <c r="R49" s="198">
        <f t="shared" si="1"/>
        <v>26966</v>
      </c>
      <c r="S49" s="103"/>
      <c r="U49" s="103"/>
    </row>
    <row r="50" spans="1:21">
      <c r="A50" s="1909" t="s">
        <v>151</v>
      </c>
      <c r="B50" s="1892" t="s">
        <v>107</v>
      </c>
      <c r="C50" s="624" t="s">
        <v>3</v>
      </c>
      <c r="D50" s="624"/>
      <c r="E50" s="625">
        <v>0</v>
      </c>
      <c r="F50" s="625"/>
      <c r="G50" s="625">
        <v>3261</v>
      </c>
      <c r="H50" s="625">
        <v>881</v>
      </c>
      <c r="I50" s="625">
        <v>0</v>
      </c>
      <c r="J50" s="625">
        <v>0</v>
      </c>
      <c r="K50" s="625">
        <v>0</v>
      </c>
      <c r="L50" s="625">
        <v>0</v>
      </c>
      <c r="M50" s="625">
        <v>0</v>
      </c>
      <c r="N50" s="625">
        <v>0</v>
      </c>
      <c r="O50" s="625">
        <v>0</v>
      </c>
      <c r="P50" s="625">
        <v>8595</v>
      </c>
      <c r="Q50" s="625">
        <f t="shared" si="0"/>
        <v>4142</v>
      </c>
      <c r="R50" s="626">
        <f t="shared" si="1"/>
        <v>12737</v>
      </c>
      <c r="S50" s="103"/>
      <c r="U50" s="103"/>
    </row>
    <row r="51" spans="1:21">
      <c r="A51" s="1910"/>
      <c r="B51" s="1882"/>
      <c r="C51" s="601" t="s">
        <v>894</v>
      </c>
      <c r="D51" s="228"/>
      <c r="E51" s="400">
        <v>0</v>
      </c>
      <c r="F51" s="400"/>
      <c r="G51" s="400">
        <v>3261</v>
      </c>
      <c r="H51" s="400">
        <v>881</v>
      </c>
      <c r="I51" s="400">
        <v>0</v>
      </c>
      <c r="J51" s="400">
        <v>0</v>
      </c>
      <c r="K51" s="400">
        <v>0</v>
      </c>
      <c r="L51" s="400">
        <v>0</v>
      </c>
      <c r="M51" s="400">
        <v>0</v>
      </c>
      <c r="N51" s="400">
        <v>0</v>
      </c>
      <c r="O51" s="400">
        <v>0</v>
      </c>
      <c r="P51" s="400">
        <v>5913</v>
      </c>
      <c r="Q51" s="400">
        <f>SUM(D51:O51)</f>
        <v>4142</v>
      </c>
      <c r="R51" s="414">
        <f t="shared" ref="R51" si="25">P51+Q51</f>
        <v>10055</v>
      </c>
      <c r="S51" s="103"/>
      <c r="U51" s="103"/>
    </row>
    <row r="52" spans="1:21" ht="15.75" thickBot="1">
      <c r="A52" s="1911"/>
      <c r="B52" s="1874"/>
      <c r="C52" s="1501" t="s">
        <v>1033</v>
      </c>
      <c r="D52" s="615"/>
      <c r="E52" s="182">
        <v>0</v>
      </c>
      <c r="F52" s="182"/>
      <c r="G52" s="182">
        <v>3261</v>
      </c>
      <c r="H52" s="182">
        <v>881</v>
      </c>
      <c r="I52" s="182">
        <v>0</v>
      </c>
      <c r="J52" s="182">
        <v>0</v>
      </c>
      <c r="K52" s="182">
        <v>0</v>
      </c>
      <c r="L52" s="182">
        <v>0</v>
      </c>
      <c r="M52" s="182">
        <v>0</v>
      </c>
      <c r="N52" s="182">
        <v>0</v>
      </c>
      <c r="O52" s="182">
        <v>0</v>
      </c>
      <c r="P52" s="182">
        <v>5913</v>
      </c>
      <c r="Q52" s="182">
        <v>4142</v>
      </c>
      <c r="R52" s="198">
        <f t="shared" si="1"/>
        <v>10055</v>
      </c>
      <c r="S52" s="103"/>
      <c r="U52" s="103"/>
    </row>
    <row r="53" spans="1:21">
      <c r="A53" s="1869" t="s">
        <v>871</v>
      </c>
      <c r="B53" s="1892" t="s">
        <v>107</v>
      </c>
      <c r="C53" s="624" t="s">
        <v>3</v>
      </c>
      <c r="D53" s="624"/>
      <c r="E53" s="625">
        <v>0</v>
      </c>
      <c r="F53" s="625"/>
      <c r="G53" s="625">
        <v>30077</v>
      </c>
      <c r="H53" s="625">
        <v>16121</v>
      </c>
      <c r="I53" s="625">
        <v>0</v>
      </c>
      <c r="J53" s="625">
        <v>0</v>
      </c>
      <c r="K53" s="625">
        <v>0</v>
      </c>
      <c r="L53" s="625">
        <v>0</v>
      </c>
      <c r="M53" s="625">
        <v>0</v>
      </c>
      <c r="N53" s="625">
        <v>0</v>
      </c>
      <c r="O53" s="625">
        <v>0</v>
      </c>
      <c r="P53" s="625">
        <v>40504</v>
      </c>
      <c r="Q53" s="625">
        <f t="shared" si="0"/>
        <v>46198</v>
      </c>
      <c r="R53" s="626">
        <f t="shared" si="1"/>
        <v>86702</v>
      </c>
      <c r="S53" s="103"/>
      <c r="U53" s="103"/>
    </row>
    <row r="54" spans="1:21">
      <c r="A54" s="1905"/>
      <c r="B54" s="1882"/>
      <c r="C54" s="601" t="s">
        <v>894</v>
      </c>
      <c r="D54" s="228"/>
      <c r="E54" s="400">
        <v>0</v>
      </c>
      <c r="F54" s="400"/>
      <c r="G54" s="400">
        <v>30077</v>
      </c>
      <c r="H54" s="400">
        <v>16121</v>
      </c>
      <c r="I54" s="400">
        <v>0</v>
      </c>
      <c r="J54" s="400">
        <v>0</v>
      </c>
      <c r="K54" s="400">
        <v>0</v>
      </c>
      <c r="L54" s="400">
        <v>0</v>
      </c>
      <c r="M54" s="400">
        <v>0</v>
      </c>
      <c r="N54" s="400">
        <v>0</v>
      </c>
      <c r="O54" s="400">
        <v>0</v>
      </c>
      <c r="P54" s="400">
        <v>40504</v>
      </c>
      <c r="Q54" s="400">
        <f>SUM(D54:O54)</f>
        <v>46198</v>
      </c>
      <c r="R54" s="414">
        <f t="shared" ref="R54" si="26">P54+Q54</f>
        <v>86702</v>
      </c>
      <c r="S54" s="103"/>
      <c r="U54" s="103"/>
    </row>
    <row r="55" spans="1:21" ht="15.75" thickBot="1">
      <c r="A55" s="1870"/>
      <c r="B55" s="1874"/>
      <c r="C55" s="1501" t="s">
        <v>1033</v>
      </c>
      <c r="D55" s="615"/>
      <c r="E55" s="182">
        <v>0</v>
      </c>
      <c r="F55" s="182"/>
      <c r="G55" s="182">
        <v>30077</v>
      </c>
      <c r="H55" s="182">
        <v>16121</v>
      </c>
      <c r="I55" s="182">
        <v>0</v>
      </c>
      <c r="J55" s="182">
        <v>0</v>
      </c>
      <c r="K55" s="182">
        <v>0</v>
      </c>
      <c r="L55" s="182">
        <v>0</v>
      </c>
      <c r="M55" s="182">
        <v>0</v>
      </c>
      <c r="N55" s="182">
        <v>0</v>
      </c>
      <c r="O55" s="182">
        <v>0</v>
      </c>
      <c r="P55" s="182">
        <v>40504</v>
      </c>
      <c r="Q55" s="182">
        <v>46198</v>
      </c>
      <c r="R55" s="198">
        <f t="shared" si="1"/>
        <v>86702</v>
      </c>
      <c r="S55" s="103"/>
      <c r="U55" s="103"/>
    </row>
    <row r="56" spans="1:21">
      <c r="A56" s="1879" t="s">
        <v>152</v>
      </c>
      <c r="B56" s="1906" t="s">
        <v>153</v>
      </c>
      <c r="C56" s="624" t="s">
        <v>3</v>
      </c>
      <c r="D56" s="627"/>
      <c r="E56" s="628">
        <v>0</v>
      </c>
      <c r="F56" s="628"/>
      <c r="G56" s="628">
        <v>0</v>
      </c>
      <c r="H56" s="628">
        <v>15300</v>
      </c>
      <c r="I56" s="628">
        <v>0</v>
      </c>
      <c r="J56" s="628">
        <v>0</v>
      </c>
      <c r="K56" s="628">
        <v>0</v>
      </c>
      <c r="L56" s="628">
        <v>0</v>
      </c>
      <c r="M56" s="628">
        <v>0</v>
      </c>
      <c r="N56" s="628">
        <v>0</v>
      </c>
      <c r="O56" s="628">
        <v>0</v>
      </c>
      <c r="P56" s="625">
        <v>74815</v>
      </c>
      <c r="Q56" s="625">
        <f t="shared" si="0"/>
        <v>15300</v>
      </c>
      <c r="R56" s="626">
        <f t="shared" si="1"/>
        <v>90115</v>
      </c>
      <c r="S56" s="103"/>
      <c r="U56" s="103"/>
    </row>
    <row r="57" spans="1:21">
      <c r="A57" s="1880"/>
      <c r="B57" s="1907"/>
      <c r="C57" s="601" t="s">
        <v>894</v>
      </c>
      <c r="D57" s="604"/>
      <c r="E57" s="605">
        <v>0</v>
      </c>
      <c r="F57" s="605"/>
      <c r="G57" s="605">
        <v>0</v>
      </c>
      <c r="H57" s="605">
        <v>15300</v>
      </c>
      <c r="I57" s="605">
        <v>0</v>
      </c>
      <c r="J57" s="605">
        <v>0</v>
      </c>
      <c r="K57" s="605">
        <v>0</v>
      </c>
      <c r="L57" s="605">
        <v>0</v>
      </c>
      <c r="M57" s="605">
        <v>0</v>
      </c>
      <c r="N57" s="605">
        <v>0</v>
      </c>
      <c r="O57" s="605">
        <v>0</v>
      </c>
      <c r="P57" s="400">
        <v>75315</v>
      </c>
      <c r="Q57" s="400">
        <f>SUM(D57:O57)</f>
        <v>15300</v>
      </c>
      <c r="R57" s="414">
        <f t="shared" ref="R57" si="27">P57+Q57</f>
        <v>90615</v>
      </c>
      <c r="S57" s="103"/>
      <c r="U57" s="103"/>
    </row>
    <row r="58" spans="1:21" ht="15.75" thickBot="1">
      <c r="A58" s="1881"/>
      <c r="B58" s="1908"/>
      <c r="C58" s="1501" t="s">
        <v>1033</v>
      </c>
      <c r="D58" s="629"/>
      <c r="E58" s="630">
        <v>0</v>
      </c>
      <c r="F58" s="630"/>
      <c r="G58" s="630">
        <v>0</v>
      </c>
      <c r="H58" s="630">
        <v>15300</v>
      </c>
      <c r="I58" s="630">
        <v>0</v>
      </c>
      <c r="J58" s="630">
        <v>268</v>
      </c>
      <c r="K58" s="630">
        <v>0</v>
      </c>
      <c r="L58" s="630">
        <v>0</v>
      </c>
      <c r="M58" s="630">
        <v>0</v>
      </c>
      <c r="N58" s="630">
        <v>0</v>
      </c>
      <c r="O58" s="630">
        <v>174</v>
      </c>
      <c r="P58" s="182">
        <v>74228</v>
      </c>
      <c r="Q58" s="182">
        <v>15742</v>
      </c>
      <c r="R58" s="198">
        <f t="shared" si="1"/>
        <v>89970</v>
      </c>
      <c r="S58" s="103"/>
      <c r="U58" s="103"/>
    </row>
    <row r="59" spans="1:21" s="201" customFormat="1">
      <c r="A59" s="1879" t="s">
        <v>154</v>
      </c>
      <c r="B59" s="1915"/>
      <c r="C59" s="624" t="s">
        <v>3</v>
      </c>
      <c r="D59" s="631"/>
      <c r="E59" s="632">
        <v>13500</v>
      </c>
      <c r="F59" s="632"/>
      <c r="G59" s="632">
        <v>98802</v>
      </c>
      <c r="H59" s="632">
        <v>49982</v>
      </c>
      <c r="I59" s="632">
        <v>0</v>
      </c>
      <c r="J59" s="632">
        <v>0</v>
      </c>
      <c r="K59" s="632">
        <v>0</v>
      </c>
      <c r="L59" s="632">
        <v>0</v>
      </c>
      <c r="M59" s="632">
        <v>0</v>
      </c>
      <c r="N59" s="632">
        <v>0</v>
      </c>
      <c r="O59" s="632">
        <v>0</v>
      </c>
      <c r="P59" s="632">
        <f>SUM(P35+P47+P50+P53+P56+P44)</f>
        <v>352405</v>
      </c>
      <c r="Q59" s="632">
        <f t="shared" si="0"/>
        <v>162284</v>
      </c>
      <c r="R59" s="626">
        <f t="shared" si="1"/>
        <v>514689</v>
      </c>
      <c r="S59" s="202"/>
      <c r="U59" s="202"/>
    </row>
    <row r="60" spans="1:21" s="201" customFormat="1">
      <c r="A60" s="1880"/>
      <c r="B60" s="1903"/>
      <c r="C60" s="601" t="s">
        <v>947</v>
      </c>
      <c r="D60" s="602">
        <f t="shared" ref="D60:P61" si="28">D36+D45+D48+D51+D57+D54</f>
        <v>0</v>
      </c>
      <c r="E60" s="403">
        <f t="shared" si="28"/>
        <v>13500</v>
      </c>
      <c r="F60" s="403">
        <f t="shared" si="28"/>
        <v>0</v>
      </c>
      <c r="G60" s="403">
        <f t="shared" si="28"/>
        <v>98802</v>
      </c>
      <c r="H60" s="403">
        <f t="shared" si="28"/>
        <v>49982</v>
      </c>
      <c r="I60" s="403">
        <f t="shared" si="28"/>
        <v>0</v>
      </c>
      <c r="J60" s="403">
        <f t="shared" si="28"/>
        <v>0</v>
      </c>
      <c r="K60" s="403">
        <f t="shared" si="28"/>
        <v>0</v>
      </c>
      <c r="L60" s="403">
        <f t="shared" si="28"/>
        <v>0</v>
      </c>
      <c r="M60" s="403">
        <f t="shared" si="28"/>
        <v>0</v>
      </c>
      <c r="N60" s="403">
        <f t="shared" si="28"/>
        <v>0</v>
      </c>
      <c r="O60" s="403">
        <f t="shared" si="28"/>
        <v>0</v>
      </c>
      <c r="P60" s="403">
        <f t="shared" si="28"/>
        <v>286870</v>
      </c>
      <c r="Q60" s="403">
        <f t="shared" ref="Q60" si="29">SUM(D60:O60)</f>
        <v>162284</v>
      </c>
      <c r="R60" s="414">
        <f t="shared" ref="R60" si="30">SUM(D60:P60)</f>
        <v>449154</v>
      </c>
      <c r="S60" s="202"/>
      <c r="U60" s="202"/>
    </row>
    <row r="61" spans="1:21" s="201" customFormat="1" ht="15.75" thickBot="1">
      <c r="A61" s="1881"/>
      <c r="B61" s="1872"/>
      <c r="C61" s="1501" t="s">
        <v>1033</v>
      </c>
      <c r="D61" s="196">
        <f t="shared" si="28"/>
        <v>0</v>
      </c>
      <c r="E61" s="197">
        <f t="shared" si="28"/>
        <v>13500</v>
      </c>
      <c r="F61" s="197">
        <f t="shared" si="28"/>
        <v>0</v>
      </c>
      <c r="G61" s="197">
        <f t="shared" si="28"/>
        <v>98802</v>
      </c>
      <c r="H61" s="197">
        <f t="shared" si="28"/>
        <v>49982</v>
      </c>
      <c r="I61" s="197">
        <f t="shared" si="28"/>
        <v>0</v>
      </c>
      <c r="J61" s="197">
        <f t="shared" si="28"/>
        <v>268</v>
      </c>
      <c r="K61" s="197">
        <f t="shared" si="28"/>
        <v>0</v>
      </c>
      <c r="L61" s="197">
        <f t="shared" si="28"/>
        <v>0</v>
      </c>
      <c r="M61" s="197">
        <f t="shared" si="28"/>
        <v>0</v>
      </c>
      <c r="N61" s="197">
        <f t="shared" si="28"/>
        <v>0</v>
      </c>
      <c r="O61" s="197">
        <f t="shared" si="28"/>
        <v>174</v>
      </c>
      <c r="P61" s="197">
        <f t="shared" si="28"/>
        <v>285783</v>
      </c>
      <c r="Q61" s="197">
        <f t="shared" ref="Q61" si="31">SUM(D61:O61)</f>
        <v>162726</v>
      </c>
      <c r="R61" s="198">
        <f t="shared" ref="R61" si="32">SUM(D61:P61)</f>
        <v>448509</v>
      </c>
      <c r="S61" s="202"/>
      <c r="U61" s="202"/>
    </row>
    <row r="62" spans="1:21">
      <c r="A62" s="1879" t="s">
        <v>155</v>
      </c>
      <c r="B62" s="1892" t="s">
        <v>107</v>
      </c>
      <c r="C62" s="624" t="s">
        <v>3</v>
      </c>
      <c r="D62" s="633">
        <v>2500</v>
      </c>
      <c r="E62" s="625">
        <v>17900</v>
      </c>
      <c r="F62" s="625">
        <v>270</v>
      </c>
      <c r="G62" s="625">
        <v>0</v>
      </c>
      <c r="H62" s="625">
        <v>4501</v>
      </c>
      <c r="I62" s="625">
        <v>0</v>
      </c>
      <c r="J62" s="625">
        <v>1000</v>
      </c>
      <c r="K62" s="625">
        <v>0</v>
      </c>
      <c r="L62" s="625">
        <v>0</v>
      </c>
      <c r="M62" s="625">
        <v>0</v>
      </c>
      <c r="N62" s="625">
        <v>0</v>
      </c>
      <c r="O62" s="625">
        <v>20000</v>
      </c>
      <c r="P62" s="625">
        <v>264729</v>
      </c>
      <c r="Q62" s="625">
        <f t="shared" si="0"/>
        <v>46171</v>
      </c>
      <c r="R62" s="626">
        <f>P62+Q62</f>
        <v>310900</v>
      </c>
      <c r="S62" s="103"/>
      <c r="U62" s="103"/>
    </row>
    <row r="63" spans="1:21">
      <c r="A63" s="1880"/>
      <c r="B63" s="1882"/>
      <c r="C63" s="601" t="s">
        <v>894</v>
      </c>
      <c r="D63" s="606">
        <v>2500</v>
      </c>
      <c r="E63" s="400">
        <v>217900</v>
      </c>
      <c r="F63" s="400">
        <v>270</v>
      </c>
      <c r="G63" s="400">
        <v>0</v>
      </c>
      <c r="H63" s="400">
        <v>58501</v>
      </c>
      <c r="I63" s="400">
        <v>0</v>
      </c>
      <c r="J63" s="400">
        <v>2000</v>
      </c>
      <c r="K63" s="400">
        <v>0</v>
      </c>
      <c r="L63" s="400">
        <v>0</v>
      </c>
      <c r="M63" s="400">
        <v>0</v>
      </c>
      <c r="N63" s="400">
        <v>0</v>
      </c>
      <c r="O63" s="400">
        <v>20000</v>
      </c>
      <c r="P63" s="400">
        <v>279902</v>
      </c>
      <c r="Q63" s="400">
        <f>SUM(D63:O63)</f>
        <v>301171</v>
      </c>
      <c r="R63" s="414">
        <f t="shared" ref="R63" si="33">P63+Q63</f>
        <v>581073</v>
      </c>
      <c r="S63" s="103"/>
      <c r="U63" s="103"/>
    </row>
    <row r="64" spans="1:21" ht="15.75" thickBot="1">
      <c r="A64" s="1881"/>
      <c r="B64" s="1874"/>
      <c r="C64" s="1501" t="s">
        <v>1033</v>
      </c>
      <c r="D64" s="634">
        <v>4500</v>
      </c>
      <c r="E64" s="182">
        <v>306251</v>
      </c>
      <c r="F64" s="182">
        <v>270</v>
      </c>
      <c r="G64" s="182">
        <v>0</v>
      </c>
      <c r="H64" s="182">
        <v>82896</v>
      </c>
      <c r="I64" s="182">
        <v>0</v>
      </c>
      <c r="J64" s="182">
        <v>11328</v>
      </c>
      <c r="K64" s="182">
        <v>0</v>
      </c>
      <c r="L64" s="182">
        <v>0</v>
      </c>
      <c r="M64" s="182">
        <v>0</v>
      </c>
      <c r="N64" s="182">
        <v>0</v>
      </c>
      <c r="O64" s="182">
        <v>16675</v>
      </c>
      <c r="P64" s="182">
        <v>285967</v>
      </c>
      <c r="Q64" s="182">
        <v>421920</v>
      </c>
      <c r="R64" s="198">
        <f t="shared" ref="R64" si="34">P64+Q64</f>
        <v>707887</v>
      </c>
      <c r="S64" s="103"/>
      <c r="U64" s="103"/>
    </row>
    <row r="65" spans="1:21">
      <c r="A65" s="1879" t="s">
        <v>156</v>
      </c>
      <c r="B65" s="1892" t="s">
        <v>107</v>
      </c>
      <c r="C65" s="624" t="s">
        <v>3</v>
      </c>
      <c r="D65" s="624"/>
      <c r="E65" s="625">
        <v>1518</v>
      </c>
      <c r="F65" s="625">
        <v>250</v>
      </c>
      <c r="G65" s="625">
        <v>0</v>
      </c>
      <c r="H65" s="625">
        <v>478</v>
      </c>
      <c r="I65" s="625">
        <v>0</v>
      </c>
      <c r="J65" s="625">
        <v>0</v>
      </c>
      <c r="K65" s="625">
        <v>0</v>
      </c>
      <c r="L65" s="625">
        <v>0</v>
      </c>
      <c r="M65" s="625">
        <v>0</v>
      </c>
      <c r="N65" s="625">
        <v>0</v>
      </c>
      <c r="O65" s="625">
        <v>0</v>
      </c>
      <c r="P65" s="625">
        <v>49814</v>
      </c>
      <c r="Q65" s="625">
        <f t="shared" si="0"/>
        <v>2246</v>
      </c>
      <c r="R65" s="626">
        <f t="shared" si="1"/>
        <v>52060</v>
      </c>
      <c r="S65" s="103"/>
      <c r="U65" s="103"/>
    </row>
    <row r="66" spans="1:21">
      <c r="A66" s="1880"/>
      <c r="B66" s="1882"/>
      <c r="C66" s="601" t="s">
        <v>894</v>
      </c>
      <c r="D66" s="228"/>
      <c r="E66" s="400">
        <v>1518</v>
      </c>
      <c r="F66" s="400">
        <v>250</v>
      </c>
      <c r="G66" s="400">
        <v>0</v>
      </c>
      <c r="H66" s="400">
        <v>478</v>
      </c>
      <c r="I66" s="400">
        <v>0</v>
      </c>
      <c r="J66" s="400">
        <v>0</v>
      </c>
      <c r="K66" s="400">
        <v>0</v>
      </c>
      <c r="L66" s="400">
        <v>0</v>
      </c>
      <c r="M66" s="400">
        <v>0</v>
      </c>
      <c r="N66" s="400">
        <v>0</v>
      </c>
      <c r="O66" s="400">
        <v>0</v>
      </c>
      <c r="P66" s="400">
        <v>51201</v>
      </c>
      <c r="Q66" s="400">
        <f>SUM(D66:O66)</f>
        <v>2246</v>
      </c>
      <c r="R66" s="414">
        <f t="shared" ref="R66" si="35">P66+Q66</f>
        <v>53447</v>
      </c>
      <c r="S66" s="103"/>
      <c r="U66" s="103"/>
    </row>
    <row r="67" spans="1:21" ht="15.75" thickBot="1">
      <c r="A67" s="1881"/>
      <c r="B67" s="1874"/>
      <c r="C67" s="1501" t="s">
        <v>1033</v>
      </c>
      <c r="D67" s="615"/>
      <c r="E67" s="182">
        <v>1518</v>
      </c>
      <c r="F67" s="182">
        <v>250</v>
      </c>
      <c r="G67" s="182">
        <v>0</v>
      </c>
      <c r="H67" s="182">
        <v>478</v>
      </c>
      <c r="I67" s="182">
        <v>0</v>
      </c>
      <c r="J67" s="182">
        <v>652</v>
      </c>
      <c r="K67" s="182">
        <v>0</v>
      </c>
      <c r="L67" s="182">
        <v>0</v>
      </c>
      <c r="M67" s="182">
        <v>79</v>
      </c>
      <c r="N67" s="182">
        <v>0</v>
      </c>
      <c r="O67" s="182">
        <v>65</v>
      </c>
      <c r="P67" s="182">
        <v>52516</v>
      </c>
      <c r="Q67" s="182">
        <v>3042</v>
      </c>
      <c r="R67" s="198">
        <f t="shared" si="1"/>
        <v>55558</v>
      </c>
      <c r="S67" s="103"/>
      <c r="U67" s="103"/>
    </row>
    <row r="68" spans="1:21" s="203" customFormat="1">
      <c r="A68" s="1912" t="s">
        <v>157</v>
      </c>
      <c r="B68" s="1902" t="s">
        <v>107</v>
      </c>
      <c r="C68" s="610" t="s">
        <v>3</v>
      </c>
      <c r="D68" s="620"/>
      <c r="E68" s="420">
        <v>300</v>
      </c>
      <c r="F68" s="420">
        <v>1358</v>
      </c>
      <c r="G68" s="420">
        <v>0</v>
      </c>
      <c r="H68" s="420">
        <v>0</v>
      </c>
      <c r="I68" s="420">
        <v>0</v>
      </c>
      <c r="J68" s="420">
        <v>70227</v>
      </c>
      <c r="K68" s="420">
        <v>0</v>
      </c>
      <c r="L68" s="420">
        <v>0</v>
      </c>
      <c r="M68" s="420">
        <v>0</v>
      </c>
      <c r="N68" s="420">
        <v>0</v>
      </c>
      <c r="O68" s="420">
        <v>0</v>
      </c>
      <c r="P68" s="420">
        <v>18835</v>
      </c>
      <c r="Q68" s="420">
        <f t="shared" si="0"/>
        <v>71885</v>
      </c>
      <c r="R68" s="436">
        <f t="shared" si="1"/>
        <v>90720</v>
      </c>
      <c r="S68" s="202"/>
      <c r="U68" s="202"/>
    </row>
    <row r="69" spans="1:21" s="203" customFormat="1">
      <c r="A69" s="1897"/>
      <c r="B69" s="1903"/>
      <c r="C69" s="1504" t="s">
        <v>894</v>
      </c>
      <c r="D69" s="602"/>
      <c r="E69" s="403">
        <v>300</v>
      </c>
      <c r="F69" s="403">
        <v>1358</v>
      </c>
      <c r="G69" s="403">
        <v>0</v>
      </c>
      <c r="H69" s="403">
        <v>0</v>
      </c>
      <c r="I69" s="403">
        <v>0</v>
      </c>
      <c r="J69" s="403">
        <v>70227</v>
      </c>
      <c r="K69" s="403">
        <v>0</v>
      </c>
      <c r="L69" s="403">
        <v>0</v>
      </c>
      <c r="M69" s="403">
        <v>0</v>
      </c>
      <c r="N69" s="403">
        <v>0</v>
      </c>
      <c r="O69" s="403">
        <v>0</v>
      </c>
      <c r="P69" s="403">
        <v>18919</v>
      </c>
      <c r="Q69" s="403">
        <f>SUM(D69:P69)</f>
        <v>90804</v>
      </c>
      <c r="R69" s="414">
        <f t="shared" ref="R69" si="36">P69+Q69</f>
        <v>109723</v>
      </c>
      <c r="S69" s="202"/>
      <c r="U69" s="202"/>
    </row>
    <row r="70" spans="1:21" s="203" customFormat="1" ht="15.75" thickBot="1">
      <c r="A70" s="1913"/>
      <c r="B70" s="1914"/>
      <c r="C70" s="1502" t="s">
        <v>1033</v>
      </c>
      <c r="D70" s="635"/>
      <c r="E70" s="421">
        <v>300</v>
      </c>
      <c r="F70" s="421">
        <v>1358</v>
      </c>
      <c r="G70" s="421">
        <v>0</v>
      </c>
      <c r="H70" s="421">
        <v>0</v>
      </c>
      <c r="I70" s="421">
        <v>0</v>
      </c>
      <c r="J70" s="421">
        <v>80164</v>
      </c>
      <c r="K70" s="421">
        <v>0</v>
      </c>
      <c r="L70" s="421">
        <v>0</v>
      </c>
      <c r="M70" s="421">
        <v>0</v>
      </c>
      <c r="N70" s="421">
        <v>0</v>
      </c>
      <c r="O70" s="421">
        <v>215</v>
      </c>
      <c r="P70" s="421">
        <v>20043</v>
      </c>
      <c r="Q70" s="421">
        <v>82037</v>
      </c>
      <c r="R70" s="438">
        <f t="shared" si="1"/>
        <v>102080</v>
      </c>
      <c r="S70" s="202"/>
      <c r="U70" s="202"/>
    </row>
    <row r="71" spans="1:21" s="203" customFormat="1">
      <c r="A71" s="1896" t="s">
        <v>875</v>
      </c>
      <c r="B71" s="1915" t="s">
        <v>72</v>
      </c>
      <c r="C71" s="624" t="s">
        <v>3</v>
      </c>
      <c r="D71" s="632">
        <v>2500</v>
      </c>
      <c r="E71" s="632">
        <v>52217</v>
      </c>
      <c r="F71" s="632">
        <v>3008</v>
      </c>
      <c r="G71" s="632">
        <v>114014</v>
      </c>
      <c r="H71" s="632">
        <v>63159</v>
      </c>
      <c r="I71" s="632">
        <v>0</v>
      </c>
      <c r="J71" s="632">
        <v>71227</v>
      </c>
      <c r="K71" s="632">
        <v>0</v>
      </c>
      <c r="L71" s="632">
        <v>0</v>
      </c>
      <c r="M71" s="632">
        <v>0</v>
      </c>
      <c r="N71" s="632">
        <v>0</v>
      </c>
      <c r="O71" s="632">
        <v>20000</v>
      </c>
      <c r="P71" s="632">
        <f>SUM(P59+P62+P65+P68+P5+P8+P11+P14+P17+P20+P23+P26)</f>
        <v>1446039</v>
      </c>
      <c r="Q71" s="632">
        <f t="shared" si="0"/>
        <v>326125</v>
      </c>
      <c r="R71" s="626">
        <f t="shared" si="1"/>
        <v>1772164</v>
      </c>
      <c r="S71" s="204"/>
      <c r="U71" s="202"/>
    </row>
    <row r="72" spans="1:21" s="201" customFormat="1">
      <c r="A72" s="1897"/>
      <c r="B72" s="1903"/>
      <c r="C72" s="601" t="s">
        <v>894</v>
      </c>
      <c r="D72" s="403">
        <f t="shared" ref="D72:P73" si="37">D6+D9+D12+D15+D18+D21+D24+D27+D60+D63+D66+D69</f>
        <v>2500</v>
      </c>
      <c r="E72" s="403">
        <f t="shared" si="37"/>
        <v>252217</v>
      </c>
      <c r="F72" s="403">
        <f t="shared" si="37"/>
        <v>3008</v>
      </c>
      <c r="G72" s="403">
        <f t="shared" si="37"/>
        <v>114014</v>
      </c>
      <c r="H72" s="403">
        <f t="shared" si="37"/>
        <v>117159</v>
      </c>
      <c r="I72" s="403">
        <f t="shared" si="37"/>
        <v>0</v>
      </c>
      <c r="J72" s="403">
        <f t="shared" si="37"/>
        <v>72227</v>
      </c>
      <c r="K72" s="403">
        <f t="shared" si="37"/>
        <v>0</v>
      </c>
      <c r="L72" s="403">
        <f t="shared" si="37"/>
        <v>0</v>
      </c>
      <c r="M72" s="403">
        <f t="shared" si="37"/>
        <v>0</v>
      </c>
      <c r="N72" s="403">
        <f t="shared" si="37"/>
        <v>0</v>
      </c>
      <c r="O72" s="403">
        <f t="shared" si="37"/>
        <v>20000</v>
      </c>
      <c r="P72" s="403">
        <f t="shared" si="37"/>
        <v>1407531</v>
      </c>
      <c r="Q72" s="403">
        <f t="shared" ref="Q72" si="38">SUM(D72:O72)</f>
        <v>581125</v>
      </c>
      <c r="R72" s="414">
        <f t="shared" ref="R72" si="39">SUM(D72:P72)</f>
        <v>1988656</v>
      </c>
      <c r="S72" s="204"/>
      <c r="U72" s="202"/>
    </row>
    <row r="73" spans="1:21" s="201" customFormat="1" ht="15.75" thickBot="1">
      <c r="A73" s="1898"/>
      <c r="B73" s="1872"/>
      <c r="C73" s="1501" t="s">
        <v>1033</v>
      </c>
      <c r="D73" s="197">
        <f t="shared" si="37"/>
        <v>4500</v>
      </c>
      <c r="E73" s="197">
        <f t="shared" si="37"/>
        <v>341771</v>
      </c>
      <c r="F73" s="197">
        <f t="shared" si="37"/>
        <v>3008</v>
      </c>
      <c r="G73" s="197">
        <f t="shared" si="37"/>
        <v>117014</v>
      </c>
      <c r="H73" s="197">
        <f t="shared" si="37"/>
        <v>141554</v>
      </c>
      <c r="I73" s="197">
        <f t="shared" si="37"/>
        <v>0</v>
      </c>
      <c r="J73" s="197">
        <f t="shared" si="37"/>
        <v>93937</v>
      </c>
      <c r="K73" s="197">
        <f t="shared" si="37"/>
        <v>0</v>
      </c>
      <c r="L73" s="197">
        <f t="shared" si="37"/>
        <v>0</v>
      </c>
      <c r="M73" s="197">
        <f t="shared" si="37"/>
        <v>79</v>
      </c>
      <c r="N73" s="197">
        <f t="shared" si="37"/>
        <v>0</v>
      </c>
      <c r="O73" s="197">
        <f t="shared" si="37"/>
        <v>18821</v>
      </c>
      <c r="P73" s="197">
        <f t="shared" si="37"/>
        <v>1418893</v>
      </c>
      <c r="Q73" s="197">
        <f t="shared" ref="Q73" si="40">SUM(D73:O73)</f>
        <v>720684</v>
      </c>
      <c r="R73" s="198">
        <f t="shared" ref="R73" si="41">SUM(D73:P73)</f>
        <v>2139577</v>
      </c>
      <c r="S73" s="204"/>
      <c r="U73" s="202"/>
    </row>
    <row r="74" spans="1:21" s="201" customFormat="1">
      <c r="A74" s="1879" t="s">
        <v>158</v>
      </c>
      <c r="B74" s="1916" t="s">
        <v>123</v>
      </c>
      <c r="C74" s="624" t="s">
        <v>3</v>
      </c>
      <c r="D74" s="637">
        <v>2500</v>
      </c>
      <c r="E74" s="637">
        <v>52217</v>
      </c>
      <c r="F74" s="637">
        <v>3008</v>
      </c>
      <c r="G74" s="638">
        <v>114014</v>
      </c>
      <c r="H74" s="638">
        <v>47859</v>
      </c>
      <c r="I74" s="638">
        <v>0</v>
      </c>
      <c r="J74" s="637">
        <v>71227</v>
      </c>
      <c r="K74" s="637">
        <v>0</v>
      </c>
      <c r="L74" s="638">
        <v>0</v>
      </c>
      <c r="M74" s="638">
        <v>0</v>
      </c>
      <c r="N74" s="638">
        <v>0</v>
      </c>
      <c r="O74" s="638">
        <v>20000</v>
      </c>
      <c r="P74" s="632">
        <f>SUM(P5+P8+P11+P14+P17+P20+P23+P29+P26+P32+P38+P41+P47+P50+P53+P62+P65+P68)</f>
        <v>1371224</v>
      </c>
      <c r="Q74" s="632">
        <f t="shared" si="0"/>
        <v>310825</v>
      </c>
      <c r="R74" s="626">
        <f>P74+Q74</f>
        <v>1682049</v>
      </c>
      <c r="S74" s="204"/>
      <c r="U74" s="202"/>
    </row>
    <row r="75" spans="1:21" s="201" customFormat="1">
      <c r="A75" s="1880"/>
      <c r="B75" s="1917"/>
      <c r="C75" s="601" t="s">
        <v>894</v>
      </c>
      <c r="D75" s="607">
        <f t="shared" ref="D75:P76" si="42">D6+D9+D12+D15+D18+D21+D24+D27+D36+D63+D66+D69+D45+D48+D51+D54</f>
        <v>2500</v>
      </c>
      <c r="E75" s="607">
        <f t="shared" si="42"/>
        <v>252217</v>
      </c>
      <c r="F75" s="607">
        <f t="shared" si="42"/>
        <v>3008</v>
      </c>
      <c r="G75" s="607">
        <f t="shared" si="42"/>
        <v>114014</v>
      </c>
      <c r="H75" s="607">
        <f t="shared" si="42"/>
        <v>101859</v>
      </c>
      <c r="I75" s="607">
        <f t="shared" si="42"/>
        <v>0</v>
      </c>
      <c r="J75" s="607">
        <f t="shared" si="42"/>
        <v>72227</v>
      </c>
      <c r="K75" s="607">
        <f t="shared" si="42"/>
        <v>0</v>
      </c>
      <c r="L75" s="607">
        <f t="shared" si="42"/>
        <v>0</v>
      </c>
      <c r="M75" s="607">
        <f t="shared" si="42"/>
        <v>0</v>
      </c>
      <c r="N75" s="607">
        <f t="shared" si="42"/>
        <v>0</v>
      </c>
      <c r="O75" s="607">
        <f t="shared" si="42"/>
        <v>20000</v>
      </c>
      <c r="P75" s="607">
        <f t="shared" si="42"/>
        <v>1332216</v>
      </c>
      <c r="Q75" s="403">
        <f t="shared" ref="Q75" si="43">SUM(D75:O75)</f>
        <v>565825</v>
      </c>
      <c r="R75" s="414">
        <f t="shared" ref="R75" si="44">SUM(D75:P75)</f>
        <v>1898041</v>
      </c>
      <c r="S75" s="204"/>
      <c r="U75" s="202"/>
    </row>
    <row r="76" spans="1:21" s="201" customFormat="1" ht="15.75" thickBot="1">
      <c r="A76" s="1881"/>
      <c r="B76" s="1918"/>
      <c r="C76" s="1501" t="s">
        <v>1033</v>
      </c>
      <c r="D76" s="639">
        <f t="shared" si="42"/>
        <v>4500</v>
      </c>
      <c r="E76" s="639">
        <f t="shared" si="42"/>
        <v>341771</v>
      </c>
      <c r="F76" s="639">
        <f t="shared" si="42"/>
        <v>3008</v>
      </c>
      <c r="G76" s="639">
        <f t="shared" si="42"/>
        <v>117014</v>
      </c>
      <c r="H76" s="639">
        <f t="shared" si="42"/>
        <v>126254</v>
      </c>
      <c r="I76" s="639">
        <f t="shared" si="42"/>
        <v>0</v>
      </c>
      <c r="J76" s="639">
        <f t="shared" si="42"/>
        <v>93669</v>
      </c>
      <c r="K76" s="639">
        <f t="shared" si="42"/>
        <v>0</v>
      </c>
      <c r="L76" s="639">
        <f t="shared" si="42"/>
        <v>0</v>
      </c>
      <c r="M76" s="639">
        <f t="shared" si="42"/>
        <v>79</v>
      </c>
      <c r="N76" s="639">
        <f t="shared" si="42"/>
        <v>0</v>
      </c>
      <c r="O76" s="639">
        <f t="shared" si="42"/>
        <v>18647</v>
      </c>
      <c r="P76" s="639">
        <f t="shared" si="42"/>
        <v>1344665</v>
      </c>
      <c r="Q76" s="197">
        <f t="shared" ref="Q76" si="45">SUM(D76:O76)</f>
        <v>704942</v>
      </c>
      <c r="R76" s="198">
        <f t="shared" ref="R76" si="46">SUM(D76:P76)</f>
        <v>2049607</v>
      </c>
      <c r="S76" s="204"/>
      <c r="U76" s="202"/>
    </row>
    <row r="77" spans="1:21" s="201" customFormat="1">
      <c r="A77" s="1883" t="s">
        <v>159</v>
      </c>
      <c r="B77" s="1902" t="s">
        <v>153</v>
      </c>
      <c r="C77" s="610" t="s">
        <v>3</v>
      </c>
      <c r="D77" s="620"/>
      <c r="E77" s="420">
        <v>0</v>
      </c>
      <c r="F77" s="420">
        <v>0</v>
      </c>
      <c r="G77" s="636">
        <v>0</v>
      </c>
      <c r="H77" s="220">
        <v>15300</v>
      </c>
      <c r="I77" s="220">
        <v>0</v>
      </c>
      <c r="J77" s="420">
        <v>0</v>
      </c>
      <c r="K77" s="420">
        <v>0</v>
      </c>
      <c r="L77" s="220">
        <v>0</v>
      </c>
      <c r="M77" s="220">
        <v>0</v>
      </c>
      <c r="N77" s="220">
        <v>0</v>
      </c>
      <c r="O77" s="220">
        <v>0</v>
      </c>
      <c r="P77" s="420">
        <f>SUM(P56)</f>
        <v>74815</v>
      </c>
      <c r="Q77" s="420">
        <f t="shared" si="0"/>
        <v>15300</v>
      </c>
      <c r="R77" s="436">
        <f t="shared" si="1"/>
        <v>90115</v>
      </c>
      <c r="S77" s="204"/>
      <c r="U77" s="202"/>
    </row>
    <row r="78" spans="1:21" s="201" customFormat="1">
      <c r="A78" s="1880"/>
      <c r="B78" s="1903"/>
      <c r="C78" s="601" t="s">
        <v>894</v>
      </c>
      <c r="D78" s="602">
        <f t="shared" ref="D78:P79" si="47">D57</f>
        <v>0</v>
      </c>
      <c r="E78" s="403">
        <f t="shared" si="47"/>
        <v>0</v>
      </c>
      <c r="F78" s="403">
        <f t="shared" si="47"/>
        <v>0</v>
      </c>
      <c r="G78" s="608">
        <f t="shared" si="47"/>
        <v>0</v>
      </c>
      <c r="H78" s="609">
        <f t="shared" si="47"/>
        <v>15300</v>
      </c>
      <c r="I78" s="609">
        <f t="shared" si="47"/>
        <v>0</v>
      </c>
      <c r="J78" s="403">
        <f t="shared" si="47"/>
        <v>0</v>
      </c>
      <c r="K78" s="403">
        <f t="shared" si="47"/>
        <v>0</v>
      </c>
      <c r="L78" s="609">
        <f t="shared" si="47"/>
        <v>0</v>
      </c>
      <c r="M78" s="609">
        <f t="shared" si="47"/>
        <v>0</v>
      </c>
      <c r="N78" s="609">
        <f t="shared" si="47"/>
        <v>0</v>
      </c>
      <c r="O78" s="609">
        <f t="shared" si="47"/>
        <v>0</v>
      </c>
      <c r="P78" s="403">
        <f t="shared" si="47"/>
        <v>75315</v>
      </c>
      <c r="Q78" s="403">
        <f t="shared" ref="Q78" si="48">SUM(D78:O78)</f>
        <v>15300</v>
      </c>
      <c r="R78" s="414">
        <f t="shared" ref="R78" si="49">SUM(D78:P78)</f>
        <v>90615</v>
      </c>
    </row>
    <row r="79" spans="1:21" s="201" customFormat="1" ht="15.75" thickBot="1">
      <c r="A79" s="1881"/>
      <c r="B79" s="1872"/>
      <c r="C79" s="1501" t="s">
        <v>1033</v>
      </c>
      <c r="D79" s="196">
        <f t="shared" si="47"/>
        <v>0</v>
      </c>
      <c r="E79" s="197">
        <f t="shared" si="47"/>
        <v>0</v>
      </c>
      <c r="F79" s="197">
        <f t="shared" si="47"/>
        <v>0</v>
      </c>
      <c r="G79" s="205">
        <f t="shared" si="47"/>
        <v>0</v>
      </c>
      <c r="H79" s="178">
        <f t="shared" si="47"/>
        <v>15300</v>
      </c>
      <c r="I79" s="178">
        <f t="shared" si="47"/>
        <v>0</v>
      </c>
      <c r="J79" s="197">
        <f t="shared" si="47"/>
        <v>268</v>
      </c>
      <c r="K79" s="197">
        <f t="shared" si="47"/>
        <v>0</v>
      </c>
      <c r="L79" s="178">
        <f t="shared" si="47"/>
        <v>0</v>
      </c>
      <c r="M79" s="178">
        <f t="shared" si="47"/>
        <v>0</v>
      </c>
      <c r="N79" s="178">
        <f t="shared" si="47"/>
        <v>0</v>
      </c>
      <c r="O79" s="178">
        <f t="shared" si="47"/>
        <v>174</v>
      </c>
      <c r="P79" s="197">
        <f t="shared" si="47"/>
        <v>74228</v>
      </c>
      <c r="Q79" s="197">
        <f t="shared" ref="Q79" si="50">SUM(D79:O79)</f>
        <v>15742</v>
      </c>
      <c r="R79" s="198">
        <f t="shared" ref="R79" si="51">SUM(D79:P79)</f>
        <v>89970</v>
      </c>
    </row>
    <row r="80" spans="1:21" ht="15" customHeight="1">
      <c r="E80" s="103"/>
      <c r="F80" s="103"/>
      <c r="G80" s="103"/>
      <c r="H80" s="103"/>
      <c r="I80" s="103"/>
      <c r="J80" s="103"/>
      <c r="K80" s="103"/>
      <c r="L80" s="103"/>
      <c r="M80" s="103"/>
      <c r="N80" s="103"/>
      <c r="O80" s="103"/>
      <c r="P80" s="103"/>
      <c r="Q80" s="103"/>
      <c r="R80" s="103"/>
    </row>
    <row r="81" spans="1:18" ht="15" hidden="1" customHeight="1"/>
    <row r="82" spans="1:18" ht="15" hidden="1" customHeight="1">
      <c r="R82" s="103"/>
    </row>
    <row r="83" spans="1:18" ht="15" hidden="1" customHeight="1"/>
    <row r="84" spans="1:18" ht="15" hidden="1" customHeight="1">
      <c r="R84" s="103"/>
    </row>
    <row r="85" spans="1:18" ht="15" hidden="1" customHeight="1"/>
    <row r="87" spans="1:18">
      <c r="A87" s="208"/>
    </row>
    <row r="88" spans="1:18">
      <c r="A88" s="208"/>
      <c r="E88" s="103"/>
      <c r="F88" s="103"/>
      <c r="G88" s="103"/>
      <c r="H88" s="103"/>
      <c r="I88" s="103"/>
      <c r="J88" s="103"/>
      <c r="K88" s="103"/>
      <c r="L88" s="103"/>
      <c r="M88" s="103"/>
      <c r="N88" s="103"/>
      <c r="O88" s="103"/>
      <c r="P88" s="103"/>
      <c r="Q88" s="103"/>
      <c r="R88" s="103"/>
    </row>
  </sheetData>
  <mergeCells count="62">
    <mergeCell ref="A77:A79"/>
    <mergeCell ref="B77:B79"/>
    <mergeCell ref="A71:A73"/>
    <mergeCell ref="B71:B73"/>
    <mergeCell ref="A74:A76"/>
    <mergeCell ref="B74:B76"/>
    <mergeCell ref="A65:A67"/>
    <mergeCell ref="B65:B67"/>
    <mergeCell ref="A68:A70"/>
    <mergeCell ref="B68:B70"/>
    <mergeCell ref="A59:A61"/>
    <mergeCell ref="B59:B61"/>
    <mergeCell ref="A62:A64"/>
    <mergeCell ref="B62:B64"/>
    <mergeCell ref="A53:A55"/>
    <mergeCell ref="B53:B55"/>
    <mergeCell ref="A56:A58"/>
    <mergeCell ref="B56:B58"/>
    <mergeCell ref="A47:A49"/>
    <mergeCell ref="B47:B49"/>
    <mergeCell ref="A50:A52"/>
    <mergeCell ref="B50:B52"/>
    <mergeCell ref="A41:A43"/>
    <mergeCell ref="B41:B43"/>
    <mergeCell ref="A44:A46"/>
    <mergeCell ref="B44:B46"/>
    <mergeCell ref="A35:A37"/>
    <mergeCell ref="B35:B37"/>
    <mergeCell ref="A38:A40"/>
    <mergeCell ref="B38:B40"/>
    <mergeCell ref="A29:A31"/>
    <mergeCell ref="B29:B31"/>
    <mergeCell ref="A32:A34"/>
    <mergeCell ref="B32:B34"/>
    <mergeCell ref="A23:A25"/>
    <mergeCell ref="B23:B25"/>
    <mergeCell ref="A26:A28"/>
    <mergeCell ref="B26:B28"/>
    <mergeCell ref="A17:A19"/>
    <mergeCell ref="B17:B19"/>
    <mergeCell ref="A20:A22"/>
    <mergeCell ref="B20:B22"/>
    <mergeCell ref="A11:A13"/>
    <mergeCell ref="B11:B13"/>
    <mergeCell ref="A14:A16"/>
    <mergeCell ref="B14:B16"/>
    <mergeCell ref="A5:A7"/>
    <mergeCell ref="B5:B7"/>
    <mergeCell ref="A8:A10"/>
    <mergeCell ref="B8:B10"/>
    <mergeCell ref="R3:R4"/>
    <mergeCell ref="A1:R1"/>
    <mergeCell ref="A2:R2"/>
    <mergeCell ref="A3:A4"/>
    <mergeCell ref="B3:B4"/>
    <mergeCell ref="C3:C4"/>
    <mergeCell ref="I3:L3"/>
    <mergeCell ref="M3:M4"/>
    <mergeCell ref="N3:O3"/>
    <mergeCell ref="Q3:Q4"/>
    <mergeCell ref="D3:H3"/>
    <mergeCell ref="P3:P4"/>
  </mergeCells>
  <pageMargins left="0.7" right="0.7" top="0.75" bottom="0.75" header="0.3" footer="0.3"/>
  <pageSetup paperSize="9" scale="57" orientation="portrait" r:id="rId1"/>
  <headerFooter>
    <oddHeader>&amp;L&amp;"Times New Roman,Normál"&amp;8 6. melléklet 1, 2, 3</oddHeader>
    <oddFooter>&amp;L1. Mód.: 3/2019 (II.27.) önk. rend. 2.§. Hat.: 2019.03.01. napjától
2. Mód.: 9/2019 (IV.24.) önk. rend. 2.§ Hat.: 2019.04.25. napjától
3. Mód.: 18/2019 (IX.11.) önk. rend. 2.§ Hat.:2019.09.12. napjától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view="pageLayout" topLeftCell="A70" zoomScale="98" zoomScaleNormal="100" zoomScalePageLayoutView="98" workbookViewId="0">
      <selection activeCell="I8" sqref="I8"/>
    </sheetView>
  </sheetViews>
  <sheetFormatPr defaultRowHeight="15"/>
  <cols>
    <col min="1" max="1" width="42.7109375" style="49" customWidth="1"/>
    <col min="2" max="2" width="15.28515625" style="49" customWidth="1"/>
    <col min="3" max="3" width="13.42578125" style="1515" customWidth="1"/>
    <col min="4" max="4" width="9.140625" style="49"/>
    <col min="5" max="5" width="9.7109375" style="49" customWidth="1"/>
    <col min="6" max="6" width="9.140625" style="49"/>
    <col min="7" max="7" width="10.5703125" style="49" customWidth="1"/>
    <col min="8" max="8" width="11.7109375" style="49" customWidth="1"/>
    <col min="9" max="9" width="11.140625" style="49" customWidth="1"/>
    <col min="10" max="16384" width="9.140625" style="49"/>
  </cols>
  <sheetData>
    <row r="1" spans="1:9">
      <c r="A1" s="1919" t="s">
        <v>880</v>
      </c>
      <c r="B1" s="1919"/>
      <c r="C1" s="1919"/>
      <c r="D1" s="1919"/>
      <c r="E1" s="1919"/>
      <c r="F1" s="1919"/>
      <c r="G1" s="1919"/>
      <c r="H1" s="1919"/>
      <c r="I1" s="1919"/>
    </row>
    <row r="2" spans="1:9" ht="15.75" thickBot="1">
      <c r="A2" s="1926"/>
      <c r="B2" s="1926"/>
      <c r="C2" s="1926"/>
      <c r="D2" s="1926"/>
      <c r="E2" s="1926"/>
      <c r="F2" s="1926"/>
      <c r="G2" s="1926"/>
      <c r="H2" s="1926"/>
      <c r="I2" s="1926"/>
    </row>
    <row r="3" spans="1:9" ht="38.25" customHeight="1">
      <c r="A3" s="1920" t="s">
        <v>132</v>
      </c>
      <c r="B3" s="1922" t="s">
        <v>133</v>
      </c>
      <c r="C3" s="1924"/>
      <c r="D3" s="1927" t="s">
        <v>103</v>
      </c>
      <c r="E3" s="1928"/>
      <c r="F3" s="1929"/>
      <c r="G3" s="1927" t="s">
        <v>104</v>
      </c>
      <c r="H3" s="1929"/>
      <c r="I3" s="646" t="s">
        <v>135</v>
      </c>
    </row>
    <row r="4" spans="1:9" ht="43.5" thickBot="1">
      <c r="A4" s="1921"/>
      <c r="B4" s="1923"/>
      <c r="C4" s="1925"/>
      <c r="D4" s="650" t="s">
        <v>873</v>
      </c>
      <c r="E4" s="651" t="s">
        <v>874</v>
      </c>
      <c r="F4" s="652" t="s">
        <v>105</v>
      </c>
      <c r="G4" s="653" t="s">
        <v>60</v>
      </c>
      <c r="H4" s="652" t="s">
        <v>61</v>
      </c>
      <c r="I4" s="654"/>
    </row>
    <row r="5" spans="1:9">
      <c r="A5" s="1920" t="s">
        <v>136</v>
      </c>
      <c r="B5" s="1932" t="s">
        <v>107</v>
      </c>
      <c r="C5" s="1505" t="s">
        <v>3</v>
      </c>
      <c r="D5" s="656">
        <v>74232</v>
      </c>
      <c r="E5" s="657">
        <v>14374</v>
      </c>
      <c r="F5" s="655">
        <v>13519</v>
      </c>
      <c r="G5" s="656">
        <v>1469</v>
      </c>
      <c r="H5" s="655">
        <v>450</v>
      </c>
      <c r="I5" s="658">
        <f>SUM(D5:H5)</f>
        <v>104044</v>
      </c>
    </row>
    <row r="6" spans="1:9">
      <c r="A6" s="1930"/>
      <c r="B6" s="1933"/>
      <c r="C6" s="1506" t="s">
        <v>894</v>
      </c>
      <c r="D6" s="640">
        <v>74269</v>
      </c>
      <c r="E6" s="601">
        <v>14381</v>
      </c>
      <c r="F6" s="641">
        <v>15554</v>
      </c>
      <c r="G6" s="640">
        <v>3176</v>
      </c>
      <c r="H6" s="641">
        <v>450</v>
      </c>
      <c r="I6" s="647">
        <f>SUM(D6:H6)</f>
        <v>107830</v>
      </c>
    </row>
    <row r="7" spans="1:9" ht="15.75" thickBot="1">
      <c r="A7" s="1931"/>
      <c r="B7" s="1934"/>
      <c r="C7" s="1507" t="s">
        <v>1033</v>
      </c>
      <c r="D7" s="659">
        <v>74203</v>
      </c>
      <c r="E7" s="660">
        <v>14390</v>
      </c>
      <c r="F7" s="661">
        <v>16401</v>
      </c>
      <c r="G7" s="659">
        <v>3176</v>
      </c>
      <c r="H7" s="661">
        <v>911</v>
      </c>
      <c r="I7" s="662">
        <f>SUM(D7:H7)</f>
        <v>109081</v>
      </c>
    </row>
    <row r="8" spans="1:9">
      <c r="A8" s="1920" t="s">
        <v>137</v>
      </c>
      <c r="B8" s="1932" t="s">
        <v>107</v>
      </c>
      <c r="C8" s="1505" t="s">
        <v>3</v>
      </c>
      <c r="D8" s="656">
        <v>23012</v>
      </c>
      <c r="E8" s="657">
        <v>4470</v>
      </c>
      <c r="F8" s="655">
        <v>6605</v>
      </c>
      <c r="G8" s="656">
        <v>1200</v>
      </c>
      <c r="H8" s="655">
        <v>600</v>
      </c>
      <c r="I8" s="658">
        <f t="shared" ref="I8:I77" si="0">SUM(D8:H8)</f>
        <v>35887</v>
      </c>
    </row>
    <row r="9" spans="1:9">
      <c r="A9" s="1930"/>
      <c r="B9" s="1933"/>
      <c r="C9" s="1506" t="s">
        <v>894</v>
      </c>
      <c r="D9" s="640">
        <v>23012</v>
      </c>
      <c r="E9" s="601">
        <v>4470</v>
      </c>
      <c r="F9" s="641">
        <v>6605</v>
      </c>
      <c r="G9" s="640">
        <v>1200</v>
      </c>
      <c r="H9" s="641">
        <v>600</v>
      </c>
      <c r="I9" s="647">
        <f t="shared" ref="I9" si="1">SUM(D9:H9)</f>
        <v>35887</v>
      </c>
    </row>
    <row r="10" spans="1:9" ht="15.75" thickBot="1">
      <c r="A10" s="1931"/>
      <c r="B10" s="1934"/>
      <c r="C10" s="1507" t="s">
        <v>1033</v>
      </c>
      <c r="D10" s="659">
        <v>23441</v>
      </c>
      <c r="E10" s="660">
        <v>4504</v>
      </c>
      <c r="F10" s="661">
        <v>6605</v>
      </c>
      <c r="G10" s="659">
        <v>1200</v>
      </c>
      <c r="H10" s="661">
        <v>600</v>
      </c>
      <c r="I10" s="662">
        <f t="shared" si="0"/>
        <v>36350</v>
      </c>
    </row>
    <row r="11" spans="1:9">
      <c r="A11" s="1920" t="s">
        <v>138</v>
      </c>
      <c r="B11" s="1932" t="s">
        <v>107</v>
      </c>
      <c r="C11" s="1505" t="s">
        <v>3</v>
      </c>
      <c r="D11" s="656">
        <v>63686</v>
      </c>
      <c r="E11" s="657">
        <v>12419</v>
      </c>
      <c r="F11" s="655">
        <v>12601</v>
      </c>
      <c r="G11" s="656">
        <v>1260</v>
      </c>
      <c r="H11" s="655">
        <v>1750</v>
      </c>
      <c r="I11" s="658">
        <f t="shared" si="0"/>
        <v>91716</v>
      </c>
    </row>
    <row r="12" spans="1:9">
      <c r="A12" s="1930"/>
      <c r="B12" s="1933"/>
      <c r="C12" s="1506" t="s">
        <v>894</v>
      </c>
      <c r="D12" s="640">
        <v>63915</v>
      </c>
      <c r="E12" s="601">
        <v>12464</v>
      </c>
      <c r="F12" s="641">
        <v>12601</v>
      </c>
      <c r="G12" s="640">
        <v>1260</v>
      </c>
      <c r="H12" s="641">
        <v>1750</v>
      </c>
      <c r="I12" s="647">
        <f t="shared" ref="I12" si="2">SUM(D12:H12)</f>
        <v>91990</v>
      </c>
    </row>
    <row r="13" spans="1:9" ht="15.75" thickBot="1">
      <c r="A13" s="1931"/>
      <c r="B13" s="1934"/>
      <c r="C13" s="1507" t="s">
        <v>1033</v>
      </c>
      <c r="D13" s="659">
        <v>65553</v>
      </c>
      <c r="E13" s="660">
        <v>12770</v>
      </c>
      <c r="F13" s="661">
        <v>13899</v>
      </c>
      <c r="G13" s="659">
        <v>2260</v>
      </c>
      <c r="H13" s="661">
        <v>150</v>
      </c>
      <c r="I13" s="662">
        <f t="shared" si="0"/>
        <v>94632</v>
      </c>
    </row>
    <row r="14" spans="1:9">
      <c r="A14" s="1920" t="s">
        <v>139</v>
      </c>
      <c r="B14" s="1932" t="s">
        <v>107</v>
      </c>
      <c r="C14" s="1505" t="s">
        <v>3</v>
      </c>
      <c r="D14" s="656">
        <v>88411</v>
      </c>
      <c r="E14" s="657">
        <v>16880</v>
      </c>
      <c r="F14" s="655">
        <v>23344</v>
      </c>
      <c r="G14" s="656">
        <v>340</v>
      </c>
      <c r="H14" s="655">
        <v>1831</v>
      </c>
      <c r="I14" s="658">
        <f t="shared" si="0"/>
        <v>130806</v>
      </c>
    </row>
    <row r="15" spans="1:9">
      <c r="A15" s="1930"/>
      <c r="B15" s="1933"/>
      <c r="C15" s="1506" t="s">
        <v>894</v>
      </c>
      <c r="D15" s="640">
        <v>88712</v>
      </c>
      <c r="E15" s="601">
        <v>16939</v>
      </c>
      <c r="F15" s="641">
        <v>23894</v>
      </c>
      <c r="G15" s="640">
        <v>1661</v>
      </c>
      <c r="H15" s="641">
        <v>1831</v>
      </c>
      <c r="I15" s="647">
        <f t="shared" ref="I15" si="3">SUM(D15:H15)</f>
        <v>133037</v>
      </c>
    </row>
    <row r="16" spans="1:9" ht="15.75" thickBot="1">
      <c r="A16" s="1931"/>
      <c r="B16" s="1934"/>
      <c r="C16" s="1507" t="s">
        <v>1033</v>
      </c>
      <c r="D16" s="659">
        <v>88712</v>
      </c>
      <c r="E16" s="660">
        <v>16939</v>
      </c>
      <c r="F16" s="661">
        <v>24312</v>
      </c>
      <c r="G16" s="659">
        <v>991</v>
      </c>
      <c r="H16" s="661">
        <v>3299</v>
      </c>
      <c r="I16" s="662">
        <f t="shared" si="0"/>
        <v>134253</v>
      </c>
    </row>
    <row r="17" spans="1:9">
      <c r="A17" s="1920" t="s">
        <v>140</v>
      </c>
      <c r="B17" s="1932" t="s">
        <v>107</v>
      </c>
      <c r="C17" s="1505" t="s">
        <v>3</v>
      </c>
      <c r="D17" s="656">
        <v>43429</v>
      </c>
      <c r="E17" s="657">
        <v>8422</v>
      </c>
      <c r="F17" s="655">
        <v>12561</v>
      </c>
      <c r="G17" s="656">
        <v>2400</v>
      </c>
      <c r="H17" s="655">
        <v>2550</v>
      </c>
      <c r="I17" s="658">
        <f t="shared" si="0"/>
        <v>69362</v>
      </c>
    </row>
    <row r="18" spans="1:9">
      <c r="A18" s="1930"/>
      <c r="B18" s="1933"/>
      <c r="C18" s="1506" t="s">
        <v>895</v>
      </c>
      <c r="D18" s="640">
        <v>43452</v>
      </c>
      <c r="E18" s="601">
        <v>8426</v>
      </c>
      <c r="F18" s="641">
        <v>12911</v>
      </c>
      <c r="G18" s="640">
        <v>2750</v>
      </c>
      <c r="H18" s="641">
        <v>2550</v>
      </c>
      <c r="I18" s="647">
        <f t="shared" ref="I18" si="4">SUM(D18:H18)</f>
        <v>70089</v>
      </c>
    </row>
    <row r="19" spans="1:9" ht="15.75" thickBot="1">
      <c r="A19" s="1931"/>
      <c r="B19" s="1934"/>
      <c r="C19" s="1507" t="s">
        <v>1033</v>
      </c>
      <c r="D19" s="659">
        <v>43554</v>
      </c>
      <c r="E19" s="660">
        <v>8446</v>
      </c>
      <c r="F19" s="661">
        <v>13041</v>
      </c>
      <c r="G19" s="659">
        <v>4669</v>
      </c>
      <c r="H19" s="661">
        <v>1280</v>
      </c>
      <c r="I19" s="662">
        <f t="shared" si="0"/>
        <v>70990</v>
      </c>
    </row>
    <row r="20" spans="1:9">
      <c r="A20" s="1920" t="s">
        <v>141</v>
      </c>
      <c r="B20" s="1932" t="s">
        <v>107</v>
      </c>
      <c r="C20" s="1505" t="s">
        <v>3</v>
      </c>
      <c r="D20" s="656">
        <v>75768</v>
      </c>
      <c r="E20" s="657">
        <v>14775</v>
      </c>
      <c r="F20" s="655">
        <v>11914</v>
      </c>
      <c r="G20" s="656">
        <v>595</v>
      </c>
      <c r="H20" s="655">
        <v>1100</v>
      </c>
      <c r="I20" s="658">
        <f t="shared" si="0"/>
        <v>104152</v>
      </c>
    </row>
    <row r="21" spans="1:9">
      <c r="A21" s="1930"/>
      <c r="B21" s="1933"/>
      <c r="C21" s="1506" t="s">
        <v>894</v>
      </c>
      <c r="D21" s="640">
        <v>76495</v>
      </c>
      <c r="E21" s="601">
        <v>14956</v>
      </c>
      <c r="F21" s="641">
        <v>12514</v>
      </c>
      <c r="G21" s="640">
        <v>695</v>
      </c>
      <c r="H21" s="641">
        <v>1100</v>
      </c>
      <c r="I21" s="647">
        <f t="shared" ref="I21" si="5">SUM(D21:H21)</f>
        <v>105760</v>
      </c>
    </row>
    <row r="22" spans="1:9" ht="15.75" thickBot="1">
      <c r="A22" s="1931"/>
      <c r="B22" s="1934"/>
      <c r="C22" s="1507" t="s">
        <v>1033</v>
      </c>
      <c r="D22" s="659">
        <v>76076</v>
      </c>
      <c r="E22" s="660">
        <v>14924</v>
      </c>
      <c r="F22" s="661">
        <v>12705</v>
      </c>
      <c r="G22" s="659">
        <v>695</v>
      </c>
      <c r="H22" s="661">
        <v>1100</v>
      </c>
      <c r="I22" s="662">
        <f t="shared" si="0"/>
        <v>105500</v>
      </c>
    </row>
    <row r="23" spans="1:9">
      <c r="A23" s="1920" t="s">
        <v>142</v>
      </c>
      <c r="B23" s="1932" t="s">
        <v>107</v>
      </c>
      <c r="C23" s="1505" t="s">
        <v>3</v>
      </c>
      <c r="D23" s="656">
        <v>12490</v>
      </c>
      <c r="E23" s="657">
        <v>2436</v>
      </c>
      <c r="F23" s="655">
        <v>3352</v>
      </c>
      <c r="G23" s="656">
        <v>160</v>
      </c>
      <c r="H23" s="655">
        <v>1000</v>
      </c>
      <c r="I23" s="658">
        <f t="shared" si="0"/>
        <v>19438</v>
      </c>
    </row>
    <row r="24" spans="1:9">
      <c r="A24" s="1930"/>
      <c r="B24" s="1933"/>
      <c r="C24" s="1506" t="s">
        <v>946</v>
      </c>
      <c r="D24" s="640">
        <v>12490</v>
      </c>
      <c r="E24" s="601">
        <v>2436</v>
      </c>
      <c r="F24" s="641">
        <v>3352</v>
      </c>
      <c r="G24" s="640">
        <v>160</v>
      </c>
      <c r="H24" s="641">
        <v>1000</v>
      </c>
      <c r="I24" s="647">
        <f t="shared" ref="I24" si="6">SUM(D24:H24)</f>
        <v>19438</v>
      </c>
    </row>
    <row r="25" spans="1:9" ht="15.75" thickBot="1">
      <c r="A25" s="1931"/>
      <c r="B25" s="1934"/>
      <c r="C25" s="1507" t="s">
        <v>1033</v>
      </c>
      <c r="D25" s="659">
        <v>12490</v>
      </c>
      <c r="E25" s="660">
        <v>2436</v>
      </c>
      <c r="F25" s="661">
        <v>3552</v>
      </c>
      <c r="G25" s="659">
        <v>160</v>
      </c>
      <c r="H25" s="661">
        <v>500</v>
      </c>
      <c r="I25" s="662">
        <f t="shared" si="0"/>
        <v>19138</v>
      </c>
    </row>
    <row r="26" spans="1:9">
      <c r="A26" s="1920" t="s">
        <v>143</v>
      </c>
      <c r="B26" s="1932" t="s">
        <v>107</v>
      </c>
      <c r="C26" s="1505" t="s">
        <v>3</v>
      </c>
      <c r="D26" s="656">
        <v>126715</v>
      </c>
      <c r="E26" s="657">
        <v>26496</v>
      </c>
      <c r="F26" s="655">
        <v>57202</v>
      </c>
      <c r="G26" s="656">
        <v>11687</v>
      </c>
      <c r="H26" s="655">
        <v>26290</v>
      </c>
      <c r="I26" s="658">
        <f t="shared" si="0"/>
        <v>248390</v>
      </c>
    </row>
    <row r="27" spans="1:9">
      <c r="A27" s="1930"/>
      <c r="B27" s="1933"/>
      <c r="C27" s="1506" t="s">
        <v>894</v>
      </c>
      <c r="D27" s="640">
        <v>127588</v>
      </c>
      <c r="E27" s="601">
        <v>26660</v>
      </c>
      <c r="F27" s="641">
        <v>59322</v>
      </c>
      <c r="G27" s="640">
        <v>11687</v>
      </c>
      <c r="H27" s="641">
        <v>24890</v>
      </c>
      <c r="I27" s="647">
        <f t="shared" ref="I27" si="7">SUM(D27:H27)</f>
        <v>250147</v>
      </c>
    </row>
    <row r="28" spans="1:9" ht="15.75" thickBot="1">
      <c r="A28" s="1931"/>
      <c r="B28" s="1934"/>
      <c r="C28" s="1507" t="s">
        <v>1033</v>
      </c>
      <c r="D28" s="659">
        <v>128642</v>
      </c>
      <c r="E28" s="660">
        <v>26950</v>
      </c>
      <c r="F28" s="661">
        <v>61950</v>
      </c>
      <c r="G28" s="659">
        <v>18767</v>
      </c>
      <c r="H28" s="661">
        <v>19290</v>
      </c>
      <c r="I28" s="662">
        <f t="shared" si="0"/>
        <v>255599</v>
      </c>
    </row>
    <row r="29" spans="1:9">
      <c r="A29" s="1935" t="s">
        <v>144</v>
      </c>
      <c r="B29" s="1932" t="s">
        <v>107</v>
      </c>
      <c r="C29" s="1505" t="s">
        <v>3</v>
      </c>
      <c r="D29" s="656">
        <v>0</v>
      </c>
      <c r="E29" s="657">
        <v>0</v>
      </c>
      <c r="F29" s="655">
        <v>85923</v>
      </c>
      <c r="G29" s="656">
        <v>0</v>
      </c>
      <c r="H29" s="655">
        <v>0</v>
      </c>
      <c r="I29" s="658">
        <f t="shared" si="0"/>
        <v>85923</v>
      </c>
    </row>
    <row r="30" spans="1:9">
      <c r="A30" s="1936"/>
      <c r="B30" s="1933"/>
      <c r="C30" s="1506" t="s">
        <v>894</v>
      </c>
      <c r="D30" s="640">
        <v>0</v>
      </c>
      <c r="E30" s="601">
        <v>0</v>
      </c>
      <c r="F30" s="641">
        <v>66403</v>
      </c>
      <c r="G30" s="640">
        <v>0</v>
      </c>
      <c r="H30" s="641">
        <v>0</v>
      </c>
      <c r="I30" s="647">
        <f t="shared" ref="I30" si="8">SUM(D30:H30)</f>
        <v>66403</v>
      </c>
    </row>
    <row r="31" spans="1:9" ht="15.75" thickBot="1">
      <c r="A31" s="1937"/>
      <c r="B31" s="1938"/>
      <c r="C31" s="1508" t="s">
        <v>1033</v>
      </c>
      <c r="D31" s="663">
        <v>0</v>
      </c>
      <c r="E31" s="664">
        <v>0</v>
      </c>
      <c r="F31" s="665">
        <v>66403</v>
      </c>
      <c r="G31" s="663">
        <v>0</v>
      </c>
      <c r="H31" s="665">
        <v>0</v>
      </c>
      <c r="I31" s="666">
        <f t="shared" si="0"/>
        <v>66403</v>
      </c>
    </row>
    <row r="32" spans="1:9" ht="15.75" thickTop="1">
      <c r="A32" s="1939" t="s">
        <v>145</v>
      </c>
      <c r="B32" s="1940" t="s">
        <v>107</v>
      </c>
      <c r="C32" s="1509" t="s">
        <v>3</v>
      </c>
      <c r="D32" s="672">
        <v>0</v>
      </c>
      <c r="E32" s="673">
        <v>0</v>
      </c>
      <c r="F32" s="671">
        <v>45457</v>
      </c>
      <c r="G32" s="672">
        <v>0</v>
      </c>
      <c r="H32" s="671">
        <v>0</v>
      </c>
      <c r="I32" s="674">
        <f t="shared" si="0"/>
        <v>45457</v>
      </c>
    </row>
    <row r="33" spans="1:9">
      <c r="A33" s="1936"/>
      <c r="B33" s="1933"/>
      <c r="C33" s="1506" t="s">
        <v>894</v>
      </c>
      <c r="D33" s="640">
        <v>0</v>
      </c>
      <c r="E33" s="601">
        <v>0</v>
      </c>
      <c r="F33" s="641">
        <v>34849</v>
      </c>
      <c r="G33" s="640">
        <v>0</v>
      </c>
      <c r="H33" s="641">
        <v>0</v>
      </c>
      <c r="I33" s="647">
        <f t="shared" ref="I33" si="9">SUM(D33:H33)</f>
        <v>34849</v>
      </c>
    </row>
    <row r="34" spans="1:9" ht="15.75" thickBot="1">
      <c r="A34" s="1937"/>
      <c r="B34" s="1938"/>
      <c r="C34" s="1508" t="s">
        <v>1033</v>
      </c>
      <c r="D34" s="663">
        <v>0</v>
      </c>
      <c r="E34" s="664">
        <v>0</v>
      </c>
      <c r="F34" s="665">
        <v>34849</v>
      </c>
      <c r="G34" s="663">
        <v>0</v>
      </c>
      <c r="H34" s="665">
        <v>0</v>
      </c>
      <c r="I34" s="666">
        <f t="shared" si="0"/>
        <v>34849</v>
      </c>
    </row>
    <row r="35" spans="1:9" s="201" customFormat="1" thickTop="1">
      <c r="A35" s="1930" t="s">
        <v>146</v>
      </c>
      <c r="B35" s="1941" t="s">
        <v>107</v>
      </c>
      <c r="C35" s="1510" t="s">
        <v>3</v>
      </c>
      <c r="D35" s="668">
        <v>0</v>
      </c>
      <c r="E35" s="669">
        <v>0</v>
      </c>
      <c r="F35" s="667">
        <v>131380</v>
      </c>
      <c r="G35" s="668">
        <v>0</v>
      </c>
      <c r="H35" s="667">
        <v>0</v>
      </c>
      <c r="I35" s="670">
        <f t="shared" si="0"/>
        <v>131380</v>
      </c>
    </row>
    <row r="36" spans="1:9" s="201" customFormat="1" ht="14.25">
      <c r="A36" s="1930"/>
      <c r="B36" s="1941"/>
      <c r="C36" s="1511" t="s">
        <v>894</v>
      </c>
      <c r="D36" s="642">
        <f t="shared" ref="D36:H37" si="10">D30+D33</f>
        <v>0</v>
      </c>
      <c r="E36" s="603">
        <f t="shared" si="10"/>
        <v>0</v>
      </c>
      <c r="F36" s="643">
        <f t="shared" si="10"/>
        <v>101252</v>
      </c>
      <c r="G36" s="642">
        <f t="shared" si="10"/>
        <v>0</v>
      </c>
      <c r="H36" s="643">
        <f t="shared" si="10"/>
        <v>0</v>
      </c>
      <c r="I36" s="648">
        <f t="shared" si="0"/>
        <v>101252</v>
      </c>
    </row>
    <row r="37" spans="1:9" s="201" customFormat="1" thickBot="1">
      <c r="A37" s="1931"/>
      <c r="B37" s="1942"/>
      <c r="C37" s="1512" t="s">
        <v>1033</v>
      </c>
      <c r="D37" s="644">
        <f t="shared" si="10"/>
        <v>0</v>
      </c>
      <c r="E37" s="195">
        <f t="shared" si="10"/>
        <v>0</v>
      </c>
      <c r="F37" s="645">
        <f t="shared" si="10"/>
        <v>101252</v>
      </c>
      <c r="G37" s="644">
        <f t="shared" si="10"/>
        <v>0</v>
      </c>
      <c r="H37" s="645">
        <f t="shared" si="10"/>
        <v>0</v>
      </c>
      <c r="I37" s="649">
        <f t="shared" ref="I37" si="11">SUM(D37:H37)</f>
        <v>101252</v>
      </c>
    </row>
    <row r="38" spans="1:9">
      <c r="A38" s="1935" t="s">
        <v>147</v>
      </c>
      <c r="B38" s="1932" t="s">
        <v>107</v>
      </c>
      <c r="C38" s="1505" t="s">
        <v>3</v>
      </c>
      <c r="D38" s="656">
        <v>0</v>
      </c>
      <c r="E38" s="657">
        <v>0</v>
      </c>
      <c r="F38" s="655">
        <v>122488</v>
      </c>
      <c r="G38" s="656">
        <v>1000</v>
      </c>
      <c r="H38" s="655">
        <v>0</v>
      </c>
      <c r="I38" s="658">
        <f t="shared" si="0"/>
        <v>123488</v>
      </c>
    </row>
    <row r="39" spans="1:9">
      <c r="A39" s="1936"/>
      <c r="B39" s="1933"/>
      <c r="C39" s="1506" t="s">
        <v>894</v>
      </c>
      <c r="D39" s="640">
        <v>0</v>
      </c>
      <c r="E39" s="601">
        <v>0</v>
      </c>
      <c r="F39" s="641">
        <v>104113</v>
      </c>
      <c r="G39" s="640">
        <v>1000</v>
      </c>
      <c r="H39" s="641">
        <v>0</v>
      </c>
      <c r="I39" s="647">
        <f t="shared" ref="I39" si="12">SUM(D39:H39)</f>
        <v>105113</v>
      </c>
    </row>
    <row r="40" spans="1:9" ht="15.75" thickBot="1">
      <c r="A40" s="1937"/>
      <c r="B40" s="1938"/>
      <c r="C40" s="1508" t="s">
        <v>1033</v>
      </c>
      <c r="D40" s="663">
        <v>0</v>
      </c>
      <c r="E40" s="664">
        <v>0</v>
      </c>
      <c r="F40" s="665">
        <v>104113</v>
      </c>
      <c r="G40" s="663">
        <v>1000</v>
      </c>
      <c r="H40" s="665">
        <v>0</v>
      </c>
      <c r="I40" s="666">
        <v>105113</v>
      </c>
    </row>
    <row r="41" spans="1:9" ht="15.75" thickTop="1">
      <c r="A41" s="1939" t="s">
        <v>148</v>
      </c>
      <c r="B41" s="1940" t="s">
        <v>107</v>
      </c>
      <c r="C41" s="1509" t="s">
        <v>3</v>
      </c>
      <c r="D41" s="672">
        <v>0</v>
      </c>
      <c r="E41" s="673">
        <v>0</v>
      </c>
      <c r="F41" s="671">
        <v>104113</v>
      </c>
      <c r="G41" s="672">
        <v>1000</v>
      </c>
      <c r="H41" s="671">
        <v>0</v>
      </c>
      <c r="I41" s="674">
        <f t="shared" si="0"/>
        <v>105113</v>
      </c>
    </row>
    <row r="42" spans="1:9">
      <c r="A42" s="1936"/>
      <c r="B42" s="1933"/>
      <c r="C42" s="1506" t="s">
        <v>894</v>
      </c>
      <c r="D42" s="640">
        <v>0</v>
      </c>
      <c r="E42" s="601">
        <v>0</v>
      </c>
      <c r="F42" s="641">
        <v>28451</v>
      </c>
      <c r="G42" s="640">
        <v>0</v>
      </c>
      <c r="H42" s="641">
        <v>0</v>
      </c>
      <c r="I42" s="647">
        <f t="shared" ref="I42" si="13">SUM(D42:H42)</f>
        <v>28451</v>
      </c>
    </row>
    <row r="43" spans="1:9" ht="15.75" thickBot="1">
      <c r="A43" s="1937"/>
      <c r="B43" s="1938"/>
      <c r="C43" s="1508" t="s">
        <v>1033</v>
      </c>
      <c r="D43" s="663">
        <v>0</v>
      </c>
      <c r="E43" s="664">
        <v>0</v>
      </c>
      <c r="F43" s="665">
        <v>28451</v>
      </c>
      <c r="G43" s="663">
        <v>0</v>
      </c>
      <c r="H43" s="665">
        <v>0</v>
      </c>
      <c r="I43" s="666">
        <f t="shared" si="0"/>
        <v>28451</v>
      </c>
    </row>
    <row r="44" spans="1:9" s="201" customFormat="1" thickTop="1">
      <c r="A44" s="1930" t="s">
        <v>149</v>
      </c>
      <c r="B44" s="1941" t="s">
        <v>107</v>
      </c>
      <c r="C44" s="1510" t="s">
        <v>3</v>
      </c>
      <c r="D44" s="668">
        <v>0</v>
      </c>
      <c r="E44" s="669">
        <v>0</v>
      </c>
      <c r="F44" s="667">
        <v>158608</v>
      </c>
      <c r="G44" s="668">
        <v>1000</v>
      </c>
      <c r="H44" s="667">
        <v>0</v>
      </c>
      <c r="I44" s="670">
        <f t="shared" si="0"/>
        <v>159608</v>
      </c>
    </row>
    <row r="45" spans="1:9" s="201" customFormat="1" ht="14.25">
      <c r="A45" s="1930"/>
      <c r="B45" s="1941"/>
      <c r="C45" s="1511" t="s">
        <v>894</v>
      </c>
      <c r="D45" s="642">
        <f t="shared" ref="D45:H46" si="14">D39+D42</f>
        <v>0</v>
      </c>
      <c r="E45" s="603">
        <f t="shared" si="14"/>
        <v>0</v>
      </c>
      <c r="F45" s="643">
        <f t="shared" si="14"/>
        <v>132564</v>
      </c>
      <c r="G45" s="642">
        <f t="shared" si="14"/>
        <v>1000</v>
      </c>
      <c r="H45" s="643">
        <f t="shared" si="14"/>
        <v>0</v>
      </c>
      <c r="I45" s="648">
        <f t="shared" si="0"/>
        <v>133564</v>
      </c>
    </row>
    <row r="46" spans="1:9" s="201" customFormat="1" thickBot="1">
      <c r="A46" s="1931"/>
      <c r="B46" s="1942"/>
      <c r="C46" s="1512" t="s">
        <v>1033</v>
      </c>
      <c r="D46" s="644">
        <f t="shared" si="14"/>
        <v>0</v>
      </c>
      <c r="E46" s="195">
        <f t="shared" si="14"/>
        <v>0</v>
      </c>
      <c r="F46" s="645">
        <f t="shared" si="14"/>
        <v>132564</v>
      </c>
      <c r="G46" s="644">
        <f t="shared" si="14"/>
        <v>1000</v>
      </c>
      <c r="H46" s="645">
        <f t="shared" si="14"/>
        <v>0</v>
      </c>
      <c r="I46" s="649">
        <f t="shared" ref="I46" si="15">SUM(D46:H46)</f>
        <v>133564</v>
      </c>
    </row>
    <row r="47" spans="1:9">
      <c r="A47" s="1935" t="s">
        <v>150</v>
      </c>
      <c r="B47" s="1932" t="s">
        <v>107</v>
      </c>
      <c r="C47" s="1505" t="s">
        <v>3</v>
      </c>
      <c r="D47" s="656">
        <v>0</v>
      </c>
      <c r="E47" s="657">
        <v>0</v>
      </c>
      <c r="F47" s="655">
        <v>34147</v>
      </c>
      <c r="G47" s="656">
        <v>0</v>
      </c>
      <c r="H47" s="655">
        <v>0</v>
      </c>
      <c r="I47" s="658">
        <f t="shared" si="0"/>
        <v>34147</v>
      </c>
    </row>
    <row r="48" spans="1:9">
      <c r="A48" s="1936"/>
      <c r="B48" s="1933"/>
      <c r="C48" s="1506" t="s">
        <v>894</v>
      </c>
      <c r="D48" s="640">
        <v>0</v>
      </c>
      <c r="E48" s="601">
        <v>0</v>
      </c>
      <c r="F48" s="641">
        <v>26966</v>
      </c>
      <c r="G48" s="640">
        <v>0</v>
      </c>
      <c r="H48" s="641">
        <v>0</v>
      </c>
      <c r="I48" s="647">
        <f t="shared" ref="I48" si="16">SUM(D48:H48)</f>
        <v>26966</v>
      </c>
    </row>
    <row r="49" spans="1:9" ht="15.75" thickBot="1">
      <c r="A49" s="1937"/>
      <c r="B49" s="1938"/>
      <c r="C49" s="1508" t="s">
        <v>1033</v>
      </c>
      <c r="D49" s="663">
        <v>0</v>
      </c>
      <c r="E49" s="664">
        <v>0</v>
      </c>
      <c r="F49" s="665">
        <v>26966</v>
      </c>
      <c r="G49" s="663">
        <v>0</v>
      </c>
      <c r="H49" s="665">
        <v>0</v>
      </c>
      <c r="I49" s="666">
        <f t="shared" si="0"/>
        <v>26966</v>
      </c>
    </row>
    <row r="50" spans="1:9" ht="15.75" thickTop="1">
      <c r="A50" s="1939" t="s">
        <v>151</v>
      </c>
      <c r="B50" s="1940" t="s">
        <v>107</v>
      </c>
      <c r="C50" s="1509" t="s">
        <v>3</v>
      </c>
      <c r="D50" s="672">
        <v>0</v>
      </c>
      <c r="E50" s="673">
        <v>0</v>
      </c>
      <c r="F50" s="671">
        <v>12737</v>
      </c>
      <c r="G50" s="672">
        <v>0</v>
      </c>
      <c r="H50" s="671">
        <v>0</v>
      </c>
      <c r="I50" s="674">
        <f t="shared" si="0"/>
        <v>12737</v>
      </c>
    </row>
    <row r="51" spans="1:9">
      <c r="A51" s="1936"/>
      <c r="B51" s="1933"/>
      <c r="C51" s="1506" t="s">
        <v>894</v>
      </c>
      <c r="D51" s="640">
        <v>0</v>
      </c>
      <c r="E51" s="601">
        <v>0</v>
      </c>
      <c r="F51" s="641">
        <v>10055</v>
      </c>
      <c r="G51" s="640">
        <v>0</v>
      </c>
      <c r="H51" s="641">
        <v>0</v>
      </c>
      <c r="I51" s="647">
        <f t="shared" ref="I51" si="17">SUM(D51:H51)</f>
        <v>10055</v>
      </c>
    </row>
    <row r="52" spans="1:9" ht="15.75" thickBot="1">
      <c r="A52" s="1937"/>
      <c r="B52" s="1938"/>
      <c r="C52" s="1508" t="s">
        <v>1033</v>
      </c>
      <c r="D52" s="663">
        <v>0</v>
      </c>
      <c r="E52" s="664">
        <v>0</v>
      </c>
      <c r="F52" s="665">
        <v>10055</v>
      </c>
      <c r="G52" s="663">
        <v>0</v>
      </c>
      <c r="H52" s="665">
        <v>0</v>
      </c>
      <c r="I52" s="666">
        <f t="shared" si="0"/>
        <v>10055</v>
      </c>
    </row>
    <row r="53" spans="1:9" ht="15.75" thickTop="1">
      <c r="A53" s="1939" t="s">
        <v>871</v>
      </c>
      <c r="B53" s="1940" t="s">
        <v>107</v>
      </c>
      <c r="C53" s="1509" t="s">
        <v>3</v>
      </c>
      <c r="D53" s="672">
        <v>0</v>
      </c>
      <c r="E53" s="673">
        <v>0</v>
      </c>
      <c r="F53" s="671">
        <v>86702</v>
      </c>
      <c r="G53" s="672">
        <v>0</v>
      </c>
      <c r="H53" s="671">
        <v>0</v>
      </c>
      <c r="I53" s="674">
        <f t="shared" si="0"/>
        <v>86702</v>
      </c>
    </row>
    <row r="54" spans="1:9">
      <c r="A54" s="1936"/>
      <c r="B54" s="1933"/>
      <c r="C54" s="1506" t="s">
        <v>894</v>
      </c>
      <c r="D54" s="640">
        <v>0</v>
      </c>
      <c r="E54" s="601">
        <v>0</v>
      </c>
      <c r="F54" s="641">
        <v>86702</v>
      </c>
      <c r="G54" s="640">
        <v>0</v>
      </c>
      <c r="H54" s="641">
        <v>0</v>
      </c>
      <c r="I54" s="647">
        <f t="shared" ref="I54" si="18">SUM(D54:H54)</f>
        <v>86702</v>
      </c>
    </row>
    <row r="55" spans="1:9" ht="15.75" thickBot="1">
      <c r="A55" s="1937"/>
      <c r="B55" s="1938"/>
      <c r="C55" s="1508" t="s">
        <v>1033</v>
      </c>
      <c r="D55" s="663">
        <v>0</v>
      </c>
      <c r="E55" s="664">
        <v>0</v>
      </c>
      <c r="F55" s="665">
        <v>86702</v>
      </c>
      <c r="G55" s="663">
        <v>0</v>
      </c>
      <c r="H55" s="665">
        <v>0</v>
      </c>
      <c r="I55" s="666">
        <f t="shared" si="0"/>
        <v>86702</v>
      </c>
    </row>
    <row r="56" spans="1:9" ht="15.75" thickTop="1">
      <c r="A56" s="1939" t="s">
        <v>152</v>
      </c>
      <c r="B56" s="1943" t="s">
        <v>153</v>
      </c>
      <c r="C56" s="1509" t="s">
        <v>3</v>
      </c>
      <c r="D56" s="672">
        <v>42599</v>
      </c>
      <c r="E56" s="673">
        <v>8103</v>
      </c>
      <c r="F56" s="671">
        <v>31308</v>
      </c>
      <c r="G56" s="672">
        <v>8105</v>
      </c>
      <c r="H56" s="671">
        <v>0</v>
      </c>
      <c r="I56" s="674">
        <f t="shared" si="0"/>
        <v>90115</v>
      </c>
    </row>
    <row r="57" spans="1:9">
      <c r="A57" s="1936"/>
      <c r="B57" s="1944"/>
      <c r="C57" s="1506" t="s">
        <v>894</v>
      </c>
      <c r="D57" s="640">
        <v>42599</v>
      </c>
      <c r="E57" s="601">
        <v>8103</v>
      </c>
      <c r="F57" s="641">
        <v>31308</v>
      </c>
      <c r="G57" s="640">
        <v>8605</v>
      </c>
      <c r="H57" s="641">
        <v>0</v>
      </c>
      <c r="I57" s="647">
        <f t="shared" ref="I57" si="19">SUM(D57:H57)</f>
        <v>90615</v>
      </c>
    </row>
    <row r="58" spans="1:9" ht="15.75" thickBot="1">
      <c r="A58" s="1937"/>
      <c r="B58" s="1945"/>
      <c r="C58" s="1508" t="s">
        <v>1033</v>
      </c>
      <c r="D58" s="663">
        <v>42973</v>
      </c>
      <c r="E58" s="664">
        <v>8171</v>
      </c>
      <c r="F58" s="665">
        <v>31664</v>
      </c>
      <c r="G58" s="663">
        <v>7162</v>
      </c>
      <c r="H58" s="665"/>
      <c r="I58" s="666">
        <f t="shared" si="0"/>
        <v>89970</v>
      </c>
    </row>
    <row r="59" spans="1:9" s="201" customFormat="1" thickTop="1">
      <c r="A59" s="1930" t="s">
        <v>154</v>
      </c>
      <c r="B59" s="1946"/>
      <c r="C59" s="1510" t="s">
        <v>3</v>
      </c>
      <c r="D59" s="668">
        <v>42599</v>
      </c>
      <c r="E59" s="669">
        <v>8103</v>
      </c>
      <c r="F59" s="667">
        <v>454882</v>
      </c>
      <c r="G59" s="668">
        <v>9105</v>
      </c>
      <c r="H59" s="667">
        <v>0</v>
      </c>
      <c r="I59" s="670">
        <f t="shared" si="0"/>
        <v>514689</v>
      </c>
    </row>
    <row r="60" spans="1:9" s="201" customFormat="1" ht="14.25">
      <c r="A60" s="1930"/>
      <c r="B60" s="1946"/>
      <c r="C60" s="1511" t="s">
        <v>894</v>
      </c>
      <c r="D60" s="642">
        <f t="shared" ref="D60:H61" si="20">D36+D45+D48+D51+D57+D54</f>
        <v>42599</v>
      </c>
      <c r="E60" s="603">
        <f t="shared" si="20"/>
        <v>8103</v>
      </c>
      <c r="F60" s="643">
        <f t="shared" si="20"/>
        <v>388847</v>
      </c>
      <c r="G60" s="642">
        <f t="shared" si="20"/>
        <v>9605</v>
      </c>
      <c r="H60" s="643">
        <f t="shared" si="20"/>
        <v>0</v>
      </c>
      <c r="I60" s="648">
        <f t="shared" si="0"/>
        <v>449154</v>
      </c>
    </row>
    <row r="61" spans="1:9" s="201" customFormat="1" thickBot="1">
      <c r="A61" s="1931"/>
      <c r="B61" s="1947"/>
      <c r="C61" s="1512" t="s">
        <v>1033</v>
      </c>
      <c r="D61" s="644">
        <f t="shared" si="20"/>
        <v>42973</v>
      </c>
      <c r="E61" s="195">
        <f t="shared" si="20"/>
        <v>8171</v>
      </c>
      <c r="F61" s="645">
        <f t="shared" si="20"/>
        <v>389203</v>
      </c>
      <c r="G61" s="644">
        <f t="shared" si="20"/>
        <v>8162</v>
      </c>
      <c r="H61" s="645">
        <f t="shared" si="20"/>
        <v>0</v>
      </c>
      <c r="I61" s="649">
        <f t="shared" ref="I61" si="21">SUM(D61:H61)</f>
        <v>448509</v>
      </c>
    </row>
    <row r="62" spans="1:9">
      <c r="A62" s="1948" t="s">
        <v>155</v>
      </c>
      <c r="B62" s="1951" t="s">
        <v>107</v>
      </c>
      <c r="C62" s="1505" t="s">
        <v>3</v>
      </c>
      <c r="D62" s="656">
        <v>158687</v>
      </c>
      <c r="E62" s="657">
        <v>29933</v>
      </c>
      <c r="F62" s="655">
        <v>51280</v>
      </c>
      <c r="G62" s="656">
        <v>33000</v>
      </c>
      <c r="H62" s="655">
        <v>38000</v>
      </c>
      <c r="I62" s="658">
        <f t="shared" si="0"/>
        <v>310900</v>
      </c>
    </row>
    <row r="63" spans="1:9">
      <c r="A63" s="1949"/>
      <c r="B63" s="1944"/>
      <c r="C63" s="1506" t="s">
        <v>894</v>
      </c>
      <c r="D63" s="640">
        <v>191835</v>
      </c>
      <c r="E63" s="601">
        <v>35786</v>
      </c>
      <c r="F63" s="641">
        <v>270452</v>
      </c>
      <c r="G63" s="640">
        <v>45000</v>
      </c>
      <c r="H63" s="641">
        <v>38000</v>
      </c>
      <c r="I63" s="647">
        <f t="shared" ref="I63" si="22">SUM(D63:H63)</f>
        <v>581073</v>
      </c>
    </row>
    <row r="64" spans="1:9" ht="15.75" thickBot="1">
      <c r="A64" s="1950"/>
      <c r="B64" s="1952"/>
      <c r="C64" s="1507" t="s">
        <v>1033</v>
      </c>
      <c r="D64" s="659">
        <v>206182</v>
      </c>
      <c r="E64" s="660">
        <v>38357</v>
      </c>
      <c r="F64" s="661">
        <v>377548</v>
      </c>
      <c r="G64" s="659">
        <v>47800</v>
      </c>
      <c r="H64" s="661">
        <v>38000</v>
      </c>
      <c r="I64" s="662">
        <f t="shared" si="0"/>
        <v>707887</v>
      </c>
    </row>
    <row r="65" spans="1:9">
      <c r="A65" s="1948" t="s">
        <v>156</v>
      </c>
      <c r="B65" s="1951" t="s">
        <v>107</v>
      </c>
      <c r="C65" s="1505" t="s">
        <v>3</v>
      </c>
      <c r="D65" s="656">
        <v>32029</v>
      </c>
      <c r="E65" s="657">
        <v>6152</v>
      </c>
      <c r="F65" s="655">
        <v>10879</v>
      </c>
      <c r="G65" s="656">
        <v>2500</v>
      </c>
      <c r="H65" s="655">
        <v>500</v>
      </c>
      <c r="I65" s="658">
        <f t="shared" si="0"/>
        <v>52060</v>
      </c>
    </row>
    <row r="66" spans="1:9">
      <c r="A66" s="1949"/>
      <c r="B66" s="1944"/>
      <c r="C66" s="1506" t="s">
        <v>894</v>
      </c>
      <c r="D66" s="640">
        <v>32434</v>
      </c>
      <c r="E66" s="601">
        <v>6231</v>
      </c>
      <c r="F66" s="641">
        <v>10879</v>
      </c>
      <c r="G66" s="640">
        <v>3403</v>
      </c>
      <c r="H66" s="641">
        <v>500</v>
      </c>
      <c r="I66" s="647">
        <f t="shared" ref="I66" si="23">SUM(D66:H66)</f>
        <v>53447</v>
      </c>
    </row>
    <row r="67" spans="1:9" ht="15.75" thickBot="1">
      <c r="A67" s="1950"/>
      <c r="B67" s="1952"/>
      <c r="C67" s="1507" t="s">
        <v>1033</v>
      </c>
      <c r="D67" s="659">
        <v>33762</v>
      </c>
      <c r="E67" s="660">
        <v>6479</v>
      </c>
      <c r="F67" s="661">
        <v>11332</v>
      </c>
      <c r="G67" s="659">
        <v>3985</v>
      </c>
      <c r="H67" s="661">
        <v>0</v>
      </c>
      <c r="I67" s="662">
        <f t="shared" si="0"/>
        <v>55558</v>
      </c>
    </row>
    <row r="68" spans="1:9">
      <c r="A68" s="1948" t="s">
        <v>157</v>
      </c>
      <c r="B68" s="1951" t="s">
        <v>107</v>
      </c>
      <c r="C68" s="1505" t="s">
        <v>3</v>
      </c>
      <c r="D68" s="656">
        <v>61616</v>
      </c>
      <c r="E68" s="657">
        <v>11768</v>
      </c>
      <c r="F68" s="655">
        <v>15567</v>
      </c>
      <c r="G68" s="656">
        <v>1769</v>
      </c>
      <c r="H68" s="655">
        <v>0</v>
      </c>
      <c r="I68" s="658">
        <f t="shared" si="0"/>
        <v>90720</v>
      </c>
    </row>
    <row r="69" spans="1:9">
      <c r="A69" s="1949"/>
      <c r="B69" s="1944"/>
      <c r="C69" s="1506" t="s">
        <v>894</v>
      </c>
      <c r="D69" s="640">
        <v>59028</v>
      </c>
      <c r="E69" s="601">
        <v>11264</v>
      </c>
      <c r="F69" s="641">
        <v>18743</v>
      </c>
      <c r="G69" s="640">
        <v>1769</v>
      </c>
      <c r="H69" s="641">
        <v>0</v>
      </c>
      <c r="I69" s="647">
        <f t="shared" ref="I69" si="24">SUM(D69:H69)</f>
        <v>90804</v>
      </c>
    </row>
    <row r="70" spans="1:9" ht="15.75" thickBot="1">
      <c r="A70" s="1950"/>
      <c r="B70" s="1952"/>
      <c r="C70" s="1507" t="s">
        <v>1033</v>
      </c>
      <c r="D70" s="659">
        <v>67565</v>
      </c>
      <c r="E70" s="660">
        <v>12847</v>
      </c>
      <c r="F70" s="661">
        <v>19899</v>
      </c>
      <c r="G70" s="659">
        <v>1769</v>
      </c>
      <c r="H70" s="661">
        <v>0</v>
      </c>
      <c r="I70" s="662">
        <f t="shared" si="0"/>
        <v>102080</v>
      </c>
    </row>
    <row r="71" spans="1:9" s="201" customFormat="1" ht="14.25">
      <c r="A71" s="1930" t="s">
        <v>875</v>
      </c>
      <c r="B71" s="1946" t="s">
        <v>872</v>
      </c>
      <c r="C71" s="1510" t="s">
        <v>3</v>
      </c>
      <c r="D71" s="668">
        <v>802674</v>
      </c>
      <c r="E71" s="669">
        <v>156228</v>
      </c>
      <c r="F71" s="667">
        <v>673706</v>
      </c>
      <c r="G71" s="668">
        <v>65485</v>
      </c>
      <c r="H71" s="667">
        <v>74071</v>
      </c>
      <c r="I71" s="670">
        <f t="shared" si="0"/>
        <v>1772164</v>
      </c>
    </row>
    <row r="72" spans="1:9" s="201" customFormat="1" ht="14.25">
      <c r="A72" s="1930"/>
      <c r="B72" s="1946"/>
      <c r="C72" s="1511" t="s">
        <v>894</v>
      </c>
      <c r="D72" s="642">
        <f t="shared" ref="D72:H73" si="25">D6+D9+D12+D15+D18+D21+D24+D27+D60+D63+D66+D69</f>
        <v>835829</v>
      </c>
      <c r="E72" s="603">
        <f t="shared" si="25"/>
        <v>162116</v>
      </c>
      <c r="F72" s="643">
        <f t="shared" si="25"/>
        <v>835674</v>
      </c>
      <c r="G72" s="642">
        <f t="shared" si="25"/>
        <v>82366</v>
      </c>
      <c r="H72" s="643">
        <f t="shared" si="25"/>
        <v>72671</v>
      </c>
      <c r="I72" s="648">
        <f t="shared" ref="I72" si="26">SUM(D72:H72)</f>
        <v>1988656</v>
      </c>
    </row>
    <row r="73" spans="1:9" s="201" customFormat="1" thickBot="1">
      <c r="A73" s="1953"/>
      <c r="B73" s="1946"/>
      <c r="C73" s="1513" t="s">
        <v>1033</v>
      </c>
      <c r="D73" s="675">
        <f t="shared" si="25"/>
        <v>863153</v>
      </c>
      <c r="E73" s="676">
        <f t="shared" si="25"/>
        <v>167213</v>
      </c>
      <c r="F73" s="677">
        <f t="shared" si="25"/>
        <v>950447</v>
      </c>
      <c r="G73" s="675">
        <f t="shared" si="25"/>
        <v>93634</v>
      </c>
      <c r="H73" s="677">
        <f t="shared" si="25"/>
        <v>65130</v>
      </c>
      <c r="I73" s="678">
        <f t="shared" ref="I73" si="27">SUM(D73:H73)</f>
        <v>2139577</v>
      </c>
    </row>
    <row r="74" spans="1:9" s="201" customFormat="1" ht="14.25">
      <c r="A74" s="1920" t="s">
        <v>158</v>
      </c>
      <c r="B74" s="1954" t="s">
        <v>123</v>
      </c>
      <c r="C74" s="1514" t="s">
        <v>3</v>
      </c>
      <c r="D74" s="680">
        <v>760075</v>
      </c>
      <c r="E74" s="681">
        <v>148125</v>
      </c>
      <c r="F74" s="679">
        <v>642398</v>
      </c>
      <c r="G74" s="680">
        <v>57380</v>
      </c>
      <c r="H74" s="679">
        <v>74071</v>
      </c>
      <c r="I74" s="682">
        <f t="shared" si="0"/>
        <v>1682049</v>
      </c>
    </row>
    <row r="75" spans="1:9" s="201" customFormat="1" ht="14.25">
      <c r="A75" s="1930"/>
      <c r="B75" s="1946"/>
      <c r="C75" s="1511" t="s">
        <v>894</v>
      </c>
      <c r="D75" s="642">
        <f t="shared" ref="D75:H76" si="28">D6+D9+D12+D15+D18+D21+D24+D27+D48+D63+D66+D69+D51+D54+D30+D33+D39+D42</f>
        <v>793230</v>
      </c>
      <c r="E75" s="603">
        <f t="shared" si="28"/>
        <v>154013</v>
      </c>
      <c r="F75" s="643">
        <f t="shared" si="28"/>
        <v>804366</v>
      </c>
      <c r="G75" s="642">
        <f t="shared" si="28"/>
        <v>73761</v>
      </c>
      <c r="H75" s="643">
        <f t="shared" si="28"/>
        <v>72671</v>
      </c>
      <c r="I75" s="648">
        <f t="shared" ref="I75" si="29">SUM(D75:H75)</f>
        <v>1898041</v>
      </c>
    </row>
    <row r="76" spans="1:9" s="201" customFormat="1" thickBot="1">
      <c r="A76" s="1931"/>
      <c r="B76" s="1947"/>
      <c r="C76" s="1512" t="s">
        <v>1033</v>
      </c>
      <c r="D76" s="644">
        <f t="shared" si="28"/>
        <v>820180</v>
      </c>
      <c r="E76" s="195">
        <f t="shared" si="28"/>
        <v>159042</v>
      </c>
      <c r="F76" s="645">
        <f t="shared" si="28"/>
        <v>918783</v>
      </c>
      <c r="G76" s="644">
        <f t="shared" si="28"/>
        <v>86472</v>
      </c>
      <c r="H76" s="645">
        <f t="shared" si="28"/>
        <v>65130</v>
      </c>
      <c r="I76" s="649">
        <f t="shared" ref="I76" si="30">SUM(D76:H76)</f>
        <v>2049607</v>
      </c>
    </row>
    <row r="77" spans="1:9" s="201" customFormat="1" ht="14.25">
      <c r="A77" s="1930" t="s">
        <v>159</v>
      </c>
      <c r="B77" s="1946" t="s">
        <v>153</v>
      </c>
      <c r="C77" s="1510" t="s">
        <v>3</v>
      </c>
      <c r="D77" s="668">
        <v>42599</v>
      </c>
      <c r="E77" s="669">
        <v>8103</v>
      </c>
      <c r="F77" s="667">
        <v>31308</v>
      </c>
      <c r="G77" s="668">
        <v>8105</v>
      </c>
      <c r="H77" s="667">
        <v>0</v>
      </c>
      <c r="I77" s="670">
        <f t="shared" si="0"/>
        <v>90115</v>
      </c>
    </row>
    <row r="78" spans="1:9" s="201" customFormat="1" ht="14.25">
      <c r="A78" s="1930"/>
      <c r="B78" s="1946"/>
      <c r="C78" s="1511" t="s">
        <v>894</v>
      </c>
      <c r="D78" s="642">
        <f t="shared" ref="D78:H79" si="31">D57</f>
        <v>42599</v>
      </c>
      <c r="E78" s="603">
        <f t="shared" si="31"/>
        <v>8103</v>
      </c>
      <c r="F78" s="643">
        <f t="shared" si="31"/>
        <v>31308</v>
      </c>
      <c r="G78" s="642">
        <f t="shared" si="31"/>
        <v>8605</v>
      </c>
      <c r="H78" s="643">
        <f t="shared" si="31"/>
        <v>0</v>
      </c>
      <c r="I78" s="648">
        <f t="shared" ref="I78" si="32">SUM(D78:H78)</f>
        <v>90615</v>
      </c>
    </row>
    <row r="79" spans="1:9" s="201" customFormat="1" thickBot="1">
      <c r="A79" s="1931"/>
      <c r="B79" s="1947"/>
      <c r="C79" s="1512" t="s">
        <v>1033</v>
      </c>
      <c r="D79" s="644">
        <f t="shared" si="31"/>
        <v>42973</v>
      </c>
      <c r="E79" s="195">
        <f t="shared" si="31"/>
        <v>8171</v>
      </c>
      <c r="F79" s="645">
        <f t="shared" si="31"/>
        <v>31664</v>
      </c>
      <c r="G79" s="644">
        <f t="shared" si="31"/>
        <v>7162</v>
      </c>
      <c r="H79" s="645">
        <f t="shared" si="31"/>
        <v>0</v>
      </c>
      <c r="I79" s="649">
        <f t="shared" ref="I79" si="33">SUM(D79:H79)</f>
        <v>89970</v>
      </c>
    </row>
    <row r="81" spans="1:1">
      <c r="A81" s="208"/>
    </row>
    <row r="82" spans="1:1">
      <c r="A82" s="208"/>
    </row>
  </sheetData>
  <mergeCells count="57">
    <mergeCell ref="A77:A79"/>
    <mergeCell ref="B77:B79"/>
    <mergeCell ref="A68:A70"/>
    <mergeCell ref="B68:B70"/>
    <mergeCell ref="A71:A73"/>
    <mergeCell ref="B71:B73"/>
    <mergeCell ref="A74:A76"/>
    <mergeCell ref="B74:B76"/>
    <mergeCell ref="A59:A61"/>
    <mergeCell ref="B59:B61"/>
    <mergeCell ref="A62:A64"/>
    <mergeCell ref="B62:B64"/>
    <mergeCell ref="A65:A67"/>
    <mergeCell ref="B65:B67"/>
    <mergeCell ref="A50:A52"/>
    <mergeCell ref="B50:B52"/>
    <mergeCell ref="A53:A55"/>
    <mergeCell ref="B53:B55"/>
    <mergeCell ref="A56:A58"/>
    <mergeCell ref="B56:B58"/>
    <mergeCell ref="A41:A43"/>
    <mergeCell ref="B41:B43"/>
    <mergeCell ref="A44:A46"/>
    <mergeCell ref="B44:B46"/>
    <mergeCell ref="A47:A49"/>
    <mergeCell ref="B47:B49"/>
    <mergeCell ref="A32:A34"/>
    <mergeCell ref="B32:B34"/>
    <mergeCell ref="A35:A37"/>
    <mergeCell ref="B35:B37"/>
    <mergeCell ref="A38:A40"/>
    <mergeCell ref="B38:B40"/>
    <mergeCell ref="A23:A25"/>
    <mergeCell ref="B23:B25"/>
    <mergeCell ref="A26:A28"/>
    <mergeCell ref="B26:B28"/>
    <mergeCell ref="A29:A31"/>
    <mergeCell ref="B29:B31"/>
    <mergeCell ref="A14:A16"/>
    <mergeCell ref="B14:B16"/>
    <mergeCell ref="A17:A19"/>
    <mergeCell ref="B17:B19"/>
    <mergeCell ref="A20:A22"/>
    <mergeCell ref="B20:B22"/>
    <mergeCell ref="A5:A7"/>
    <mergeCell ref="B5:B7"/>
    <mergeCell ref="A8:A10"/>
    <mergeCell ref="B8:B10"/>
    <mergeCell ref="A11:A13"/>
    <mergeCell ref="B11:B13"/>
    <mergeCell ref="A1:I1"/>
    <mergeCell ref="A3:A4"/>
    <mergeCell ref="B3:B4"/>
    <mergeCell ref="C3:C4"/>
    <mergeCell ref="A2:I2"/>
    <mergeCell ref="D3:F3"/>
    <mergeCell ref="G3:H3"/>
  </mergeCells>
  <pageMargins left="0.7" right="0.7" top="0.75" bottom="0.75" header="0.3" footer="0.3"/>
  <pageSetup paperSize="9" scale="61" orientation="portrait" r:id="rId1"/>
  <headerFooter>
    <oddHeader>&amp;L6. melléklet 1, 2, 3</oddHeader>
    <oddFooter>&amp;L1. Mód.: 3/2019 (II.27.) önk. rend. 2.§. Hat.: 2019.03.01. napjától
2. Mód.: 9/2019 (IV.24.) önk. rend. 2.§ Hat.: 2019.04.25. napjától
3. Mód.: 18/2019 (IX.11.) önk. rend. 2.§ Hat.:2019.09.12. napjától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1"/>
  <sheetViews>
    <sheetView showWhiteSpace="0" view="pageLayout" topLeftCell="A145" zoomScaleNormal="100" workbookViewId="0">
      <selection activeCell="A191" sqref="A191"/>
    </sheetView>
  </sheetViews>
  <sheetFormatPr defaultRowHeight="15"/>
  <cols>
    <col min="1" max="1" width="97.5703125" style="23" customWidth="1"/>
    <col min="2" max="4" width="10.140625" style="23" customWidth="1"/>
    <col min="5" max="17" width="9.140625" style="232"/>
    <col min="18" max="16384" width="9.140625" style="23"/>
  </cols>
  <sheetData>
    <row r="1" spans="1:15">
      <c r="A1" s="1955" t="s">
        <v>601</v>
      </c>
      <c r="B1" s="1955"/>
      <c r="C1" s="1955"/>
      <c r="D1" s="1955"/>
    </row>
    <row r="2" spans="1:15" ht="15.75" thickBot="1">
      <c r="A2" s="43"/>
    </row>
    <row r="3" spans="1:15" ht="29.25" thickBot="1">
      <c r="A3" s="683" t="s">
        <v>2</v>
      </c>
      <c r="B3" s="735" t="s">
        <v>3</v>
      </c>
      <c r="C3" s="736" t="s">
        <v>966</v>
      </c>
      <c r="D3" s="1243" t="s">
        <v>1008</v>
      </c>
    </row>
    <row r="4" spans="1:15" ht="15.75" thickBot="1">
      <c r="A4" s="684" t="s">
        <v>70</v>
      </c>
      <c r="B4" s="739">
        <f>B6+B27</f>
        <v>3195554</v>
      </c>
      <c r="C4" s="740">
        <f>C6+C27</f>
        <v>3514230</v>
      </c>
      <c r="D4" s="106">
        <f>D6+D27</f>
        <v>3396248</v>
      </c>
    </row>
    <row r="5" spans="1:15">
      <c r="A5" s="685"/>
      <c r="B5" s="737"/>
      <c r="C5" s="738"/>
      <c r="D5" s="700"/>
      <c r="E5" s="1253"/>
      <c r="F5" s="1253"/>
      <c r="G5" s="1253"/>
      <c r="H5" s="1253"/>
      <c r="I5" s="1253"/>
      <c r="J5" s="1253"/>
      <c r="K5" s="1253"/>
      <c r="L5" s="1253"/>
    </row>
    <row r="6" spans="1:15">
      <c r="A6" s="686" t="s">
        <v>160</v>
      </c>
      <c r="B6" s="722">
        <f>SUM(B7:B23)</f>
        <v>2838333</v>
      </c>
      <c r="C6" s="710">
        <f>SUM(C7:C24)</f>
        <v>2967913</v>
      </c>
      <c r="D6" s="701">
        <f>SUM(D7:D25)</f>
        <v>2934316</v>
      </c>
      <c r="E6" s="1253"/>
      <c r="F6" s="1253"/>
      <c r="G6" s="1253"/>
      <c r="H6" s="1253"/>
      <c r="I6" s="1253"/>
      <c r="J6" s="1253"/>
      <c r="K6" s="1253"/>
      <c r="L6" s="1253"/>
    </row>
    <row r="7" spans="1:15" ht="15" customHeight="1">
      <c r="A7" s="217" t="s">
        <v>161</v>
      </c>
      <c r="B7" s="723">
        <v>300000</v>
      </c>
      <c r="C7" s="711">
        <v>300000</v>
      </c>
      <c r="D7" s="235">
        <v>421048</v>
      </c>
      <c r="E7" s="1253"/>
      <c r="F7" s="1253"/>
      <c r="G7" s="1253"/>
      <c r="H7" s="1253"/>
      <c r="I7" s="1253"/>
      <c r="J7" s="1253"/>
      <c r="K7" s="1253"/>
      <c r="L7" s="1681"/>
      <c r="M7" s="26"/>
      <c r="N7" s="26"/>
      <c r="O7" s="26"/>
    </row>
    <row r="8" spans="1:15">
      <c r="A8" s="687" t="s">
        <v>551</v>
      </c>
      <c r="B8" s="723">
        <v>193599</v>
      </c>
      <c r="C8" s="711">
        <v>193599</v>
      </c>
      <c r="D8" s="235">
        <v>192783</v>
      </c>
      <c r="E8" s="1253"/>
      <c r="F8" s="1253"/>
      <c r="G8" s="1253"/>
      <c r="H8" s="1253"/>
      <c r="I8" s="1253"/>
      <c r="J8" s="1253"/>
      <c r="K8" s="1253"/>
      <c r="L8" s="1681"/>
      <c r="M8" s="26"/>
      <c r="N8" s="26"/>
      <c r="O8" s="26"/>
    </row>
    <row r="9" spans="1:15">
      <c r="A9" s="688" t="s">
        <v>552</v>
      </c>
      <c r="B9" s="723">
        <v>398969</v>
      </c>
      <c r="C9" s="711">
        <v>403883</v>
      </c>
      <c r="D9" s="235">
        <v>388406</v>
      </c>
      <c r="E9" s="1253"/>
      <c r="F9" s="1253"/>
      <c r="G9" s="1253"/>
      <c r="H9" s="1253"/>
      <c r="I9" s="1253"/>
      <c r="J9" s="1253"/>
      <c r="K9" s="1253"/>
      <c r="L9" s="1681"/>
      <c r="M9" s="26"/>
      <c r="N9" s="26"/>
      <c r="O9" s="26"/>
    </row>
    <row r="10" spans="1:15">
      <c r="A10" s="688" t="s">
        <v>553</v>
      </c>
      <c r="B10" s="723">
        <v>337302</v>
      </c>
      <c r="C10" s="711">
        <v>337302</v>
      </c>
      <c r="D10" s="235">
        <v>357586</v>
      </c>
      <c r="E10" s="1253"/>
      <c r="F10" s="1253"/>
      <c r="G10" s="1253"/>
      <c r="H10" s="1253"/>
      <c r="I10" s="1253"/>
      <c r="J10" s="1253"/>
      <c r="K10" s="1253"/>
      <c r="L10" s="1681"/>
      <c r="M10" s="26"/>
      <c r="N10" s="26"/>
      <c r="O10" s="26"/>
    </row>
    <row r="11" spans="1:15">
      <c r="A11" s="688" t="s">
        <v>554</v>
      </c>
      <c r="B11" s="723">
        <v>53779</v>
      </c>
      <c r="C11" s="711">
        <v>53779</v>
      </c>
      <c r="D11" s="235">
        <v>0</v>
      </c>
      <c r="E11" s="1253"/>
      <c r="F11" s="1253"/>
      <c r="G11" s="1253"/>
      <c r="H11" s="1253"/>
      <c r="I11" s="1253"/>
      <c r="J11" s="1253"/>
      <c r="K11" s="1253"/>
      <c r="L11" s="1681"/>
      <c r="M11" s="26"/>
      <c r="N11" s="26"/>
      <c r="O11" s="26"/>
    </row>
    <row r="12" spans="1:15" ht="15" customHeight="1">
      <c r="A12" s="689" t="s">
        <v>162</v>
      </c>
      <c r="B12" s="723">
        <v>424971</v>
      </c>
      <c r="C12" s="711">
        <v>516958</v>
      </c>
      <c r="D12" s="235">
        <v>524244</v>
      </c>
      <c r="E12" s="1253"/>
      <c r="F12" s="1253"/>
      <c r="G12" s="1253"/>
      <c r="H12" s="1253"/>
      <c r="I12" s="1253"/>
      <c r="J12" s="1253"/>
      <c r="K12" s="1253"/>
      <c r="L12" s="1681"/>
      <c r="M12" s="26"/>
      <c r="N12" s="26"/>
      <c r="O12" s="26"/>
    </row>
    <row r="13" spans="1:15" ht="30">
      <c r="A13" s="689" t="s">
        <v>555</v>
      </c>
      <c r="B13" s="723">
        <v>98270</v>
      </c>
      <c r="C13" s="711">
        <v>98270</v>
      </c>
      <c r="D13" s="235">
        <v>100867</v>
      </c>
      <c r="E13" s="1253"/>
      <c r="F13" s="1253"/>
      <c r="G13" s="1253"/>
      <c r="H13" s="1253"/>
      <c r="I13" s="1253"/>
      <c r="J13" s="1253"/>
      <c r="K13" s="1253"/>
      <c r="L13" s="1681"/>
      <c r="M13" s="26"/>
      <c r="N13" s="26"/>
      <c r="O13" s="26"/>
    </row>
    <row r="14" spans="1:15" ht="30">
      <c r="A14" s="217" t="s">
        <v>556</v>
      </c>
      <c r="B14" s="723">
        <v>263526</v>
      </c>
      <c r="C14" s="711">
        <v>263526</v>
      </c>
      <c r="D14" s="235">
        <v>241046</v>
      </c>
      <c r="E14" s="1253"/>
      <c r="F14" s="1253"/>
      <c r="G14" s="1253"/>
      <c r="H14" s="1253"/>
      <c r="I14" s="1253"/>
      <c r="J14" s="1253"/>
      <c r="K14" s="1253"/>
      <c r="L14" s="1681"/>
      <c r="M14" s="26"/>
      <c r="N14" s="26"/>
      <c r="O14" s="26"/>
    </row>
    <row r="15" spans="1:15">
      <c r="A15" s="217" t="s">
        <v>557</v>
      </c>
      <c r="B15" s="723">
        <v>120410</v>
      </c>
      <c r="C15" s="711">
        <v>120410</v>
      </c>
      <c r="D15" s="235">
        <v>74589</v>
      </c>
      <c r="E15" s="1253"/>
      <c r="F15" s="1253"/>
      <c r="G15" s="1253"/>
      <c r="H15" s="1253"/>
      <c r="I15" s="1253"/>
      <c r="J15" s="1253"/>
      <c r="K15" s="1253"/>
      <c r="L15" s="1681"/>
      <c r="M15" s="26"/>
      <c r="N15" s="26"/>
      <c r="O15" s="26"/>
    </row>
    <row r="16" spans="1:15">
      <c r="A16" s="217" t="s">
        <v>416</v>
      </c>
      <c r="B16" s="723">
        <v>4994</v>
      </c>
      <c r="C16" s="711">
        <v>4994</v>
      </c>
      <c r="D16" s="776">
        <v>4165</v>
      </c>
      <c r="E16" s="1253"/>
      <c r="F16" s="1253"/>
      <c r="G16" s="1253"/>
      <c r="H16" s="1253"/>
      <c r="I16" s="1253"/>
      <c r="J16" s="1253"/>
      <c r="K16" s="1253"/>
      <c r="L16" s="1681"/>
      <c r="M16" s="26"/>
      <c r="N16" s="26"/>
      <c r="O16" s="26"/>
    </row>
    <row r="17" spans="1:15">
      <c r="A17" s="217" t="s">
        <v>417</v>
      </c>
      <c r="B17" s="723">
        <v>1363</v>
      </c>
      <c r="C17" s="711">
        <v>1363</v>
      </c>
      <c r="D17" s="776">
        <v>588</v>
      </c>
      <c r="E17" s="1253"/>
      <c r="F17" s="1253"/>
      <c r="G17" s="1253"/>
      <c r="H17" s="1253"/>
      <c r="I17" s="1253"/>
      <c r="J17" s="1253"/>
      <c r="K17" s="1253"/>
      <c r="L17" s="1681"/>
      <c r="M17" s="26"/>
      <c r="N17" s="26"/>
      <c r="O17" s="26"/>
    </row>
    <row r="18" spans="1:15">
      <c r="A18" s="217" t="s">
        <v>418</v>
      </c>
      <c r="B18" s="723">
        <v>10604</v>
      </c>
      <c r="C18" s="711">
        <v>10604</v>
      </c>
      <c r="D18" s="235">
        <v>39847</v>
      </c>
      <c r="E18" s="1253"/>
      <c r="F18" s="1253"/>
      <c r="G18" s="1253"/>
      <c r="H18" s="1253"/>
      <c r="I18" s="1253"/>
      <c r="J18" s="1253"/>
      <c r="K18" s="1253"/>
      <c r="L18" s="1681"/>
      <c r="M18" s="26"/>
      <c r="N18" s="26"/>
      <c r="O18" s="26"/>
    </row>
    <row r="19" spans="1:15" ht="30">
      <c r="A19" s="217" t="s">
        <v>558</v>
      </c>
      <c r="B19" s="723">
        <v>87028</v>
      </c>
      <c r="C19" s="711">
        <v>87028</v>
      </c>
      <c r="D19" s="235">
        <v>87028</v>
      </c>
      <c r="E19" s="1253"/>
      <c r="F19" s="1253"/>
      <c r="G19" s="1253"/>
      <c r="H19" s="1253"/>
      <c r="I19" s="1253"/>
      <c r="J19" s="1253"/>
      <c r="K19" s="1253"/>
      <c r="L19" s="1681"/>
      <c r="M19" s="26"/>
      <c r="N19" s="26"/>
      <c r="O19" s="26"/>
    </row>
    <row r="20" spans="1:15">
      <c r="A20" s="690" t="s">
        <v>559</v>
      </c>
      <c r="B20" s="724">
        <v>454518</v>
      </c>
      <c r="C20" s="712">
        <v>463069</v>
      </c>
      <c r="D20" s="702">
        <v>357888</v>
      </c>
      <c r="E20" s="1253"/>
      <c r="F20" s="1253"/>
      <c r="G20" s="1253"/>
      <c r="H20" s="1253"/>
      <c r="I20" s="1253"/>
      <c r="J20" s="1253"/>
      <c r="K20" s="1253"/>
      <c r="L20" s="1681"/>
      <c r="M20" s="26"/>
      <c r="N20" s="26"/>
      <c r="O20" s="26"/>
    </row>
    <row r="21" spans="1:15">
      <c r="A21" s="690" t="s">
        <v>560</v>
      </c>
      <c r="B21" s="724">
        <v>40000</v>
      </c>
      <c r="C21" s="712">
        <v>55000</v>
      </c>
      <c r="D21" s="702">
        <v>85061</v>
      </c>
      <c r="E21" s="1253"/>
      <c r="F21" s="1253"/>
      <c r="G21" s="1253"/>
      <c r="H21" s="1253"/>
      <c r="I21" s="1253"/>
      <c r="J21" s="1253"/>
      <c r="K21" s="1253"/>
      <c r="L21" s="1681"/>
      <c r="M21" s="26"/>
      <c r="N21" s="26"/>
      <c r="O21" s="26"/>
    </row>
    <row r="22" spans="1:15">
      <c r="A22" s="690" t="s">
        <v>561</v>
      </c>
      <c r="B22" s="724">
        <v>40000</v>
      </c>
      <c r="C22" s="712">
        <v>45000</v>
      </c>
      <c r="D22" s="702">
        <v>50137</v>
      </c>
      <c r="E22" s="1253"/>
      <c r="F22" s="1253"/>
      <c r="G22" s="1253"/>
      <c r="H22" s="1253"/>
      <c r="I22" s="1253"/>
      <c r="J22" s="1253"/>
      <c r="K22" s="1253"/>
      <c r="L22" s="1681"/>
      <c r="M22" s="26"/>
      <c r="N22" s="26"/>
      <c r="O22" s="26"/>
    </row>
    <row r="23" spans="1:15">
      <c r="A23" s="690" t="s">
        <v>562</v>
      </c>
      <c r="B23" s="724">
        <v>9000</v>
      </c>
      <c r="C23" s="712">
        <v>9000</v>
      </c>
      <c r="D23" s="702">
        <v>9000</v>
      </c>
      <c r="E23" s="1253"/>
      <c r="F23" s="1253"/>
      <c r="G23" s="1253"/>
      <c r="H23" s="1253"/>
      <c r="I23" s="1253"/>
      <c r="J23" s="1253"/>
      <c r="K23" s="1253"/>
      <c r="L23" s="1681"/>
      <c r="M23" s="26"/>
      <c r="N23" s="26"/>
      <c r="O23" s="26"/>
    </row>
    <row r="24" spans="1:15">
      <c r="A24" s="690" t="s">
        <v>851</v>
      </c>
      <c r="B24" s="724"/>
      <c r="C24" s="712">
        <v>4128</v>
      </c>
      <c r="D24" s="702">
        <v>0</v>
      </c>
      <c r="E24" s="1253"/>
      <c r="F24" s="1253"/>
      <c r="G24" s="1253"/>
      <c r="H24" s="1253"/>
      <c r="I24" s="1253"/>
      <c r="J24" s="1253"/>
      <c r="K24" s="1253"/>
      <c r="L24" s="1681"/>
      <c r="M24" s="26"/>
      <c r="N24" s="26"/>
      <c r="O24" s="26"/>
    </row>
    <row r="25" spans="1:15">
      <c r="A25" s="1247" t="s">
        <v>1011</v>
      </c>
      <c r="B25" s="1248"/>
      <c r="C25" s="743"/>
      <c r="D25" s="1249">
        <v>33</v>
      </c>
      <c r="E25" s="1253"/>
      <c r="F25" s="1253"/>
      <c r="G25" s="1253"/>
      <c r="H25" s="1253"/>
      <c r="I25" s="1253"/>
      <c r="J25" s="1253"/>
      <c r="K25" s="1253"/>
      <c r="L25" s="1681"/>
      <c r="M25" s="26"/>
      <c r="N25" s="26"/>
      <c r="O25" s="26"/>
    </row>
    <row r="26" spans="1:15" ht="15.75" thickBot="1">
      <c r="A26" s="741"/>
      <c r="B26" s="742"/>
      <c r="C26" s="743"/>
      <c r="D26" s="744"/>
      <c r="E26" s="1253"/>
      <c r="F26" s="1253"/>
      <c r="G26" s="1253"/>
      <c r="H26" s="1253"/>
      <c r="I26" s="1253"/>
      <c r="J26" s="1253"/>
      <c r="K26" s="1253"/>
      <c r="L26" s="1253"/>
    </row>
    <row r="27" spans="1:15" ht="13.5" customHeight="1" thickBot="1">
      <c r="A27" s="694" t="s">
        <v>618</v>
      </c>
      <c r="B27" s="739">
        <f>SUM(B28:B60)</f>
        <v>357221</v>
      </c>
      <c r="C27" s="740">
        <f>SUM(C28:C60)</f>
        <v>546317</v>
      </c>
      <c r="D27" s="106">
        <f>SUM(D28:D65)</f>
        <v>461932</v>
      </c>
      <c r="E27" s="1253"/>
      <c r="F27" s="1253"/>
      <c r="G27" s="1253"/>
      <c r="H27" s="1253"/>
      <c r="I27" s="1253"/>
      <c r="J27" s="1253"/>
      <c r="K27" s="1253"/>
      <c r="L27" s="1253"/>
    </row>
    <row r="28" spans="1:15">
      <c r="A28" s="745" t="s">
        <v>563</v>
      </c>
      <c r="B28" s="746">
        <v>6309</v>
      </c>
      <c r="C28" s="747">
        <v>6309</v>
      </c>
      <c r="D28" s="748">
        <v>6309</v>
      </c>
      <c r="E28" s="1253"/>
      <c r="F28" s="1681"/>
      <c r="G28" s="1681"/>
      <c r="H28" s="1681"/>
      <c r="I28" s="1681"/>
      <c r="J28" s="1681"/>
      <c r="K28" s="1681"/>
      <c r="L28" s="1681"/>
    </row>
    <row r="29" spans="1:15">
      <c r="A29" s="690" t="s">
        <v>926</v>
      </c>
      <c r="B29" s="724"/>
      <c r="C29" s="712">
        <v>7374</v>
      </c>
      <c r="D29" s="702">
        <v>7374</v>
      </c>
      <c r="E29" s="1253"/>
      <c r="F29" s="1681"/>
      <c r="G29" s="1681"/>
      <c r="H29" s="1681"/>
      <c r="I29" s="1681"/>
      <c r="J29" s="1681"/>
      <c r="K29" s="1681"/>
      <c r="L29" s="1681"/>
    </row>
    <row r="30" spans="1:15" ht="13.5" customHeight="1">
      <c r="A30" s="689" t="s">
        <v>564</v>
      </c>
      <c r="B30" s="723">
        <v>900</v>
      </c>
      <c r="C30" s="711">
        <v>900</v>
      </c>
      <c r="D30" s="235">
        <v>900</v>
      </c>
      <c r="E30" s="1253"/>
      <c r="F30" s="1681"/>
      <c r="G30" s="1681"/>
      <c r="H30" s="1681"/>
      <c r="I30" s="1681"/>
      <c r="J30" s="1681"/>
      <c r="K30" s="1681"/>
      <c r="L30" s="1681"/>
    </row>
    <row r="31" spans="1:15">
      <c r="A31" s="689" t="s">
        <v>565</v>
      </c>
      <c r="B31" s="725">
        <v>40000</v>
      </c>
      <c r="C31" s="713">
        <v>40000</v>
      </c>
      <c r="D31" s="703">
        <v>40000</v>
      </c>
      <c r="E31" s="1253"/>
      <c r="F31" s="1681"/>
      <c r="G31" s="1681"/>
      <c r="H31" s="1681"/>
      <c r="I31" s="1681"/>
      <c r="J31" s="1681"/>
      <c r="K31" s="1681"/>
      <c r="L31" s="1681"/>
    </row>
    <row r="32" spans="1:15">
      <c r="A32" s="689" t="s">
        <v>566</v>
      </c>
      <c r="B32" s="725">
        <v>53000</v>
      </c>
      <c r="C32" s="713">
        <v>75479</v>
      </c>
      <c r="D32" s="703">
        <v>82479</v>
      </c>
      <c r="E32" s="1253"/>
      <c r="F32" s="1681"/>
      <c r="G32" s="1681"/>
      <c r="H32" s="1681"/>
      <c r="I32" s="1681"/>
      <c r="J32" s="1681"/>
      <c r="K32" s="1681"/>
      <c r="L32" s="1681"/>
    </row>
    <row r="33" spans="1:12">
      <c r="A33" s="689" t="s">
        <v>163</v>
      </c>
      <c r="B33" s="725">
        <v>5000</v>
      </c>
      <c r="C33" s="713">
        <v>5000</v>
      </c>
      <c r="D33" s="703">
        <v>5000</v>
      </c>
      <c r="E33" s="1253"/>
      <c r="F33" s="1681"/>
      <c r="G33" s="1681"/>
      <c r="H33" s="1681"/>
      <c r="I33" s="1681"/>
      <c r="J33" s="1681"/>
      <c r="K33" s="1681"/>
      <c r="L33" s="1681"/>
    </row>
    <row r="34" spans="1:12">
      <c r="A34" s="689" t="s">
        <v>164</v>
      </c>
      <c r="B34" s="725">
        <v>171</v>
      </c>
      <c r="C34" s="713">
        <v>171</v>
      </c>
      <c r="D34" s="703">
        <v>171</v>
      </c>
      <c r="E34" s="1253"/>
      <c r="F34" s="1681"/>
      <c r="G34" s="1681"/>
      <c r="H34" s="1681"/>
      <c r="I34" s="1681"/>
      <c r="J34" s="1681"/>
      <c r="K34" s="1681"/>
      <c r="L34" s="1681"/>
    </row>
    <row r="35" spans="1:12">
      <c r="A35" s="689" t="s">
        <v>567</v>
      </c>
      <c r="B35" s="725">
        <v>6350</v>
      </c>
      <c r="C35" s="713">
        <v>6350</v>
      </c>
      <c r="D35" s="703">
        <v>6350</v>
      </c>
      <c r="E35" s="1253"/>
      <c r="F35" s="1681"/>
      <c r="G35" s="1681"/>
      <c r="H35" s="1681"/>
      <c r="I35" s="1681"/>
      <c r="J35" s="1681"/>
      <c r="K35" s="1681"/>
      <c r="L35" s="1681"/>
    </row>
    <row r="36" spans="1:12">
      <c r="A36" s="689" t="s">
        <v>568</v>
      </c>
      <c r="B36" s="725">
        <v>1320</v>
      </c>
      <c r="C36" s="713">
        <v>1320</v>
      </c>
      <c r="D36" s="703">
        <v>1320</v>
      </c>
      <c r="E36" s="1253"/>
      <c r="F36" s="1681"/>
      <c r="G36" s="1681"/>
      <c r="H36" s="1681"/>
      <c r="I36" s="1681"/>
      <c r="J36" s="1681"/>
      <c r="K36" s="1681"/>
      <c r="L36" s="1681"/>
    </row>
    <row r="37" spans="1:12">
      <c r="A37" s="689" t="s">
        <v>569</v>
      </c>
      <c r="B37" s="725">
        <v>5000</v>
      </c>
      <c r="C37" s="713">
        <v>5000</v>
      </c>
      <c r="D37" s="703">
        <v>5000</v>
      </c>
      <c r="E37" s="1253"/>
      <c r="F37" s="1681"/>
      <c r="G37" s="1681"/>
      <c r="H37" s="1681"/>
      <c r="I37" s="1681"/>
      <c r="J37" s="1681"/>
      <c r="K37" s="1681"/>
      <c r="L37" s="1681"/>
    </row>
    <row r="38" spans="1:12" ht="15.75" customHeight="1">
      <c r="A38" s="691" t="s">
        <v>570</v>
      </c>
      <c r="B38" s="726">
        <v>55000</v>
      </c>
      <c r="C38" s="714">
        <v>55000</v>
      </c>
      <c r="D38" s="704">
        <v>0</v>
      </c>
      <c r="E38" s="1253"/>
      <c r="F38" s="1681"/>
      <c r="G38" s="1681"/>
      <c r="H38" s="1681"/>
      <c r="I38" s="1681"/>
      <c r="J38" s="1681"/>
      <c r="K38" s="1681"/>
      <c r="L38" s="1681"/>
    </row>
    <row r="39" spans="1:12">
      <c r="A39" s="692" t="s">
        <v>865</v>
      </c>
      <c r="B39" s="727">
        <v>20000</v>
      </c>
      <c r="C39" s="715">
        <v>20000</v>
      </c>
      <c r="D39" s="705">
        <v>0</v>
      </c>
      <c r="E39" s="1253"/>
      <c r="F39" s="1681"/>
      <c r="G39" s="1681"/>
      <c r="H39" s="1681"/>
      <c r="I39" s="1681"/>
      <c r="J39" s="1681"/>
      <c r="K39" s="1681"/>
      <c r="L39" s="1681"/>
    </row>
    <row r="40" spans="1:12">
      <c r="A40" s="689" t="s">
        <v>861</v>
      </c>
      <c r="B40" s="725">
        <v>5000</v>
      </c>
      <c r="C40" s="713">
        <v>5000</v>
      </c>
      <c r="D40" s="703">
        <v>5000</v>
      </c>
      <c r="E40" s="1253"/>
      <c r="F40" s="1681"/>
      <c r="G40" s="1681"/>
      <c r="H40" s="1681"/>
      <c r="I40" s="1681"/>
      <c r="J40" s="1681"/>
      <c r="K40" s="1681"/>
      <c r="L40" s="1681"/>
    </row>
    <row r="41" spans="1:12">
      <c r="A41" s="689" t="s">
        <v>862</v>
      </c>
      <c r="B41" s="725">
        <v>33350</v>
      </c>
      <c r="C41" s="713">
        <v>33350</v>
      </c>
      <c r="D41" s="703">
        <v>33350</v>
      </c>
      <c r="E41" s="1253"/>
      <c r="F41" s="1681"/>
      <c r="G41" s="1681"/>
      <c r="H41" s="1681"/>
      <c r="I41" s="1681"/>
      <c r="J41" s="1681"/>
      <c r="K41" s="1681"/>
      <c r="L41" s="1681"/>
    </row>
    <row r="42" spans="1:12">
      <c r="A42" s="689" t="s">
        <v>572</v>
      </c>
      <c r="B42" s="725">
        <v>8000</v>
      </c>
      <c r="C42" s="713">
        <v>8000</v>
      </c>
      <c r="D42" s="703">
        <v>7130</v>
      </c>
      <c r="E42" s="1253"/>
      <c r="F42" s="1681"/>
      <c r="G42" s="1681"/>
      <c r="H42" s="1681"/>
      <c r="I42" s="1681"/>
      <c r="J42" s="1681"/>
      <c r="K42" s="1681"/>
      <c r="L42" s="1681"/>
    </row>
    <row r="43" spans="1:12">
      <c r="A43" s="689" t="s">
        <v>573</v>
      </c>
      <c r="B43" s="725">
        <v>5000</v>
      </c>
      <c r="C43" s="713">
        <v>5000</v>
      </c>
      <c r="D43" s="703">
        <v>6300</v>
      </c>
      <c r="E43" s="1253"/>
      <c r="F43" s="1681"/>
      <c r="G43" s="1681"/>
      <c r="H43" s="1681"/>
      <c r="I43" s="1681"/>
      <c r="J43" s="1681"/>
      <c r="K43" s="1681"/>
      <c r="L43" s="1681"/>
    </row>
    <row r="44" spans="1:12">
      <c r="A44" s="689" t="s">
        <v>574</v>
      </c>
      <c r="B44" s="725">
        <v>7500</v>
      </c>
      <c r="C44" s="713">
        <v>7500</v>
      </c>
      <c r="D44" s="703">
        <v>7814</v>
      </c>
      <c r="E44" s="1253"/>
      <c r="F44" s="1681"/>
      <c r="G44" s="1681"/>
      <c r="H44" s="1681"/>
      <c r="I44" s="1681"/>
      <c r="J44" s="1681"/>
      <c r="K44" s="1681"/>
      <c r="L44" s="1681"/>
    </row>
    <row r="45" spans="1:12">
      <c r="A45" s="689" t="s">
        <v>575</v>
      </c>
      <c r="B45" s="725">
        <v>2000</v>
      </c>
      <c r="C45" s="713">
        <v>2000</v>
      </c>
      <c r="D45" s="703">
        <v>2108</v>
      </c>
      <c r="E45" s="1253"/>
      <c r="F45" s="1681"/>
      <c r="G45" s="1681"/>
      <c r="H45" s="1681"/>
      <c r="I45" s="1681"/>
      <c r="J45" s="1681"/>
      <c r="K45" s="1681"/>
      <c r="L45" s="1681"/>
    </row>
    <row r="46" spans="1:12">
      <c r="A46" s="689" t="s">
        <v>576</v>
      </c>
      <c r="B46" s="725">
        <v>2635</v>
      </c>
      <c r="C46" s="713">
        <v>2635</v>
      </c>
      <c r="D46" s="703">
        <v>2635</v>
      </c>
      <c r="E46" s="1253"/>
      <c r="F46" s="1681"/>
      <c r="G46" s="1681"/>
      <c r="H46" s="1681"/>
      <c r="I46" s="1681"/>
      <c r="J46" s="1681"/>
      <c r="K46" s="1681"/>
      <c r="L46" s="1681"/>
    </row>
    <row r="47" spans="1:12">
      <c r="A47" s="689" t="s">
        <v>577</v>
      </c>
      <c r="B47" s="725">
        <v>16510</v>
      </c>
      <c r="C47" s="713">
        <v>16510</v>
      </c>
      <c r="D47" s="703">
        <v>0</v>
      </c>
      <c r="E47" s="1253"/>
      <c r="F47" s="1681"/>
      <c r="G47" s="1681"/>
      <c r="H47" s="1681"/>
      <c r="I47" s="1681"/>
      <c r="J47" s="1681"/>
      <c r="K47" s="1681"/>
      <c r="L47" s="1681"/>
    </row>
    <row r="48" spans="1:12">
      <c r="A48" s="689" t="s">
        <v>578</v>
      </c>
      <c r="B48" s="725">
        <v>7620</v>
      </c>
      <c r="C48" s="713">
        <v>7620</v>
      </c>
      <c r="D48" s="703">
        <v>0</v>
      </c>
      <c r="E48" s="1253"/>
      <c r="F48" s="1681"/>
      <c r="G48" s="1681"/>
      <c r="H48" s="1681"/>
      <c r="I48" s="1681"/>
      <c r="J48" s="1681"/>
      <c r="K48" s="1681"/>
      <c r="L48" s="1681"/>
    </row>
    <row r="49" spans="1:12">
      <c r="A49" s="689" t="s">
        <v>579</v>
      </c>
      <c r="B49" s="725">
        <v>4000</v>
      </c>
      <c r="C49" s="713">
        <v>4000</v>
      </c>
      <c r="D49" s="703">
        <v>4000</v>
      </c>
      <c r="E49" s="1253"/>
      <c r="F49" s="1681"/>
      <c r="G49" s="1681"/>
      <c r="H49" s="1681"/>
      <c r="I49" s="1681"/>
      <c r="J49" s="1681"/>
      <c r="K49" s="1681"/>
      <c r="L49" s="1681"/>
    </row>
    <row r="50" spans="1:12">
      <c r="A50" s="689" t="s">
        <v>580</v>
      </c>
      <c r="B50" s="725">
        <v>6350</v>
      </c>
      <c r="C50" s="713">
        <v>6350</v>
      </c>
      <c r="D50" s="703">
        <v>6350</v>
      </c>
      <c r="E50" s="1253"/>
      <c r="F50" s="1681"/>
      <c r="G50" s="1681"/>
      <c r="H50" s="1681"/>
      <c r="I50" s="1681"/>
      <c r="J50" s="1681"/>
      <c r="K50" s="1681"/>
      <c r="L50" s="1681"/>
    </row>
    <row r="51" spans="1:12" ht="30">
      <c r="A51" s="689" t="s">
        <v>581</v>
      </c>
      <c r="B51" s="725">
        <v>8000</v>
      </c>
      <c r="C51" s="713">
        <v>5800</v>
      </c>
      <c r="D51" s="703">
        <v>5800</v>
      </c>
      <c r="E51" s="1253"/>
      <c r="F51" s="1681"/>
      <c r="G51" s="1681"/>
      <c r="H51" s="1681"/>
      <c r="I51" s="1681"/>
      <c r="J51" s="1681"/>
      <c r="K51" s="1681"/>
      <c r="L51" s="1681"/>
    </row>
    <row r="52" spans="1:12">
      <c r="A52" s="689" t="s">
        <v>582</v>
      </c>
      <c r="B52" s="725">
        <v>2235</v>
      </c>
      <c r="C52" s="713">
        <v>2235</v>
      </c>
      <c r="D52" s="703">
        <v>2235</v>
      </c>
      <c r="E52" s="1253"/>
      <c r="F52" s="1681"/>
      <c r="G52" s="1681"/>
      <c r="H52" s="1681"/>
      <c r="I52" s="1681"/>
      <c r="J52" s="1681"/>
      <c r="K52" s="1681"/>
      <c r="L52" s="1681"/>
    </row>
    <row r="53" spans="1:12">
      <c r="A53" s="689" t="s">
        <v>583</v>
      </c>
      <c r="B53" s="725">
        <v>18452</v>
      </c>
      <c r="C53" s="713">
        <v>24040</v>
      </c>
      <c r="D53" s="703">
        <v>24040</v>
      </c>
      <c r="E53" s="1253"/>
      <c r="F53" s="1681"/>
      <c r="G53" s="1681"/>
      <c r="H53" s="1681"/>
      <c r="I53" s="1681"/>
      <c r="J53" s="1681"/>
      <c r="K53" s="1681"/>
      <c r="L53" s="1681"/>
    </row>
    <row r="54" spans="1:12">
      <c r="A54" s="689" t="s">
        <v>584</v>
      </c>
      <c r="B54" s="725">
        <v>20000</v>
      </c>
      <c r="C54" s="713">
        <v>20000</v>
      </c>
      <c r="D54" s="703">
        <v>20000</v>
      </c>
      <c r="E54" s="1253"/>
      <c r="F54" s="1681"/>
      <c r="G54" s="1681"/>
      <c r="H54" s="1681"/>
      <c r="I54" s="1681"/>
      <c r="J54" s="1681"/>
      <c r="K54" s="1681"/>
      <c r="L54" s="1681"/>
    </row>
    <row r="55" spans="1:12">
      <c r="A55" s="689" t="s">
        <v>585</v>
      </c>
      <c r="B55" s="725">
        <v>5519</v>
      </c>
      <c r="C55" s="713">
        <v>5519</v>
      </c>
      <c r="D55" s="703">
        <v>5519</v>
      </c>
      <c r="E55" s="1253"/>
      <c r="F55" s="1681"/>
      <c r="G55" s="1681"/>
      <c r="H55" s="1681"/>
      <c r="I55" s="1681"/>
      <c r="J55" s="1681"/>
      <c r="K55" s="1681"/>
      <c r="L55" s="1681"/>
    </row>
    <row r="56" spans="1:12">
      <c r="A56" s="689" t="s">
        <v>860</v>
      </c>
      <c r="B56" s="725">
        <v>7000</v>
      </c>
      <c r="C56" s="713">
        <v>6750</v>
      </c>
      <c r="D56" s="703">
        <v>6750</v>
      </c>
      <c r="E56" s="1253"/>
      <c r="F56" s="1681"/>
      <c r="G56" s="1681"/>
      <c r="H56" s="1681"/>
      <c r="I56" s="1681"/>
      <c r="J56" s="1681"/>
      <c r="K56" s="1681"/>
      <c r="L56" s="1681"/>
    </row>
    <row r="57" spans="1:12">
      <c r="A57" s="689" t="s">
        <v>923</v>
      </c>
      <c r="B57" s="725"/>
      <c r="C57" s="713">
        <v>150000</v>
      </c>
      <c r="D57" s="703">
        <v>150000</v>
      </c>
      <c r="E57" s="1253"/>
      <c r="F57" s="1681"/>
      <c r="G57" s="1681"/>
      <c r="H57" s="1681"/>
      <c r="I57" s="1681"/>
      <c r="J57" s="1681"/>
      <c r="K57" s="1681"/>
      <c r="L57" s="1681"/>
    </row>
    <row r="58" spans="1:12" ht="15.75">
      <c r="A58" s="693" t="s">
        <v>924</v>
      </c>
      <c r="B58" s="725"/>
      <c r="C58" s="713">
        <v>5505</v>
      </c>
      <c r="D58" s="703">
        <v>5505</v>
      </c>
      <c r="E58" s="1253"/>
      <c r="F58" s="1681"/>
      <c r="G58" s="1681"/>
      <c r="H58" s="1681"/>
      <c r="I58" s="1681"/>
      <c r="J58" s="1681"/>
      <c r="K58" s="1681"/>
      <c r="L58" s="1681"/>
    </row>
    <row r="59" spans="1:12" ht="15.75">
      <c r="A59" s="693" t="s">
        <v>925</v>
      </c>
      <c r="B59" s="725"/>
      <c r="C59" s="713">
        <v>600</v>
      </c>
      <c r="D59" s="703">
        <v>600</v>
      </c>
      <c r="E59" s="1253"/>
      <c r="F59" s="1681"/>
      <c r="G59" s="1681"/>
      <c r="H59" s="1681"/>
      <c r="I59" s="1681"/>
      <c r="J59" s="1681"/>
      <c r="K59" s="1681"/>
      <c r="L59" s="1681"/>
    </row>
    <row r="60" spans="1:12">
      <c r="A60" s="689" t="s">
        <v>586</v>
      </c>
      <c r="B60" s="725">
        <v>5000</v>
      </c>
      <c r="C60" s="713">
        <v>5000</v>
      </c>
      <c r="D60" s="703">
        <v>5000</v>
      </c>
      <c r="E60" s="1253"/>
      <c r="F60" s="1681"/>
      <c r="G60" s="1681"/>
      <c r="H60" s="1681"/>
      <c r="I60" s="1681"/>
      <c r="J60" s="1681"/>
      <c r="K60" s="1681"/>
      <c r="L60" s="1681"/>
    </row>
    <row r="61" spans="1:12">
      <c r="A61" s="1244" t="s">
        <v>1009</v>
      </c>
      <c r="B61" s="1245"/>
      <c r="C61" s="750"/>
      <c r="D61" s="1246">
        <v>791</v>
      </c>
      <c r="E61" s="1253"/>
      <c r="F61" s="1681"/>
      <c r="G61" s="1681"/>
      <c r="H61" s="1681"/>
      <c r="I61" s="1681"/>
      <c r="J61" s="1681"/>
      <c r="K61" s="1681"/>
      <c r="L61" s="1681"/>
    </row>
    <row r="62" spans="1:12">
      <c r="A62" s="1244" t="s">
        <v>1010</v>
      </c>
      <c r="B62" s="1245"/>
      <c r="C62" s="750"/>
      <c r="D62" s="1246">
        <v>3800</v>
      </c>
      <c r="E62" s="1253"/>
      <c r="F62" s="1681"/>
      <c r="G62" s="1681"/>
      <c r="H62" s="1681"/>
      <c r="I62" s="1681"/>
      <c r="J62" s="1681"/>
      <c r="K62" s="1681"/>
      <c r="L62" s="1681"/>
    </row>
    <row r="63" spans="1:12">
      <c r="A63" s="1244" t="s">
        <v>1012</v>
      </c>
      <c r="B63" s="1245"/>
      <c r="C63" s="750"/>
      <c r="D63" s="1246">
        <v>63</v>
      </c>
      <c r="E63" s="1253"/>
      <c r="F63" s="1681"/>
      <c r="G63" s="1681"/>
      <c r="H63" s="1681"/>
      <c r="I63" s="1681"/>
      <c r="J63" s="1681"/>
      <c r="K63" s="1681"/>
      <c r="L63" s="1681"/>
    </row>
    <row r="64" spans="1:12">
      <c r="A64" s="1244" t="s">
        <v>1013</v>
      </c>
      <c r="B64" s="1245"/>
      <c r="C64" s="750"/>
      <c r="D64" s="1246">
        <v>42</v>
      </c>
      <c r="E64" s="1253"/>
      <c r="F64" s="1681"/>
      <c r="G64" s="1681"/>
      <c r="H64" s="1681"/>
      <c r="I64" s="1681"/>
      <c r="J64" s="1681"/>
      <c r="K64" s="1681"/>
      <c r="L64" s="1681"/>
    </row>
    <row r="65" spans="1:12">
      <c r="A65" s="1244" t="s">
        <v>1014</v>
      </c>
      <c r="B65" s="1245"/>
      <c r="C65" s="750"/>
      <c r="D65" s="1246">
        <v>2197</v>
      </c>
      <c r="E65" s="1253"/>
      <c r="F65" s="1681"/>
      <c r="G65" s="1681"/>
      <c r="H65" s="1681"/>
      <c r="I65" s="1681"/>
      <c r="J65" s="1681"/>
      <c r="K65" s="1681"/>
      <c r="L65" s="1681"/>
    </row>
    <row r="66" spans="1:12" ht="15" customHeight="1" thickBot="1">
      <c r="A66" s="719"/>
      <c r="B66" s="749"/>
      <c r="C66" s="750"/>
      <c r="D66" s="751"/>
      <c r="E66" s="1253"/>
      <c r="F66" s="1681"/>
      <c r="G66" s="1681"/>
      <c r="H66" s="1681"/>
      <c r="I66" s="1681"/>
      <c r="J66" s="1681"/>
      <c r="K66" s="1681"/>
      <c r="L66" s="1681"/>
    </row>
    <row r="67" spans="1:12" ht="15" customHeight="1" thickBot="1">
      <c r="A67" s="694" t="s">
        <v>71</v>
      </c>
      <c r="B67" s="754">
        <f>B69+B78</f>
        <v>18350</v>
      </c>
      <c r="C67" s="755">
        <f>C69+C78</f>
        <v>18352</v>
      </c>
      <c r="D67" s="706">
        <f>D69+D78</f>
        <v>18352</v>
      </c>
      <c r="E67" s="1253"/>
      <c r="F67" s="1681"/>
      <c r="G67" s="1681"/>
      <c r="H67" s="1681"/>
      <c r="I67" s="1681"/>
      <c r="J67" s="1681"/>
      <c r="K67" s="1681"/>
      <c r="L67" s="1681"/>
    </row>
    <row r="68" spans="1:12" ht="17.25" customHeight="1">
      <c r="A68" s="695"/>
      <c r="B68" s="752"/>
      <c r="C68" s="753"/>
      <c r="D68" s="707"/>
      <c r="E68" s="1253"/>
      <c r="F68" s="1681"/>
      <c r="G68" s="1681"/>
      <c r="H68" s="1681"/>
      <c r="I68" s="1681"/>
      <c r="J68" s="1681"/>
      <c r="K68" s="1681"/>
      <c r="L68" s="1681"/>
    </row>
    <row r="69" spans="1:12" ht="14.25" customHeight="1">
      <c r="A69" s="696" t="s">
        <v>125</v>
      </c>
      <c r="B69" s="728">
        <f>SUM(B70:B77)</f>
        <v>18150</v>
      </c>
      <c r="C69" s="716">
        <f>SUM(C70:C77)</f>
        <v>18152</v>
      </c>
      <c r="D69" s="708">
        <f>SUM(D70:D77)</f>
        <v>18152</v>
      </c>
      <c r="E69" s="1253"/>
      <c r="F69" s="1681"/>
      <c r="G69" s="1681"/>
      <c r="H69" s="1681"/>
      <c r="I69" s="1681"/>
      <c r="J69" s="1681"/>
      <c r="K69" s="1681"/>
      <c r="L69" s="1681"/>
    </row>
    <row r="70" spans="1:12">
      <c r="A70" s="689" t="s">
        <v>587</v>
      </c>
      <c r="B70" s="725">
        <v>5000</v>
      </c>
      <c r="C70" s="713">
        <v>5000</v>
      </c>
      <c r="D70" s="703">
        <v>5000</v>
      </c>
      <c r="E70" s="1253"/>
      <c r="F70" s="1681"/>
      <c r="G70" s="1681"/>
      <c r="H70" s="1681"/>
      <c r="I70" s="1681"/>
      <c r="J70" s="1681"/>
      <c r="K70" s="1681"/>
      <c r="L70" s="1681"/>
    </row>
    <row r="71" spans="1:12">
      <c r="A71" s="217" t="s">
        <v>588</v>
      </c>
      <c r="B71" s="727">
        <v>450</v>
      </c>
      <c r="C71" s="715">
        <v>450</v>
      </c>
      <c r="D71" s="705">
        <v>450</v>
      </c>
      <c r="E71" s="1253"/>
      <c r="F71" s="1681"/>
      <c r="G71" s="1681"/>
      <c r="H71" s="1681"/>
      <c r="I71" s="1681"/>
      <c r="J71" s="1681"/>
      <c r="K71" s="1681"/>
      <c r="L71" s="1681"/>
    </row>
    <row r="72" spans="1:12">
      <c r="A72" s="217" t="s">
        <v>589</v>
      </c>
      <c r="B72" s="725">
        <v>250</v>
      </c>
      <c r="C72" s="713">
        <v>250</v>
      </c>
      <c r="D72" s="703">
        <v>250</v>
      </c>
      <c r="E72" s="1253"/>
      <c r="F72" s="1681"/>
      <c r="G72" s="1681"/>
      <c r="H72" s="1681"/>
      <c r="I72" s="1681"/>
      <c r="J72" s="1681"/>
      <c r="K72" s="1681"/>
      <c r="L72" s="1681"/>
    </row>
    <row r="73" spans="1:12">
      <c r="A73" s="217" t="s">
        <v>165</v>
      </c>
      <c r="B73" s="725">
        <v>11350</v>
      </c>
      <c r="C73" s="713">
        <v>11350</v>
      </c>
      <c r="D73" s="703">
        <v>11350</v>
      </c>
      <c r="E73" s="1253"/>
      <c r="F73" s="1681"/>
      <c r="G73" s="1681"/>
      <c r="H73" s="1681"/>
      <c r="I73" s="1681"/>
      <c r="J73" s="1681"/>
      <c r="K73" s="1681"/>
      <c r="L73" s="1681"/>
    </row>
    <row r="74" spans="1:12">
      <c r="A74" s="689" t="s">
        <v>590</v>
      </c>
      <c r="B74" s="725">
        <v>100</v>
      </c>
      <c r="C74" s="713">
        <v>100</v>
      </c>
      <c r="D74" s="703">
        <v>100</v>
      </c>
      <c r="E74" s="1253"/>
      <c r="F74" s="1681"/>
      <c r="G74" s="1681"/>
      <c r="H74" s="1681"/>
      <c r="I74" s="1681"/>
      <c r="J74" s="1681"/>
      <c r="K74" s="1681"/>
      <c r="L74" s="1681"/>
    </row>
    <row r="75" spans="1:12">
      <c r="A75" s="689" t="s">
        <v>591</v>
      </c>
      <c r="B75" s="725">
        <v>1000</v>
      </c>
      <c r="C75" s="713">
        <v>1000</v>
      </c>
      <c r="D75" s="703">
        <v>1000</v>
      </c>
      <c r="E75" s="1253"/>
      <c r="F75" s="1681"/>
      <c r="G75" s="1681"/>
      <c r="H75" s="1681"/>
      <c r="I75" s="1681"/>
      <c r="J75" s="1681"/>
      <c r="K75" s="1681"/>
      <c r="L75" s="1681"/>
    </row>
    <row r="76" spans="1:12" ht="15.75">
      <c r="A76" s="697" t="s">
        <v>927</v>
      </c>
      <c r="B76" s="725"/>
      <c r="C76" s="713">
        <v>2</v>
      </c>
      <c r="D76" s="703">
        <v>2</v>
      </c>
      <c r="E76" s="1253"/>
      <c r="F76" s="1681"/>
      <c r="G76" s="1681"/>
      <c r="H76" s="1681"/>
      <c r="I76" s="1681"/>
      <c r="J76" s="1681"/>
      <c r="K76" s="1681"/>
      <c r="L76" s="1681"/>
    </row>
    <row r="77" spans="1:12">
      <c r="A77" s="689"/>
      <c r="B77" s="725"/>
      <c r="C77" s="713"/>
      <c r="D77" s="703"/>
      <c r="E77" s="1253"/>
      <c r="F77" s="1681"/>
      <c r="G77" s="1681"/>
      <c r="H77" s="1681"/>
      <c r="I77" s="1681"/>
      <c r="J77" s="1681"/>
      <c r="K77" s="1681"/>
      <c r="L77" s="1681"/>
    </row>
    <row r="78" spans="1:12">
      <c r="A78" s="696" t="s">
        <v>128</v>
      </c>
      <c r="B78" s="729">
        <f>B79</f>
        <v>200</v>
      </c>
      <c r="C78" s="717">
        <f>C79</f>
        <v>200</v>
      </c>
      <c r="D78" s="709">
        <f>D79</f>
        <v>200</v>
      </c>
      <c r="E78" s="1253"/>
      <c r="F78" s="1681"/>
      <c r="G78" s="1681"/>
      <c r="H78" s="1681"/>
      <c r="I78" s="1681"/>
      <c r="J78" s="1681"/>
      <c r="K78" s="1681"/>
      <c r="L78" s="1681"/>
    </row>
    <row r="79" spans="1:12">
      <c r="A79" s="217" t="s">
        <v>166</v>
      </c>
      <c r="B79" s="723">
        <v>200</v>
      </c>
      <c r="C79" s="711">
        <v>200</v>
      </c>
      <c r="D79" s="235">
        <v>200</v>
      </c>
      <c r="E79" s="1253"/>
      <c r="F79" s="1681"/>
      <c r="G79" s="1681"/>
      <c r="H79" s="1681"/>
      <c r="I79" s="1681"/>
      <c r="J79" s="1681"/>
      <c r="K79" s="1681"/>
      <c r="L79" s="1681"/>
    </row>
    <row r="80" spans="1:12" ht="15.75" thickBot="1">
      <c r="A80" s="720"/>
      <c r="B80" s="756"/>
      <c r="C80" s="757"/>
      <c r="D80" s="758"/>
      <c r="E80" s="1253"/>
      <c r="F80" s="1681"/>
      <c r="G80" s="1681"/>
      <c r="H80" s="1681"/>
      <c r="I80" s="1681"/>
      <c r="J80" s="1681"/>
      <c r="K80" s="1681"/>
      <c r="L80" s="1681"/>
    </row>
    <row r="81" spans="1:17" ht="15.75" thickBot="1">
      <c r="A81" s="694" t="s">
        <v>167</v>
      </c>
      <c r="B81" s="739">
        <f>B83+B93+B97+B100+B111+B118+B123+B130+B133+B140+B151+B161</f>
        <v>65485</v>
      </c>
      <c r="C81" s="740">
        <f>C83+C93+C97+C100+C111+C118+C123+C130+C133+C140+C151+C161</f>
        <v>82366</v>
      </c>
      <c r="D81" s="106">
        <f>D83+D93+D97+D100+D111+D118+D123+D130+D133+D140+D151+D161</f>
        <v>93634</v>
      </c>
      <c r="E81" s="1253"/>
      <c r="F81" s="1681"/>
      <c r="G81" s="1681"/>
      <c r="H81" s="1681"/>
      <c r="I81" s="1681"/>
      <c r="J81" s="1681"/>
      <c r="K81" s="1681"/>
      <c r="L81" s="1681"/>
    </row>
    <row r="82" spans="1:17" ht="16.5" customHeight="1">
      <c r="A82" s="698"/>
      <c r="B82" s="737"/>
      <c r="C82" s="738"/>
      <c r="D82" s="700"/>
      <c r="E82" s="1253"/>
      <c r="F82" s="1681"/>
      <c r="G82" s="1681"/>
      <c r="H82" s="1681"/>
      <c r="I82" s="1681"/>
      <c r="J82" s="1681"/>
      <c r="K82" s="1681"/>
      <c r="L82" s="1681"/>
    </row>
    <row r="83" spans="1:17" s="118" customFormat="1">
      <c r="A83" s="696" t="s">
        <v>143</v>
      </c>
      <c r="B83" s="729">
        <f>SUM(B84:B89)</f>
        <v>11687</v>
      </c>
      <c r="C83" s="717">
        <f>SUM(C84:C89)</f>
        <v>11687</v>
      </c>
      <c r="D83" s="709">
        <f>SUM(D84:D91)</f>
        <v>18767</v>
      </c>
      <c r="E83" s="1682"/>
      <c r="F83" s="1682"/>
      <c r="G83" s="1682"/>
      <c r="H83" s="1682"/>
      <c r="I83" s="1682"/>
      <c r="J83" s="1682"/>
      <c r="K83" s="1682"/>
      <c r="L83" s="1682"/>
      <c r="M83" s="234"/>
      <c r="N83" s="234"/>
      <c r="O83" s="234"/>
      <c r="P83" s="234"/>
      <c r="Q83" s="234"/>
    </row>
    <row r="84" spans="1:17">
      <c r="A84" s="217" t="s">
        <v>716</v>
      </c>
      <c r="B84" s="723">
        <v>6500</v>
      </c>
      <c r="C84" s="711">
        <v>6500</v>
      </c>
      <c r="D84" s="235">
        <v>4968</v>
      </c>
      <c r="E84" s="1253"/>
      <c r="F84" s="1253"/>
      <c r="G84" s="1253"/>
      <c r="H84" s="1253"/>
      <c r="I84" s="1253"/>
      <c r="J84" s="1253"/>
      <c r="K84" s="1253"/>
      <c r="L84" s="1253"/>
    </row>
    <row r="85" spans="1:17">
      <c r="A85" s="217" t="s">
        <v>717</v>
      </c>
      <c r="B85" s="723">
        <v>1300</v>
      </c>
      <c r="C85" s="711">
        <v>1300</v>
      </c>
      <c r="D85" s="235">
        <v>610</v>
      </c>
      <c r="E85" s="1253"/>
      <c r="F85" s="1253"/>
      <c r="G85" s="1253"/>
      <c r="H85" s="1253"/>
      <c r="I85" s="1253"/>
      <c r="J85" s="1253"/>
      <c r="K85" s="1253"/>
      <c r="L85" s="1253"/>
    </row>
    <row r="86" spans="1:17">
      <c r="A86" s="217" t="s">
        <v>718</v>
      </c>
      <c r="B86" s="723">
        <v>1327</v>
      </c>
      <c r="C86" s="711">
        <v>1327</v>
      </c>
      <c r="D86" s="235">
        <v>1327</v>
      </c>
      <c r="E86" s="1253"/>
      <c r="F86" s="1253"/>
      <c r="G86" s="1253"/>
      <c r="H86" s="1253"/>
      <c r="I86" s="1253"/>
      <c r="J86" s="1253"/>
      <c r="K86" s="1253"/>
      <c r="L86" s="1253"/>
    </row>
    <row r="87" spans="1:17">
      <c r="A87" s="217" t="s">
        <v>719</v>
      </c>
      <c r="B87" s="723">
        <v>2110</v>
      </c>
      <c r="C87" s="711">
        <v>2110</v>
      </c>
      <c r="D87" s="235">
        <v>2110</v>
      </c>
      <c r="E87" s="1253"/>
      <c r="F87" s="1253"/>
      <c r="G87" s="1253"/>
      <c r="H87" s="1253"/>
      <c r="I87" s="1253"/>
      <c r="J87" s="1253"/>
      <c r="K87" s="1253"/>
      <c r="L87" s="1253"/>
    </row>
    <row r="88" spans="1:17">
      <c r="A88" s="217" t="s">
        <v>720</v>
      </c>
      <c r="B88" s="723">
        <v>300</v>
      </c>
      <c r="C88" s="711">
        <v>300</v>
      </c>
      <c r="D88" s="235">
        <v>300</v>
      </c>
      <c r="E88" s="1253"/>
      <c r="F88" s="1253"/>
      <c r="G88" s="1253"/>
      <c r="H88" s="1253"/>
      <c r="I88" s="1253"/>
      <c r="J88" s="1253"/>
      <c r="K88" s="1253"/>
      <c r="L88" s="1253"/>
    </row>
    <row r="89" spans="1:17">
      <c r="A89" s="217" t="s">
        <v>721</v>
      </c>
      <c r="B89" s="723">
        <v>150</v>
      </c>
      <c r="C89" s="711">
        <v>150</v>
      </c>
      <c r="D89" s="235">
        <v>150</v>
      </c>
      <c r="E89" s="1253"/>
      <c r="F89" s="1253"/>
      <c r="G89" s="1253"/>
      <c r="H89" s="1253"/>
      <c r="I89" s="1253"/>
      <c r="J89" s="1253"/>
      <c r="K89" s="1253"/>
      <c r="L89" s="1253"/>
    </row>
    <row r="90" spans="1:17">
      <c r="A90" s="217" t="s">
        <v>1037</v>
      </c>
      <c r="B90" s="723"/>
      <c r="C90" s="766"/>
      <c r="D90" s="235">
        <v>3810</v>
      </c>
      <c r="E90" s="1253"/>
      <c r="F90" s="1253"/>
      <c r="G90" s="1253"/>
      <c r="H90" s="1253"/>
      <c r="I90" s="1253"/>
      <c r="J90" s="1253"/>
      <c r="K90" s="1253"/>
      <c r="L90" s="1253"/>
    </row>
    <row r="91" spans="1:17">
      <c r="A91" s="217" t="s">
        <v>1038</v>
      </c>
      <c r="B91" s="723"/>
      <c r="C91" s="766"/>
      <c r="D91" s="235">
        <v>5492</v>
      </c>
      <c r="E91" s="1253"/>
      <c r="F91" s="1253"/>
      <c r="G91" s="1253"/>
      <c r="H91" s="1253"/>
      <c r="I91" s="1253"/>
      <c r="J91" s="1253"/>
      <c r="K91" s="1253"/>
      <c r="L91" s="1253"/>
    </row>
    <row r="92" spans="1:17">
      <c r="A92" s="217"/>
      <c r="B92" s="723"/>
      <c r="C92" s="711"/>
      <c r="D92" s="235"/>
      <c r="E92" s="1253"/>
      <c r="F92" s="1253"/>
      <c r="G92" s="1253"/>
      <c r="H92" s="1253"/>
      <c r="I92" s="1253"/>
      <c r="J92" s="1253"/>
      <c r="K92" s="1253"/>
      <c r="L92" s="1253"/>
    </row>
    <row r="93" spans="1:17" s="118" customFormat="1" ht="15.75" customHeight="1">
      <c r="A93" s="696" t="s">
        <v>141</v>
      </c>
      <c r="B93" s="729">
        <f>B94</f>
        <v>595</v>
      </c>
      <c r="C93" s="717">
        <f>SUM(C94:C95)</f>
        <v>695</v>
      </c>
      <c r="D93" s="709">
        <f>SUM(D94:D95)</f>
        <v>695</v>
      </c>
      <c r="E93" s="1682"/>
      <c r="F93" s="1682"/>
      <c r="G93" s="1682"/>
      <c r="H93" s="1682"/>
      <c r="I93" s="1682"/>
      <c r="J93" s="1682"/>
      <c r="K93" s="1682"/>
      <c r="L93" s="1682"/>
      <c r="M93" s="234"/>
      <c r="N93" s="234"/>
      <c r="O93" s="234"/>
      <c r="P93" s="234"/>
      <c r="Q93" s="234"/>
    </row>
    <row r="94" spans="1:17" ht="18" customHeight="1">
      <c r="A94" s="217" t="s">
        <v>722</v>
      </c>
      <c r="B94" s="723">
        <v>595</v>
      </c>
      <c r="C94" s="711">
        <v>595</v>
      </c>
      <c r="D94" s="235">
        <v>595</v>
      </c>
    </row>
    <row r="95" spans="1:17" ht="18" customHeight="1">
      <c r="A95" s="217" t="s">
        <v>916</v>
      </c>
      <c r="B95" s="723"/>
      <c r="C95" s="711">
        <v>100</v>
      </c>
      <c r="D95" s="235">
        <v>100</v>
      </c>
    </row>
    <row r="96" spans="1:17" ht="18" customHeight="1">
      <c r="A96" s="217"/>
      <c r="B96" s="723"/>
      <c r="C96" s="711"/>
      <c r="D96" s="235"/>
    </row>
    <row r="97" spans="1:17" s="118" customFormat="1" ht="15.75" customHeight="1">
      <c r="A97" s="696" t="s">
        <v>137</v>
      </c>
      <c r="B97" s="729">
        <f>B98</f>
        <v>1200</v>
      </c>
      <c r="C97" s="717">
        <f>C98</f>
        <v>1200</v>
      </c>
      <c r="D97" s="709">
        <f>D98</f>
        <v>1200</v>
      </c>
      <c r="E97" s="234"/>
      <c r="F97" s="234"/>
      <c r="G97" s="234"/>
      <c r="H97" s="234"/>
      <c r="I97" s="234"/>
      <c r="J97" s="234"/>
      <c r="K97" s="234"/>
      <c r="L97" s="234"/>
      <c r="M97" s="234"/>
      <c r="N97" s="234"/>
      <c r="O97" s="234"/>
      <c r="P97" s="234"/>
      <c r="Q97" s="234"/>
    </row>
    <row r="98" spans="1:17">
      <c r="A98" s="217" t="s">
        <v>723</v>
      </c>
      <c r="B98" s="723">
        <v>1200</v>
      </c>
      <c r="C98" s="711">
        <v>1200</v>
      </c>
      <c r="D98" s="235">
        <v>1200</v>
      </c>
    </row>
    <row r="99" spans="1:17">
      <c r="A99" s="217"/>
      <c r="B99" s="723"/>
      <c r="C99" s="711"/>
      <c r="D99" s="235"/>
    </row>
    <row r="100" spans="1:17" s="118" customFormat="1">
      <c r="A100" s="696" t="s">
        <v>140</v>
      </c>
      <c r="B100" s="729">
        <f>SUM(B101:B107)</f>
        <v>2400</v>
      </c>
      <c r="C100" s="717">
        <f>SUM(C101:C108)</f>
        <v>2750</v>
      </c>
      <c r="D100" s="709">
        <f>SUM(D101:D109)</f>
        <v>4669</v>
      </c>
      <c r="E100" s="234"/>
      <c r="F100" s="234"/>
      <c r="G100" s="234"/>
      <c r="H100" s="234"/>
      <c r="I100" s="234"/>
      <c r="J100" s="234"/>
      <c r="K100" s="234"/>
      <c r="L100" s="234"/>
      <c r="M100" s="234"/>
      <c r="N100" s="234"/>
      <c r="O100" s="234"/>
      <c r="P100" s="234"/>
      <c r="Q100" s="234"/>
    </row>
    <row r="101" spans="1:17">
      <c r="A101" s="217" t="s">
        <v>724</v>
      </c>
      <c r="B101" s="723">
        <v>250</v>
      </c>
      <c r="C101" s="711">
        <v>250</v>
      </c>
      <c r="D101" s="235">
        <v>250</v>
      </c>
    </row>
    <row r="102" spans="1:17">
      <c r="A102" s="217" t="s">
        <v>725</v>
      </c>
      <c r="B102" s="723">
        <v>600</v>
      </c>
      <c r="C102" s="711">
        <v>600</v>
      </c>
      <c r="D102" s="235">
        <v>600</v>
      </c>
    </row>
    <row r="103" spans="1:17">
      <c r="A103" s="217" t="s">
        <v>726</v>
      </c>
      <c r="B103" s="723">
        <v>300</v>
      </c>
      <c r="C103" s="711">
        <v>300</v>
      </c>
      <c r="D103" s="235">
        <v>300</v>
      </c>
    </row>
    <row r="104" spans="1:17">
      <c r="A104" s="217" t="s">
        <v>727</v>
      </c>
      <c r="B104" s="723">
        <v>200</v>
      </c>
      <c r="C104" s="711">
        <v>200</v>
      </c>
      <c r="D104" s="235">
        <v>200</v>
      </c>
    </row>
    <row r="105" spans="1:17">
      <c r="A105" s="217" t="s">
        <v>728</v>
      </c>
      <c r="B105" s="723">
        <v>650</v>
      </c>
      <c r="C105" s="711">
        <v>650</v>
      </c>
      <c r="D105" s="235">
        <v>650</v>
      </c>
    </row>
    <row r="106" spans="1:17">
      <c r="A106" s="217" t="s">
        <v>729</v>
      </c>
      <c r="B106" s="723">
        <v>250</v>
      </c>
      <c r="C106" s="711">
        <v>250</v>
      </c>
      <c r="D106" s="235">
        <v>250</v>
      </c>
    </row>
    <row r="107" spans="1:17">
      <c r="A107" s="217" t="s">
        <v>730</v>
      </c>
      <c r="B107" s="723">
        <v>150</v>
      </c>
      <c r="C107" s="711">
        <v>150</v>
      </c>
      <c r="D107" s="235">
        <v>150</v>
      </c>
    </row>
    <row r="108" spans="1:17">
      <c r="A108" s="217" t="s">
        <v>917</v>
      </c>
      <c r="B108" s="723"/>
      <c r="C108" s="711">
        <v>350</v>
      </c>
      <c r="D108" s="235">
        <v>350</v>
      </c>
    </row>
    <row r="109" spans="1:17">
      <c r="A109" s="217" t="s">
        <v>1034</v>
      </c>
      <c r="B109" s="723"/>
      <c r="C109" s="766"/>
      <c r="D109" s="235">
        <v>1919</v>
      </c>
    </row>
    <row r="110" spans="1:17">
      <c r="A110" s="217"/>
      <c r="B110" s="723"/>
      <c r="C110" s="711"/>
      <c r="D110" s="235"/>
    </row>
    <row r="111" spans="1:17" s="118" customFormat="1">
      <c r="A111" s="696" t="s">
        <v>136</v>
      </c>
      <c r="B111" s="729">
        <f>SUM(B112:B114)</f>
        <v>1469</v>
      </c>
      <c r="C111" s="717">
        <f>SUM(C112:C115)</f>
        <v>3176</v>
      </c>
      <c r="D111" s="709">
        <f>SUM(D112:D116)</f>
        <v>3176</v>
      </c>
      <c r="E111" s="234"/>
      <c r="F111" s="234"/>
      <c r="G111" s="234"/>
      <c r="H111" s="234"/>
      <c r="I111" s="234"/>
      <c r="J111" s="234"/>
      <c r="K111" s="234"/>
      <c r="L111" s="234"/>
      <c r="M111" s="234"/>
      <c r="N111" s="234"/>
      <c r="O111" s="234"/>
      <c r="P111" s="234"/>
      <c r="Q111" s="234"/>
    </row>
    <row r="112" spans="1:17">
      <c r="A112" s="217" t="s">
        <v>731</v>
      </c>
      <c r="B112" s="723">
        <v>300</v>
      </c>
      <c r="C112" s="711">
        <v>300</v>
      </c>
      <c r="D112" s="235">
        <v>0</v>
      </c>
    </row>
    <row r="113" spans="1:17">
      <c r="A113" s="217" t="s">
        <v>732</v>
      </c>
      <c r="B113" s="723">
        <v>849</v>
      </c>
      <c r="C113" s="711">
        <v>849</v>
      </c>
      <c r="D113" s="235">
        <v>849</v>
      </c>
    </row>
    <row r="114" spans="1:17" ht="30">
      <c r="A114" s="217" t="s">
        <v>733</v>
      </c>
      <c r="B114" s="723">
        <v>320</v>
      </c>
      <c r="C114" s="711">
        <v>320</v>
      </c>
      <c r="D114" s="235">
        <v>320</v>
      </c>
    </row>
    <row r="115" spans="1:17">
      <c r="A115" s="217" t="s">
        <v>918</v>
      </c>
      <c r="B115" s="723"/>
      <c r="C115" s="711">
        <v>1707</v>
      </c>
      <c r="D115" s="235">
        <v>1707</v>
      </c>
    </row>
    <row r="116" spans="1:17">
      <c r="A116" s="217" t="s">
        <v>1035</v>
      </c>
      <c r="B116" s="723"/>
      <c r="C116" s="766"/>
      <c r="D116" s="235">
        <v>300</v>
      </c>
    </row>
    <row r="117" spans="1:17">
      <c r="A117" s="217"/>
      <c r="B117" s="723"/>
      <c r="C117" s="711"/>
      <c r="D117" s="235"/>
    </row>
    <row r="118" spans="1:17" s="118" customFormat="1">
      <c r="A118" s="696" t="s">
        <v>139</v>
      </c>
      <c r="B118" s="729">
        <f>SUM(B119:B120)</f>
        <v>340</v>
      </c>
      <c r="C118" s="717">
        <f>SUM(C119:C121)</f>
        <v>1661</v>
      </c>
      <c r="D118" s="709">
        <f>SUM(D119:D121)</f>
        <v>991</v>
      </c>
      <c r="E118" s="234"/>
      <c r="F118" s="234"/>
      <c r="G118" s="234"/>
      <c r="H118" s="234"/>
      <c r="I118" s="234"/>
      <c r="J118" s="234"/>
      <c r="K118" s="234"/>
      <c r="L118" s="234"/>
      <c r="M118" s="234"/>
      <c r="N118" s="234"/>
      <c r="O118" s="234"/>
      <c r="P118" s="234"/>
      <c r="Q118" s="234"/>
    </row>
    <row r="119" spans="1:17" ht="15.75" customHeight="1">
      <c r="A119" s="217" t="s">
        <v>734</v>
      </c>
      <c r="B119" s="723">
        <v>260</v>
      </c>
      <c r="C119" s="711">
        <v>260</v>
      </c>
      <c r="D119" s="235">
        <v>260</v>
      </c>
    </row>
    <row r="120" spans="1:17">
      <c r="A120" s="217" t="s">
        <v>735</v>
      </c>
      <c r="B120" s="723">
        <v>80</v>
      </c>
      <c r="C120" s="711">
        <v>80</v>
      </c>
      <c r="D120" s="235">
        <v>0</v>
      </c>
    </row>
    <row r="121" spans="1:17">
      <c r="A121" s="217" t="s">
        <v>919</v>
      </c>
      <c r="B121" s="723"/>
      <c r="C121" s="711">
        <v>1321</v>
      </c>
      <c r="D121" s="235">
        <v>731</v>
      </c>
    </row>
    <row r="122" spans="1:17">
      <c r="A122" s="217"/>
      <c r="B122" s="723"/>
      <c r="C122" s="711"/>
      <c r="D122" s="235"/>
    </row>
    <row r="123" spans="1:17" s="118" customFormat="1">
      <c r="A123" s="696" t="s">
        <v>138</v>
      </c>
      <c r="B123" s="729">
        <f>SUM(B124:B127)</f>
        <v>1260</v>
      </c>
      <c r="C123" s="717">
        <f>SUM(C124:C127)</f>
        <v>1260</v>
      </c>
      <c r="D123" s="709">
        <f>SUM(D124:D128)</f>
        <v>2260</v>
      </c>
      <c r="E123" s="234"/>
      <c r="F123" s="234"/>
      <c r="G123" s="234"/>
      <c r="H123" s="234"/>
      <c r="I123" s="234"/>
      <c r="J123" s="234"/>
      <c r="K123" s="234"/>
      <c r="L123" s="234"/>
      <c r="M123" s="234"/>
      <c r="N123" s="234"/>
      <c r="O123" s="234"/>
      <c r="P123" s="234"/>
      <c r="Q123" s="234"/>
    </row>
    <row r="124" spans="1:17">
      <c r="A124" s="217" t="s">
        <v>736</v>
      </c>
      <c r="B124" s="723">
        <v>180</v>
      </c>
      <c r="C124" s="711">
        <v>180</v>
      </c>
      <c r="D124" s="235">
        <v>180</v>
      </c>
    </row>
    <row r="125" spans="1:17">
      <c r="A125" s="217" t="s">
        <v>737</v>
      </c>
      <c r="B125" s="723">
        <v>80</v>
      </c>
      <c r="C125" s="711">
        <v>80</v>
      </c>
      <c r="D125" s="235">
        <v>80</v>
      </c>
    </row>
    <row r="126" spans="1:17">
      <c r="A126" s="217" t="s">
        <v>738</v>
      </c>
      <c r="B126" s="723">
        <v>151</v>
      </c>
      <c r="C126" s="711">
        <v>151</v>
      </c>
      <c r="D126" s="235">
        <v>151</v>
      </c>
    </row>
    <row r="127" spans="1:17">
      <c r="A127" s="217" t="s">
        <v>732</v>
      </c>
      <c r="B127" s="723">
        <v>849</v>
      </c>
      <c r="C127" s="711">
        <v>849</v>
      </c>
      <c r="D127" s="235">
        <v>849</v>
      </c>
    </row>
    <row r="128" spans="1:17">
      <c r="A128" s="217" t="s">
        <v>1036</v>
      </c>
      <c r="B128" s="723">
        <v>0</v>
      </c>
      <c r="C128" s="766">
        <v>0</v>
      </c>
      <c r="D128" s="235">
        <v>1000</v>
      </c>
    </row>
    <row r="129" spans="1:17">
      <c r="A129" s="217"/>
      <c r="B129" s="723"/>
      <c r="C129" s="711"/>
      <c r="D129" s="235"/>
    </row>
    <row r="130" spans="1:17" s="118" customFormat="1" ht="15" customHeight="1">
      <c r="A130" s="696" t="s">
        <v>142</v>
      </c>
      <c r="B130" s="729">
        <f>B131</f>
        <v>160</v>
      </c>
      <c r="C130" s="717">
        <f>C131</f>
        <v>160</v>
      </c>
      <c r="D130" s="709">
        <f>D131</f>
        <v>160</v>
      </c>
      <c r="E130" s="234"/>
      <c r="F130" s="234"/>
      <c r="G130" s="234"/>
      <c r="H130" s="234"/>
      <c r="I130" s="234"/>
      <c r="J130" s="234"/>
      <c r="K130" s="234"/>
      <c r="L130" s="234"/>
      <c r="M130" s="234"/>
      <c r="N130" s="234"/>
      <c r="O130" s="234"/>
      <c r="P130" s="234"/>
      <c r="Q130" s="234"/>
    </row>
    <row r="131" spans="1:17">
      <c r="A131" s="217" t="s">
        <v>739</v>
      </c>
      <c r="B131" s="723">
        <v>160</v>
      </c>
      <c r="C131" s="711">
        <v>160</v>
      </c>
      <c r="D131" s="235">
        <v>160</v>
      </c>
    </row>
    <row r="132" spans="1:17">
      <c r="A132" s="217"/>
      <c r="B132" s="723"/>
      <c r="C132" s="711"/>
      <c r="D132" s="235"/>
    </row>
    <row r="133" spans="1:17" s="118" customFormat="1">
      <c r="A133" s="696" t="s">
        <v>152</v>
      </c>
      <c r="B133" s="729">
        <f>SUM(B134:B138)</f>
        <v>9105</v>
      </c>
      <c r="C133" s="717">
        <f>SUM(C134:C138)</f>
        <v>9605</v>
      </c>
      <c r="D133" s="709">
        <f>SUM(D134:D138)</f>
        <v>8162</v>
      </c>
      <c r="E133" s="234"/>
      <c r="F133" s="234"/>
      <c r="G133" s="234"/>
      <c r="H133" s="234"/>
      <c r="I133" s="234"/>
      <c r="J133" s="234"/>
      <c r="K133" s="234"/>
      <c r="L133" s="234"/>
      <c r="M133" s="234"/>
      <c r="N133" s="234"/>
      <c r="O133" s="234"/>
      <c r="P133" s="234"/>
      <c r="Q133" s="234"/>
    </row>
    <row r="134" spans="1:17" ht="15" customHeight="1">
      <c r="A134" s="217" t="s">
        <v>740</v>
      </c>
      <c r="B134" s="723">
        <v>1000</v>
      </c>
      <c r="C134" s="711">
        <v>1000</v>
      </c>
      <c r="D134" s="235">
        <v>762</v>
      </c>
    </row>
    <row r="135" spans="1:17" ht="15" customHeight="1">
      <c r="A135" s="217" t="s">
        <v>1039</v>
      </c>
      <c r="B135" s="723"/>
      <c r="C135" s="766"/>
      <c r="D135" s="235">
        <v>238</v>
      </c>
    </row>
    <row r="136" spans="1:17">
      <c r="A136" s="217" t="s">
        <v>741</v>
      </c>
      <c r="B136" s="723">
        <v>6955</v>
      </c>
      <c r="C136" s="711">
        <v>6955</v>
      </c>
      <c r="D136" s="235">
        <v>5512</v>
      </c>
    </row>
    <row r="137" spans="1:17">
      <c r="A137" s="217" t="s">
        <v>1040</v>
      </c>
      <c r="B137" s="723"/>
      <c r="C137" s="766"/>
      <c r="D137" s="235">
        <v>743</v>
      </c>
    </row>
    <row r="138" spans="1:17">
      <c r="A138" s="217" t="s">
        <v>739</v>
      </c>
      <c r="B138" s="723">
        <v>1150</v>
      </c>
      <c r="C138" s="711">
        <v>1650</v>
      </c>
      <c r="D138" s="235">
        <v>907</v>
      </c>
    </row>
    <row r="139" spans="1:17">
      <c r="A139" s="217"/>
      <c r="B139" s="723"/>
      <c r="C139" s="711"/>
      <c r="D139" s="235"/>
    </row>
    <row r="140" spans="1:17" s="118" customFormat="1">
      <c r="A140" s="696" t="s">
        <v>157</v>
      </c>
      <c r="B140" s="729">
        <f>SUM(B141:B149)</f>
        <v>1769</v>
      </c>
      <c r="C140" s="717">
        <f>SUM(C141:C149)</f>
        <v>1769</v>
      </c>
      <c r="D140" s="709">
        <f>SUM(D141:D149)</f>
        <v>1769</v>
      </c>
      <c r="E140" s="234"/>
      <c r="F140" s="234"/>
      <c r="G140" s="234"/>
      <c r="H140" s="234"/>
      <c r="I140" s="234"/>
      <c r="J140" s="234"/>
      <c r="K140" s="234"/>
      <c r="L140" s="234"/>
      <c r="M140" s="234"/>
      <c r="N140" s="234"/>
      <c r="O140" s="234"/>
      <c r="P140" s="234"/>
      <c r="Q140" s="234"/>
    </row>
    <row r="141" spans="1:17">
      <c r="A141" s="217" t="s">
        <v>742</v>
      </c>
      <c r="B141" s="723">
        <v>250</v>
      </c>
      <c r="C141" s="711">
        <v>250</v>
      </c>
      <c r="D141" s="235">
        <v>250</v>
      </c>
    </row>
    <row r="142" spans="1:17">
      <c r="A142" s="217" t="s">
        <v>743</v>
      </c>
      <c r="B142" s="723">
        <v>138</v>
      </c>
      <c r="C142" s="711">
        <v>138</v>
      </c>
      <c r="D142" s="235">
        <v>138</v>
      </c>
    </row>
    <row r="143" spans="1:17">
      <c r="A143" s="217" t="s">
        <v>744</v>
      </c>
      <c r="B143" s="723">
        <v>175</v>
      </c>
      <c r="C143" s="711">
        <v>175</v>
      </c>
      <c r="D143" s="235">
        <v>175</v>
      </c>
    </row>
    <row r="144" spans="1:17">
      <c r="A144" s="217" t="s">
        <v>745</v>
      </c>
      <c r="B144" s="723">
        <v>50</v>
      </c>
      <c r="C144" s="711">
        <v>50</v>
      </c>
      <c r="D144" s="235">
        <v>50</v>
      </c>
    </row>
    <row r="145" spans="1:17" ht="13.5" customHeight="1">
      <c r="A145" s="217" t="s">
        <v>746</v>
      </c>
      <c r="B145" s="723">
        <v>421</v>
      </c>
      <c r="C145" s="711">
        <v>421</v>
      </c>
      <c r="D145" s="235">
        <v>421</v>
      </c>
    </row>
    <row r="146" spans="1:17" ht="13.5" customHeight="1">
      <c r="A146" s="217" t="s">
        <v>747</v>
      </c>
      <c r="B146" s="723">
        <v>210</v>
      </c>
      <c r="C146" s="711">
        <v>210</v>
      </c>
      <c r="D146" s="235">
        <v>210</v>
      </c>
    </row>
    <row r="147" spans="1:17" ht="13.5" customHeight="1">
      <c r="A147" s="217" t="s">
        <v>748</v>
      </c>
      <c r="B147" s="723">
        <v>61</v>
      </c>
      <c r="C147" s="711">
        <v>61</v>
      </c>
      <c r="D147" s="235">
        <v>61</v>
      </c>
    </row>
    <row r="148" spans="1:17" ht="13.5" customHeight="1">
      <c r="A148" s="217" t="s">
        <v>749</v>
      </c>
      <c r="B148" s="723">
        <v>189</v>
      </c>
      <c r="C148" s="711">
        <v>189</v>
      </c>
      <c r="D148" s="235">
        <v>189</v>
      </c>
    </row>
    <row r="149" spans="1:17" ht="13.5" customHeight="1">
      <c r="A149" s="217" t="s">
        <v>750</v>
      </c>
      <c r="B149" s="723">
        <v>275</v>
      </c>
      <c r="C149" s="711">
        <v>275</v>
      </c>
      <c r="D149" s="235">
        <v>275</v>
      </c>
    </row>
    <row r="150" spans="1:17" ht="13.5" customHeight="1">
      <c r="A150" s="217"/>
      <c r="B150" s="723"/>
      <c r="C150" s="711"/>
      <c r="D150" s="235"/>
    </row>
    <row r="151" spans="1:17" s="118" customFormat="1" ht="13.5" customHeight="1">
      <c r="A151" s="696" t="s">
        <v>155</v>
      </c>
      <c r="B151" s="729">
        <f>SUM(B152:B156)</f>
        <v>33000</v>
      </c>
      <c r="C151" s="717">
        <f>SUM(C152:C158)</f>
        <v>45000</v>
      </c>
      <c r="D151" s="709">
        <f>SUM(D152:D159)</f>
        <v>47800</v>
      </c>
      <c r="E151" s="234"/>
      <c r="F151" s="234"/>
      <c r="G151" s="234"/>
      <c r="H151" s="234"/>
      <c r="I151" s="234"/>
      <c r="J151" s="234"/>
      <c r="K151" s="234"/>
      <c r="L151" s="234"/>
      <c r="M151" s="234"/>
      <c r="N151" s="234"/>
      <c r="O151" s="234"/>
      <c r="P151" s="234"/>
      <c r="Q151" s="234"/>
    </row>
    <row r="152" spans="1:17" ht="13.5" customHeight="1">
      <c r="A152" s="217" t="s">
        <v>751</v>
      </c>
      <c r="B152" s="723">
        <v>2000</v>
      </c>
      <c r="C152" s="711">
        <v>2000</v>
      </c>
      <c r="D152" s="235">
        <v>2000</v>
      </c>
    </row>
    <row r="153" spans="1:17" ht="13.5" customHeight="1">
      <c r="A153" s="217" t="s">
        <v>752</v>
      </c>
      <c r="B153" s="723">
        <v>10000</v>
      </c>
      <c r="C153" s="711">
        <v>11000</v>
      </c>
      <c r="D153" s="235">
        <v>11000</v>
      </c>
    </row>
    <row r="154" spans="1:17" ht="13.5" customHeight="1">
      <c r="A154" s="217" t="s">
        <v>753</v>
      </c>
      <c r="B154" s="723">
        <v>7000</v>
      </c>
      <c r="C154" s="711">
        <v>7000</v>
      </c>
      <c r="D154" s="235">
        <v>7000</v>
      </c>
    </row>
    <row r="155" spans="1:17" ht="13.5" customHeight="1">
      <c r="A155" s="217" t="s">
        <v>728</v>
      </c>
      <c r="B155" s="723">
        <v>5000</v>
      </c>
      <c r="C155" s="711">
        <v>5000</v>
      </c>
      <c r="D155" s="235">
        <v>5000</v>
      </c>
    </row>
    <row r="156" spans="1:17" ht="13.5" customHeight="1">
      <c r="A156" s="217" t="s">
        <v>754</v>
      </c>
      <c r="B156" s="723">
        <v>9000</v>
      </c>
      <c r="C156" s="711">
        <v>9000</v>
      </c>
      <c r="D156" s="235">
        <v>9000</v>
      </c>
    </row>
    <row r="157" spans="1:17" ht="13.5" customHeight="1">
      <c r="A157" s="217" t="s">
        <v>920</v>
      </c>
      <c r="B157" s="723"/>
      <c r="C157" s="711">
        <v>3000</v>
      </c>
      <c r="D157" s="235">
        <v>3000</v>
      </c>
    </row>
    <row r="158" spans="1:17" ht="13.5" customHeight="1">
      <c r="A158" s="217" t="s">
        <v>921</v>
      </c>
      <c r="B158" s="723"/>
      <c r="C158" s="711">
        <v>8000</v>
      </c>
      <c r="D158" s="235">
        <v>8300</v>
      </c>
    </row>
    <row r="159" spans="1:17" ht="13.5" customHeight="1">
      <c r="A159" s="217" t="s">
        <v>1041</v>
      </c>
      <c r="B159" s="723"/>
      <c r="C159" s="766"/>
      <c r="D159" s="235">
        <v>2500</v>
      </c>
    </row>
    <row r="160" spans="1:17" ht="13.5" customHeight="1">
      <c r="A160" s="217"/>
      <c r="B160" s="723"/>
      <c r="C160" s="711"/>
      <c r="D160" s="235"/>
    </row>
    <row r="161" spans="1:17" s="118" customFormat="1" ht="13.5" customHeight="1">
      <c r="A161" s="696" t="s">
        <v>156</v>
      </c>
      <c r="B161" s="729">
        <f>SUM(B162:B162)</f>
        <v>2500</v>
      </c>
      <c r="C161" s="717">
        <f>SUM(C162:C163)</f>
        <v>3403</v>
      </c>
      <c r="D161" s="709">
        <f>SUM(D162:D165)</f>
        <v>3985</v>
      </c>
      <c r="E161" s="234"/>
      <c r="F161" s="234"/>
      <c r="G161" s="234"/>
      <c r="H161" s="234"/>
      <c r="I161" s="234"/>
      <c r="J161" s="234"/>
      <c r="K161" s="234"/>
      <c r="L161" s="234"/>
      <c r="M161" s="234"/>
      <c r="N161" s="234"/>
      <c r="O161" s="234"/>
      <c r="P161" s="234"/>
      <c r="Q161" s="234"/>
    </row>
    <row r="162" spans="1:17" ht="13.5" customHeight="1">
      <c r="A162" s="721" t="s">
        <v>755</v>
      </c>
      <c r="B162" s="730">
        <v>2500</v>
      </c>
      <c r="C162" s="718">
        <v>2500</v>
      </c>
      <c r="D162" s="731">
        <v>2691</v>
      </c>
    </row>
    <row r="163" spans="1:17" ht="13.5" customHeight="1">
      <c r="A163" s="699" t="s">
        <v>922</v>
      </c>
      <c r="B163" s="730"/>
      <c r="C163" s="718">
        <v>903</v>
      </c>
      <c r="D163" s="731">
        <v>903</v>
      </c>
    </row>
    <row r="164" spans="1:17" ht="13.5" customHeight="1">
      <c r="A164" s="1516" t="s">
        <v>1042</v>
      </c>
      <c r="B164" s="730"/>
      <c r="C164" s="769"/>
      <c r="D164" s="731">
        <v>109</v>
      </c>
    </row>
    <row r="165" spans="1:17" ht="13.5" customHeight="1" thickBot="1">
      <c r="A165" s="217" t="s">
        <v>1043</v>
      </c>
      <c r="B165" s="723"/>
      <c r="C165" s="711"/>
      <c r="D165" s="235">
        <v>282</v>
      </c>
    </row>
    <row r="166" spans="1:17" ht="13.5" customHeight="1" thickBot="1">
      <c r="A166" s="684" t="s">
        <v>65</v>
      </c>
      <c r="B166" s="732">
        <f>B4+B67+B81</f>
        <v>3279389</v>
      </c>
      <c r="C166" s="733">
        <f>C4+C67+C81</f>
        <v>3614948</v>
      </c>
      <c r="D166" s="734">
        <f>D4+D67+D81</f>
        <v>3508234</v>
      </c>
    </row>
    <row r="167" spans="1:17" ht="13.5" customHeight="1">
      <c r="A167" s="42"/>
    </row>
    <row r="168" spans="1:17" ht="13.5" customHeight="1">
      <c r="A168" s="42"/>
    </row>
    <row r="169" spans="1:17" ht="13.5" customHeight="1">
      <c r="A169" s="208"/>
    </row>
    <row r="170" spans="1:17" ht="13.5" customHeight="1">
      <c r="A170" s="208"/>
    </row>
    <row r="171" spans="1:17" ht="13.5" customHeight="1">
      <c r="A171" s="43"/>
    </row>
    <row r="172" spans="1:17" ht="13.5" customHeight="1">
      <c r="A172" s="44"/>
    </row>
    <row r="173" spans="1:17" ht="13.5" customHeight="1">
      <c r="A173" s="44"/>
    </row>
    <row r="174" spans="1:17" ht="13.5" customHeight="1">
      <c r="A174" s="44"/>
    </row>
    <row r="175" spans="1:17" ht="13.5" customHeight="1">
      <c r="A175" s="44"/>
    </row>
    <row r="176" spans="1:17" ht="13.5" customHeight="1">
      <c r="A176" s="44"/>
    </row>
    <row r="177" spans="1:1" ht="13.5" customHeight="1">
      <c r="A177" s="44"/>
    </row>
    <row r="178" spans="1:1" ht="13.5" customHeight="1">
      <c r="A178" s="44"/>
    </row>
    <row r="179" spans="1:1" ht="13.5" customHeight="1">
      <c r="A179" s="44"/>
    </row>
    <row r="180" spans="1:1" ht="13.5" customHeight="1">
      <c r="A180" s="44"/>
    </row>
    <row r="181" spans="1:1" ht="13.5" customHeight="1">
      <c r="A181" s="44"/>
    </row>
    <row r="182" spans="1:1" ht="13.5" customHeight="1">
      <c r="A182" s="44"/>
    </row>
    <row r="183" spans="1:1" ht="13.5" customHeight="1">
      <c r="A183" s="44"/>
    </row>
    <row r="184" spans="1:1" ht="13.5" customHeight="1">
      <c r="A184" s="45"/>
    </row>
    <row r="185" spans="1:1">
      <c r="A185" s="43"/>
    </row>
    <row r="186" spans="1:1">
      <c r="A186" s="43"/>
    </row>
    <row r="187" spans="1:1">
      <c r="A187" s="42"/>
    </row>
    <row r="188" spans="1:1">
      <c r="A188" s="42"/>
    </row>
    <row r="189" spans="1:1">
      <c r="A189" s="42"/>
    </row>
    <row r="190" spans="1:1">
      <c r="A190" s="46"/>
    </row>
    <row r="191" spans="1:1">
      <c r="A191" s="43"/>
    </row>
  </sheetData>
  <mergeCells count="1">
    <mergeCell ref="A1:D1"/>
  </mergeCells>
  <pageMargins left="0.70866141732283472" right="0.70866141732283472" top="0.74803149606299213" bottom="0.74803149606299213" header="0.31496062992125984" footer="0.31496062992125984"/>
  <pageSetup paperSize="9" scale="58" fitToHeight="2" orientation="portrait" r:id="rId1"/>
  <headerFooter>
    <oddHeader>&amp;L&amp;"Times New Roman,Normál"&amp;8 7. melléklet 1, 2, 3</oddHeader>
    <oddFooter>&amp;L1. Mód.: 3/2019 (II.27.) önk. rend. 2.§. Hat.: 2019.03.01. napjától
2. Mód.: 9/2019 (IV.24.) önk. rend. 2.§ Hat.: 2019.04.25. napjától
3. Mód.: 18/2019 (IX.11.) önk. rend. 2.§ Hat.:2019.09.12. napjától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8</vt:i4>
      </vt:variant>
    </vt:vector>
  </HeadingPairs>
  <TitlesOfParts>
    <vt:vector size="31" baseType="lpstr">
      <vt:lpstr>1. melléklet</vt:lpstr>
      <vt:lpstr>2. melléklet</vt:lpstr>
      <vt:lpstr>3. melléklet</vt:lpstr>
      <vt:lpstr>4. melléklet</vt:lpstr>
      <vt:lpstr>5. melléklet 1</vt:lpstr>
      <vt:lpstr>5. melléklet 2</vt:lpstr>
      <vt:lpstr>6. melléklet 1</vt:lpstr>
      <vt:lpstr>6. melléklet 2</vt:lpstr>
      <vt:lpstr>7. melléklet</vt:lpstr>
      <vt:lpstr>8. melléklet</vt:lpstr>
      <vt:lpstr>9. melléklet</vt:lpstr>
      <vt:lpstr>10. melléklet</vt:lpstr>
      <vt:lpstr>11. melléklet</vt:lpstr>
      <vt:lpstr>12. melléklet</vt:lpstr>
      <vt:lpstr>13. melléklet 1</vt:lpstr>
      <vt:lpstr>13. melléklet 2 </vt:lpstr>
      <vt:lpstr>13. melléklet 3</vt:lpstr>
      <vt:lpstr>14. melléklet 1</vt:lpstr>
      <vt:lpstr>14. melléklet 2</vt:lpstr>
      <vt:lpstr>14. melléklet 3</vt:lpstr>
      <vt:lpstr>15. melléklet</vt:lpstr>
      <vt:lpstr>16. melléklet</vt:lpstr>
      <vt:lpstr>17. melléklet</vt:lpstr>
      <vt:lpstr>'11. melléklet'!Nyomtatási_cím</vt:lpstr>
      <vt:lpstr>'14. melléklet 1'!Nyomtatási_cím</vt:lpstr>
      <vt:lpstr>'14. melléklet 2'!Nyomtatási_cím</vt:lpstr>
      <vt:lpstr>'5. melléklet 1'!Nyomtatási_cím</vt:lpstr>
      <vt:lpstr>'7. melléklet'!Nyomtatási_cím</vt:lpstr>
      <vt:lpstr>'8. melléklet'!Nyomtatási_cím</vt:lpstr>
      <vt:lpstr>'5. melléklet 1'!Nyomtatási_terület</vt:lpstr>
      <vt:lpstr>'6. melléklet 1'!Nyomtatási_terület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Kerényi Zsuzsanna</dc:creator>
  <cp:lastModifiedBy>zomborimonika</cp:lastModifiedBy>
  <cp:lastPrinted>2019-09-12T09:10:50Z</cp:lastPrinted>
  <dcterms:created xsi:type="dcterms:W3CDTF">2018-06-06T07:42:41Z</dcterms:created>
  <dcterms:modified xsi:type="dcterms:W3CDTF">2019-09-12T09:14:25Z</dcterms:modified>
</cp:coreProperties>
</file>