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activeTab="0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.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5. sz. melléklet" sheetId="16" r:id="rId16"/>
    <sheet name="16. sz. melléklet" sheetId="17" r:id="rId17"/>
    <sheet name="17. sz. melléklet  " sheetId="18" r:id="rId18"/>
    <sheet name="18. sz. melléklet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c">#REF!</definedName>
    <definedName name="Excel_BuiltIn__FilterDatabase_5" localSheetId="10">#REF!</definedName>
    <definedName name="Excel_BuiltIn__FilterDatabase_5" localSheetId="11">'[8]4. sz. melléklet'!#REF!</definedName>
    <definedName name="Excel_BuiltIn__FilterDatabase_5" localSheetId="12">'[8]4. sz. melléklet'!#REF!</definedName>
    <definedName name="Excel_BuiltIn__FilterDatabase_5" localSheetId="15">#REF!</definedName>
    <definedName name="Excel_BuiltIn__FilterDatabase_5" localSheetId="2">#REF!</definedName>
    <definedName name="Excel_BuiltIn__FilterDatabase_5" localSheetId="3">#REF!</definedName>
    <definedName name="Excel_BuiltIn__FilterDatabase_5" localSheetId="8">'[8]4. sz. melléklet'!#REF!</definedName>
    <definedName name="Excel_BuiltIn__FilterDatabase_5" localSheetId="9">'[8]4. sz. melléklet'!#REF!</definedName>
    <definedName name="Excel_BuiltIn__FilterDatabase_5">#REF!</definedName>
    <definedName name="Excel_BuiltIn__FilterDatabase_5_1">'[2]4. sz. melléklet'!#REF!</definedName>
    <definedName name="Excel_BuiltIn__FilterDatabase_5_10">NA()</definedName>
    <definedName name="Excel_BuiltIn__FilterDatabase_5_11">'[4]4.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8">#REF!</definedName>
    <definedName name="Excel_BuiltIn__FilterDatabase_5_13" localSheetId="9">#REF!</definedName>
    <definedName name="Excel_BuiltIn__FilterDatabase_5_13">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8">#REF!</definedName>
    <definedName name="Excel_BuiltIn__FilterDatabase_5_17" localSheetId="9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7">NA()</definedName>
    <definedName name="Excel_BuiltIn__FilterDatabase_5_8">'[4]4. sz. melléklet'!#REF!</definedName>
    <definedName name="Excel_BuiltIn__FilterDatabase_5_9">'[4]4.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'15. sz. melléklet'!#REF!</definedName>
    <definedName name="Excel_BuiltIn_Print_Area_1" localSheetId="2">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">#REF!</definedName>
    <definedName name="Excel_BuiltIn_Print_Area_1_15" localSheetId="3">#REF!</definedName>
    <definedName name="Excel_BuiltIn_Print_Area_1_15" localSheetId="8">#REF!</definedName>
    <definedName name="Excel_BuiltIn_Print_Area_1_15" localSheetId="9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">#REF!</definedName>
    <definedName name="Excel_BuiltIn_Print_Area_2" localSheetId="3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5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9">#REF!</definedName>
    <definedName name="Excel_BuiltIn_Print_Area_21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">#REF!</definedName>
    <definedName name="Excel_BuiltIn_Print_Area_2_15" localSheetId="3">#REF!</definedName>
    <definedName name="Excel_BuiltIn_Print_Area_2_15" localSheetId="8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">#REF!</definedName>
    <definedName name="Excel_BuiltIn_Print_Area_2_5" localSheetId="3">#REF!</definedName>
    <definedName name="Excel_BuiltIn_Print_Area_2_5" localSheetId="8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">#REF!</definedName>
    <definedName name="Excel_BuiltIn_Print_Area_2_6" localSheetId="3">#REF!</definedName>
    <definedName name="Excel_BuiltIn_Print_Area_2_6" localSheetId="8">#REF!</definedName>
    <definedName name="Excel_BuiltIn_Print_Area_2_6" localSheetId="9">#REF!</definedName>
    <definedName name="Excel_BuiltIn_Print_Area_2_6">#REF!</definedName>
    <definedName name="Excel_BuiltIn_Print_Titles_6">'[3]4.B-C. sz. melléklet'!#REF!</definedName>
    <definedName name="fff">#REF!</definedName>
    <definedName name="_xlnm.Print_Titles" localSheetId="11">'11. sz. melléklet'!$5:$5</definedName>
    <definedName name="_xlnm.Print_Titles" localSheetId="12">'12. sz. melléklet'!$5:$5</definedName>
    <definedName name="_xlnm.Print_Titles" localSheetId="5">'5. sz. melléklet - Közös Hiv.'!$6:$8</definedName>
    <definedName name="_xlnm.Print_Titles" localSheetId="4">'5. sz. melléklet - Önkormányzat'!$4:$6</definedName>
    <definedName name="_xlnm.Print_Titles" localSheetId="8">'8. sz. melléklet'!$4:$4</definedName>
    <definedName name="_xlnm.Print_Titles" localSheetId="9">'9. sz. melléklet'!$4:$4</definedName>
    <definedName name="_xlnm.Print_Area" localSheetId="0">'1. sz. melléklet'!$A$1:$K$65</definedName>
    <definedName name="_xlnm.Print_Area" localSheetId="10">'10. sz. melléklet'!$A$1:$G$62</definedName>
    <definedName name="_xlnm.Print_Area" localSheetId="11">'11. sz. melléklet'!$B$1:$E$128</definedName>
    <definedName name="_xlnm.Print_Area" localSheetId="12">'12. sz. melléklet'!$A$1:$D$117</definedName>
    <definedName name="_xlnm.Print_Area" localSheetId="14">'14. sz. melléklet'!$A$1:$K$36</definedName>
    <definedName name="_xlnm.Print_Area" localSheetId="16">'16. sz. melléklet'!$A$1:$M$63</definedName>
    <definedName name="_xlnm.Print_Area" localSheetId="18">'18. sz. melléklet'!$A$1:$D$38</definedName>
    <definedName name="_xlnm.Print_Area" localSheetId="1">'2. sz. melléklet'!$A$1:$H$75</definedName>
    <definedName name="_xlnm.Print_Area" localSheetId="2">'3. sz. melléklet'!$A$1:$P$60</definedName>
    <definedName name="_xlnm.Print_Area" localSheetId="3">'4.sz. melléklet'!$C$1:$R$35</definedName>
    <definedName name="_xlnm.Print_Area" localSheetId="4">'5. sz. melléklet - Önkormányzat'!$A$1:$S$231</definedName>
    <definedName name="_xlnm.Print_Area" localSheetId="6">'6. sz. melléklet'!$A$1:$AD$79</definedName>
    <definedName name="_xlnm.Print_Area" localSheetId="7">'7. sz. melléklet'!$A$1:$O$47</definedName>
    <definedName name="_xlnm.Print_Area" localSheetId="8">'8. sz. melléklet'!$B$1:$I$112</definedName>
    <definedName name="_xlnm.Print_Area" localSheetId="9">'9. sz. melléklet'!$B$1:$G$69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8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8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8">SUM(#REF!)</definedName>
    <definedName name="SHARED_FORMULA_1_38_1_38_8" localSheetId="9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8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8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8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8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8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8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8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8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8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8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8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8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8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8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8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8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8">#REF!</definedName>
    <definedName name="SHARED_FORMULA_14_102_14_102_5" localSheetId="9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8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8">#REF!+#REF!</definedName>
    <definedName name="SHARED_FORMULA_14_150_14_150_5" localSheetId="9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8">#REF!-#REF!</definedName>
    <definedName name="SHARED_FORMULA_14_151_14_151_5" localSheetId="9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8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8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8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8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8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8">#REF!+#REF!</definedName>
    <definedName name="SHARED_FORMULA_14_86_14_86_5" localSheetId="9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8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8">#REF!</definedName>
    <definedName name="SHARED_FORMULA_16_112_16_112_5" localSheetId="9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8">#REF!</definedName>
    <definedName name="SHARED_FORMULA_17_108_17_108_5" localSheetId="9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8">#REF!</definedName>
    <definedName name="SHARED_FORMULA_17_117_17_117_5" localSheetId="9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8">#REF!</definedName>
    <definedName name="SHARED_FORMULA_17_127_17_127_5" localSheetId="9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8">#REF!</definedName>
    <definedName name="SHARED_FORMULA_17_22_17_22_5" localSheetId="9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8">#REF!</definedName>
    <definedName name="SHARED_FORMULA_17_27_17_27_5" localSheetId="9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8">#REF!</definedName>
    <definedName name="SHARED_FORMULA_17_32_17_32_5" localSheetId="9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8">#REF!</definedName>
    <definedName name="SHARED_FORMULA_17_37_17_37_5" localSheetId="9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8">#REF!</definedName>
    <definedName name="SHARED_FORMULA_17_4_17_4_5" localSheetId="9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8">#REF!</definedName>
    <definedName name="SHARED_FORMULA_17_43_17_43_5" localSheetId="9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8">#REF!</definedName>
    <definedName name="SHARED_FORMULA_17_47_17_47_5" localSheetId="9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8">#REF!</definedName>
    <definedName name="SHARED_FORMULA_17_52_17_52_5" localSheetId="9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8">#REF!</definedName>
    <definedName name="SHARED_FORMULA_17_57_17_57_5" localSheetId="9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8">#REF!</definedName>
    <definedName name="SHARED_FORMULA_17_62_17_62_5" localSheetId="9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8">#REF!</definedName>
    <definedName name="SHARED_FORMULA_17_67_17_67_5" localSheetId="9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8">#REF!</definedName>
    <definedName name="SHARED_FORMULA_17_77_17_77_5" localSheetId="9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8">#REF!</definedName>
    <definedName name="SHARED_FORMULA_17_82_17_82_5" localSheetId="9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8">#REF!</definedName>
    <definedName name="SHARED_FORMULA_17_9_17_9_5" localSheetId="9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8">#REF!</definedName>
    <definedName name="SHARED_FORMULA_17_92_17_92_5" localSheetId="9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8">#REF!</definedName>
    <definedName name="SHARED_FORMULA_17_97_17_97_5" localSheetId="9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8">#REF!</definedName>
    <definedName name="SHARED_FORMULA_2_102_2_102_5" localSheetId="9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8">#REF!</definedName>
    <definedName name="SHARED_FORMULA_2_107_2_107_5" localSheetId="9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8">#REF!</definedName>
    <definedName name="SHARED_FORMULA_2_112_2_112_5" localSheetId="9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8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8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8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8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8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8">#REF!</definedName>
    <definedName name="SHARED_FORMULA_2_127_2_127_5" localSheetId="9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8">#REF!</definedName>
    <definedName name="SHARED_FORMULA_2_14_2_14_5" localSheetId="9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8">#REF!-#REF!</definedName>
    <definedName name="SHARED_FORMULA_2_146_2_146_5" localSheetId="9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8">#REF!</definedName>
    <definedName name="SHARED_FORMULA_2_22_2_22_5" localSheetId="9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8">#REF!</definedName>
    <definedName name="SHARED_FORMULA_2_27_2_27_5" localSheetId="9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8">#REF!</definedName>
    <definedName name="SHARED_FORMULA_2_32_2_32_5" localSheetId="9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8">#REF!</definedName>
    <definedName name="SHARED_FORMULA_2_37_2_37_5" localSheetId="9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8">#REF!</definedName>
    <definedName name="SHARED_FORMULA_2_4_2_4_5" localSheetId="9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8">#REF!</definedName>
    <definedName name="SHARED_FORMULA_2_42_2_42_5" localSheetId="9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8">#REF!</definedName>
    <definedName name="SHARED_FORMULA_2_44_2_44_5" localSheetId="9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8">#REF!</definedName>
    <definedName name="SHARED_FORMULA_2_47_2_47_5" localSheetId="9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8">#REF!</definedName>
    <definedName name="SHARED_FORMULA_2_48_2_48_5" localSheetId="9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8">#REF!</definedName>
    <definedName name="SHARED_FORMULA_2_52_2_52_5" localSheetId="9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8">#REF!</definedName>
    <definedName name="SHARED_FORMULA_2_57_2_57_5" localSheetId="9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8">#REF!</definedName>
    <definedName name="SHARED_FORMULA_2_67_2_67_5" localSheetId="9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8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8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8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8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8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8">#REF!</definedName>
    <definedName name="SHARED_FORMULA_2_82_2_82_5" localSheetId="9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8">#REF!+#REF!</definedName>
    <definedName name="SHARED_FORMULA_2_86_2_86_5" localSheetId="9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8">#REF!+#REF!</definedName>
    <definedName name="SHARED_FORMULA_2_87_2_87_5" localSheetId="9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8">#REF!+#REF!</definedName>
    <definedName name="SHARED_FORMULA_2_88_2_88_5" localSheetId="9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8">#REF!+#REF!</definedName>
    <definedName name="SHARED_FORMULA_2_89_2_89_5" localSheetId="9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8">#REF!</definedName>
    <definedName name="SHARED_FORMULA_2_9_2_9_5" localSheetId="9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8">#REF!+#REF!</definedName>
    <definedName name="SHARED_FORMULA_2_90_2_90_5" localSheetId="9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8">#REF!</definedName>
    <definedName name="SHARED_FORMULA_2_92_2_92_5" localSheetId="9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8">#REF!</definedName>
    <definedName name="SHARED_FORMULA_2_97_2_97_5" localSheetId="9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8">#REF!</definedName>
    <definedName name="SHARED_FORMULA_20_10_20_10_5" localSheetId="9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8">#REF!</definedName>
    <definedName name="SHARED_FORMULA_20_102_20_102_5" localSheetId="9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8">#REF!</definedName>
    <definedName name="SHARED_FORMULA_20_112_20_112_5" localSheetId="9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8">#REF!</definedName>
    <definedName name="SHARED_FORMULA_20_117_20_117_5" localSheetId="9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8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8">#REF!</definedName>
    <definedName name="SHARED_FORMULA_20_127_20_127_5" localSheetId="9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8">#REF!</definedName>
    <definedName name="SHARED_FORMULA_20_14_20_14_5" localSheetId="9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8">#REF!</definedName>
    <definedName name="SHARED_FORMULA_20_19_20_19_5" localSheetId="9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8">#REF!</definedName>
    <definedName name="SHARED_FORMULA_20_22_20_22_5" localSheetId="9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8">#REF!</definedName>
    <definedName name="SHARED_FORMULA_20_27_20_27_5" localSheetId="9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8">#REF!</definedName>
    <definedName name="SHARED_FORMULA_20_33_20_33_5" localSheetId="9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8">#REF!</definedName>
    <definedName name="SHARED_FORMULA_20_37_20_37_5" localSheetId="9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8">#REF!</definedName>
    <definedName name="SHARED_FORMULA_20_42_20_42_5" localSheetId="9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8">#REF!</definedName>
    <definedName name="SHARED_FORMULA_20_57_20_57_5" localSheetId="9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8">#REF!</definedName>
    <definedName name="SHARED_FORMULA_20_63_20_63_5" localSheetId="9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8">#REF!</definedName>
    <definedName name="SHARED_FORMULA_20_67_20_67_5" localSheetId="9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8">#REF!</definedName>
    <definedName name="SHARED_FORMULA_20_78_20_78_5" localSheetId="9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8">#REF!</definedName>
    <definedName name="SHARED_FORMULA_20_82_20_82_5" localSheetId="9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8">#REF!+#REF!</definedName>
    <definedName name="SHARED_FORMULA_20_86_20_86_5" localSheetId="9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8">#REF!</definedName>
    <definedName name="SHARED_FORMULA_20_92_20_92_5" localSheetId="9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8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8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8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8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8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8">SUM(#REF!)</definedName>
    <definedName name="SHARED_FORMULA_3_10_3_10_3" localSheetId="9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8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8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8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8">SUM(#REF!)</definedName>
    <definedName name="SHARED_FORMULA_3_32_3_32_2" localSheetId="9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8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8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8">SUM(#REF!)</definedName>
    <definedName name="SHARED_FORMULA_3_37_3_37_2" localSheetId="9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8">SUM(#REF!)</definedName>
    <definedName name="SHARED_FORMULA_3_47_3_47_2" localSheetId="9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8">#REF!</definedName>
    <definedName name="SHARED_FORMULA_3_59_3_59_5" localSheetId="9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8">#REF!</definedName>
    <definedName name="SHARED_FORMULA_3_77_3_77_5" localSheetId="9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8">#REF!</definedName>
    <definedName name="SHARED_FORMULA_3_94_3_94_5" localSheetId="9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8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8">SUM(#REF!)</definedName>
    <definedName name="SHARED_FORMULA_4_136_4_136_4" localSheetId="9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8">SUM(#REF!)</definedName>
    <definedName name="SHARED_FORMULA_4_200_4_200_4" localSheetId="9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8">SUM(#REF!)</definedName>
    <definedName name="SHARED_FORMULA_4_264_4_264_4" localSheetId="9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8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8">SUM(#REF!)</definedName>
    <definedName name="SHARED_FORMULA_4_73_4_73_4" localSheetId="9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8">SUM(#REF!)</definedName>
    <definedName name="SHARED_FORMULA_4_8_4_8_4" localSheetId="9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8">SUM(#REF!)</definedName>
    <definedName name="SHARED_FORMULA_4_9_4_9_3" localSheetId="9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8">#REF!</definedName>
    <definedName name="SHARED_FORMULA_5_108_5_108_5" localSheetId="9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8">#REF!</definedName>
    <definedName name="SHARED_FORMULA_5_109_5_109_5" localSheetId="9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8">#REF!</definedName>
    <definedName name="SHARED_FORMULA_5_129_5_129_5" localSheetId="9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8">#REF!</definedName>
    <definedName name="SHARED_FORMULA_5_19_5_19_5" localSheetId="9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8">#REF!</definedName>
    <definedName name="SHARED_FORMULA_5_28_5_28_5" localSheetId="9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8">#REF!</definedName>
    <definedName name="SHARED_FORMULA_5_35_5_35_5" localSheetId="9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8">#REF!</definedName>
    <definedName name="SHARED_FORMULA_5_69_5_69_5" localSheetId="9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8">#REF!</definedName>
    <definedName name="SHARED_FORMULA_5_7_5_7_5" localSheetId="9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8">#REF!/#REF!*100</definedName>
    <definedName name="SHARED_FORMULA_6_5_6_5_0" localSheetId="9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8">#REF!</definedName>
    <definedName name="SHARED_FORMULA_7_62_7_62_5" localSheetId="9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8">#REF!</definedName>
    <definedName name="SHARED_FORMULA_7_82_7_82_5" localSheetId="9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8">#REF!</definedName>
    <definedName name="SHARED_FORMULA_7_93_7_93_5" localSheetId="9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8">#REF!</definedName>
    <definedName name="SHARED_FORMULA_8_48_8_48_5" localSheetId="9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8">#REF!</definedName>
    <definedName name="SHARED_FORMULA_9_112_9_112_5" localSheetId="9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8">#REF!</definedName>
    <definedName name="SHARED_FORMULA_9_118_9_118_5" localSheetId="9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8">#REF!</definedName>
    <definedName name="SHARED_FORMULA_9_44_9_44_5" localSheetId="9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8">#REF!</definedName>
    <definedName name="SHARED_FORMULA_9_53_9_53_5" localSheetId="9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8">#REF!</definedName>
    <definedName name="SHARED_FORMULA_9_77_9_77_5" localSheetId="9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8">#REF!</definedName>
    <definedName name="SHARED_FORMULA_9_98_9_98_5" localSheetId="9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<sst xmlns="http://schemas.openxmlformats.org/spreadsheetml/2006/main" count="2578" uniqueCount="1014">
  <si>
    <t>Felhalmozási tartalék</t>
  </si>
  <si>
    <t>Zárolt tartalék</t>
  </si>
  <si>
    <t>MINDÖSSZESEN:</t>
  </si>
  <si>
    <t xml:space="preserve">E Ft-ban </t>
  </si>
  <si>
    <t>Eredeti</t>
  </si>
  <si>
    <t>Önkormányzat</t>
  </si>
  <si>
    <t>Pályázatok és azokhoz kapcsolódó feladatok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</si>
  <si>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</si>
  <si>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</si>
  <si>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</si>
  <si>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</si>
  <si>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Határozatokkal elfogadott feladatok</t>
  </si>
  <si>
    <t>Tatai Közös Önkormányzati Hivatal</t>
  </si>
  <si>
    <t>Intézmények Gazdasági Hivatala és a hozzá tartozó költségvetési szervek</t>
  </si>
  <si>
    <t xml:space="preserve">Kuny Domokos Múzeum </t>
  </si>
  <si>
    <t>Mindösszesen</t>
  </si>
  <si>
    <t>E Ft-ban</t>
  </si>
  <si>
    <t>011130</t>
  </si>
  <si>
    <t>Bláthy O. u. támfal építés</t>
  </si>
  <si>
    <t>Kossuth téren közterületi szobor felállítása NKA - AN2000N6284</t>
  </si>
  <si>
    <t>Tata Város Önkormányzatának szervezetfejlesztése ÁROP – 1.A.5-2013-2013-0003</t>
  </si>
  <si>
    <t>Közigazgatási partnerség építése Tatán ÁROP – 1.A.6-2013-2013-0007</t>
  </si>
  <si>
    <t>Tatai Közös Önkormányzati Hivatal 2015. évi költségvetési terve (kormányzati funkciók és kiemelt előirányzatok szerinti bontásban) ( E Ft-ban)</t>
  </si>
  <si>
    <t>Tata Város Önkormányzat 2015. évi költségvetési terve (kormányzati funkciók és kiemelt előirányzatok szerinti bontásban) ( E Ft-ban)</t>
  </si>
  <si>
    <t xml:space="preserve"> Tata Város Önkormányzatának 2015. évi közgazdasági mérlege (E Ft-ban)</t>
  </si>
  <si>
    <t>2015. évi működési célú bevételek és kiadások mérlege (E Ft-ban)</t>
  </si>
  <si>
    <t>2015. évi beruházási kiadások feladatonként (ÁFA-val)</t>
  </si>
  <si>
    <t>2015. évi felújítási kiadások célonként (ÁFA-val)</t>
  </si>
  <si>
    <t>Tatai Közös Önkormányzati Hivatal által folyósított 2015. évi ellátottak pénzbeli juttatásának részletezése</t>
  </si>
  <si>
    <t>Tata Város Önkormányzata által folyósított 2015. évi ellátottak pénzbeli juttatásának részletezése</t>
  </si>
  <si>
    <t>Tata Város Önkormányzata és a Tatai Közös Önkormányzati Hivatal által adott visszatérítendő és vissza nem térítendő támogatások 2015. évi alakulása</t>
  </si>
  <si>
    <t>2015. évi kapott visszatérítendő és vissza nem térítendő támogatások és pénzeszközátvételek alakulása Tata Város Önkormányzatánál és a Tatai Közös Önkormányzati Hivatalnál</t>
  </si>
  <si>
    <t xml:space="preserve"> - Működési tartalék</t>
  </si>
  <si>
    <t>Elvonások és befizetések</t>
  </si>
  <si>
    <t>Termékek és szolgáltatások adói</t>
  </si>
  <si>
    <t>Késedelmi pótlék</t>
  </si>
  <si>
    <t>Bírságok</t>
  </si>
  <si>
    <t>Közvetített szolgáltatások ellenértéke</t>
  </si>
  <si>
    <t>Tulajdonosi bevételek (használatba adásból, üzemeltetésbe adásból származó bevételek, stb.)</t>
  </si>
  <si>
    <t>Garancia és kezességvállalásból származó visszatérülés</t>
  </si>
  <si>
    <t>COFOG</t>
  </si>
  <si>
    <t>Eszközbeszerzés (építési csoport)</t>
  </si>
  <si>
    <t>Informatika biztonsági beruházás, eszközbeszerzés</t>
  </si>
  <si>
    <t>Iktató program szoftver fejlesztés</t>
  </si>
  <si>
    <t>Tárgyi eszköz beszerzés (bútor, textília)</t>
  </si>
  <si>
    <t>Balatonfüredi üdülőbe tárgyi eszköz beszerzés</t>
  </si>
  <si>
    <t>Fényes fürdőn üdülőbe tárgyi eszköz beszerzés</t>
  </si>
  <si>
    <t>Balatonvilágosi üdülőbe tárgyi eszköz beszerzés</t>
  </si>
  <si>
    <t>Egyéb 2015. évi igények</t>
  </si>
  <si>
    <t>013350</t>
  </si>
  <si>
    <t>Tatai Közös Önkormányzati Hivatal tatai épületében aula üvegfödém</t>
  </si>
  <si>
    <t>Tatai 17/4 hrsz-ú ingatlanon sportcsarnok kialakítása I. ütem</t>
  </si>
  <si>
    <t>Tatai 17/4 hrsz-ú ingatlanon sportcsarnok kialakítása II. ütem</t>
  </si>
  <si>
    <t>Tatai 17/4 hrsz-ú ingatlanon sportcsarnok építéséhez kiegészítő munkálatok</t>
  </si>
  <si>
    <t>Kosárlabdacsarnok építés önereje</t>
  </si>
  <si>
    <t>Kastély tér támfal építés önerő és a fennmaradó rész megelőlegezése</t>
  </si>
  <si>
    <t>Kálvária u. 5. kerítés és támfal építése</t>
  </si>
  <si>
    <t>045120</t>
  </si>
  <si>
    <t>József A. u. Komáromi út csomópont fejlesztéséhez kapcsolódó egyéb önkormányzati feladatok</t>
  </si>
  <si>
    <t xml:space="preserve">Építők parkja I ütem </t>
  </si>
  <si>
    <t>Parkoló megváltásból származó bevételek felhasználása (áthúzódó)</t>
  </si>
  <si>
    <t>Kosárlabda csarnok és műfüves focipálya megközelítését szolgáló út kivitelezése (terv készítés folyamatban, ennek hiányában csak becsülhető út, közvilágítás, csapadékvíz)</t>
  </si>
  <si>
    <t>Tata- Agostyán járda, kerékpárút tervezés</t>
  </si>
  <si>
    <t>Út és járdaépítés tervezés (Új úti focipályához út, Dadi u. járda stb.)</t>
  </si>
  <si>
    <t>053010</t>
  </si>
  <si>
    <t>063080</t>
  </si>
  <si>
    <t>Rákóczi u.- Bercsényi u. vízelvezető nyomvonal kiváltás kivitelezés a Kastély park- Öreg tó felé</t>
  </si>
  <si>
    <t>Fekete út- Arany J.u.- Komáromi út Nagykert u. csapadékvíz elvezetés kivitelezés I. ütem</t>
  </si>
  <si>
    <t>Gesztenye fasorban a Malom patak befogadótól gerincvezeték építése és olajfogó műtárgy (Újhegyi vízfolyás alsó szakasz rekonstrukció I. ütem)</t>
  </si>
  <si>
    <t>064010</t>
  </si>
  <si>
    <t>Közvilágítási hálózat korszerűsítése II .ütem ( a KEOP pályázatban szereplő utcákhoz csatlakozó utcák)</t>
  </si>
  <si>
    <t>Térfigyelő kamerarendszer kiépítése</t>
  </si>
  <si>
    <t>Egység u. 12. ingatlan vételár (304/2014. (IX.1.) Tata Kt. határozat</t>
  </si>
  <si>
    <t>Kocsi u. 17. szám mögötti terület megvásárlása (354/2014. (IX.27.) Tata Kt. határozat</t>
  </si>
  <si>
    <t>Visszatérő forrásokkal kapcsolatos beruházások</t>
  </si>
  <si>
    <t>Területi együttműködést segítő programok kialakítása a tatai járásban ÁROP-1.A.3-2014-2014-0113</t>
  </si>
  <si>
    <t>Napelemes rendszer kiépítése a Kőkúti Általános Iskolában KEOP-4.10.0/N/14-2014-0382</t>
  </si>
  <si>
    <t>Balatonvilágosi konyha korszerűsítés</t>
  </si>
  <si>
    <t>Bercsényi u. 1. alatti ingatlanba informatikai eszközbeszerzés</t>
  </si>
  <si>
    <t>Május 1. út, Oroszlányi u., Keszthelyi út közvilágítás fejlesztése 2014-ről áthúzódó számla</t>
  </si>
  <si>
    <t>Hivatali hátsó fedett beálló felújítása (tetőszerkezet, falszerkezet, világítás)</t>
  </si>
  <si>
    <t>013320</t>
  </si>
  <si>
    <t>Fényes fürdő II. kút felújítás</t>
  </si>
  <si>
    <t>Tata, közvilágítás hálózat korszerűsítése II. ütem (A KEOP pályázatban szereplő utcákhoz közvetlenül csatlakozó utcák)</t>
  </si>
  <si>
    <t>Tópart sétány közvilágítás (Casablanca- Pötörke malom) kivitelezés</t>
  </si>
  <si>
    <t>Térfigyelő kamerarendszer</t>
  </si>
  <si>
    <t>Rákóczi u. 9. homlokzat felújítás</t>
  </si>
  <si>
    <t>Tatai 17/4 hrsz-ú ingatlanon földgáz vezeték vásárlása (2014-ről áthúzódó kötelezettségvállalás)</t>
  </si>
  <si>
    <t>Önkormányzati bérlakások felújítása, ebből 2014. évről áthúzódó számla 1 317 E Ft</t>
  </si>
  <si>
    <t xml:space="preserve"> - Balogh F. u. – Határ út; Nyírfa u., Tulipán u.; Újvilág u. II. ütem</t>
  </si>
  <si>
    <t>Fényes fürdő strand nyitáshoz szükséges munkálatok elvégzésére</t>
  </si>
  <si>
    <t xml:space="preserve"> - Pénzbeni és természetbeni települési támogatás (2015. 03. hónaptól)</t>
  </si>
  <si>
    <t>Tatai Közös Önkormányzati hivatal tatai épületében aula üvegfödém</t>
  </si>
  <si>
    <t>Öko program</t>
  </si>
  <si>
    <t>Önkormányzati nem lakás célú helyiségek felújítása</t>
  </si>
  <si>
    <t>Rákóczi u. 9. homlokzat felújítása</t>
  </si>
  <si>
    <t>Vaszary Villa állagmegóvó munkálataira (365/2014. (XI.27.) Kt. határozat)</t>
  </si>
  <si>
    <t>Fürdő u. 2. sz. ingatlanon a halaszthatatlan munkálatok elvégzésére</t>
  </si>
  <si>
    <t>Almási u. 43. Tatai Vöröskereszt által használt részén tetőfelújítás</t>
  </si>
  <si>
    <t>Dunaalmás Önkormányzatától</t>
  </si>
  <si>
    <t>Neszmély Önkormányzatától</t>
  </si>
  <si>
    <t>Dunaszentmiklós Önkormányzatától</t>
  </si>
  <si>
    <t>Fellner Jakab Alapítvány Támogatása - Kálvária Kápolna felújítása</t>
  </si>
  <si>
    <t>084032</t>
  </si>
  <si>
    <t>Tatai Városi Nyugdíjasklub támogatása</t>
  </si>
  <si>
    <t>084060</t>
  </si>
  <si>
    <t>047460</t>
  </si>
  <si>
    <t>084070</t>
  </si>
  <si>
    <t>082092</t>
  </si>
  <si>
    <t>Működési</t>
  </si>
  <si>
    <t>Felhalmozási</t>
  </si>
  <si>
    <t xml:space="preserve">Aszfalt felületű utak útfelújítása marással újra aszfaltozással </t>
  </si>
  <si>
    <t xml:space="preserve"> - Vértesszőlősi úttal párhuzamos szerviz út egy szakasza, Fényes fürdő út</t>
  </si>
  <si>
    <t>Pormentesítés mart aszfaltos útfelújítás</t>
  </si>
  <si>
    <t xml:space="preserve"> - Fűzfa u. </t>
  </si>
  <si>
    <t>Naplókert u. burkolat felújításhoz kapcsoló önkormányzati feladatok (megállapodás alapján)</t>
  </si>
  <si>
    <t>Útfelújítások tervezése (a pormentesítésre jelölt utcák felújításának műszaki tartalom meghatározása, költségvetési kiírás készítése, 2016. évben felújításra kerülő utcák kiviteli tervei)</t>
  </si>
  <si>
    <t>052080</t>
  </si>
  <si>
    <t xml:space="preserve">Bacsó B.u. 66. lakótelep szennyvíz vezeték felújítása I ütem </t>
  </si>
  <si>
    <t>Bacsó B. u. 66. közvilágítás mérés kiépítés megtérítése E.ON-nak 50% szerződés alapján</t>
  </si>
  <si>
    <t>Bacsó B. u. 66. közvilágítási hálózat felújítása ( II ütem  2. közvil.kábelkör 200 fm kábel,oszlopok)</t>
  </si>
  <si>
    <t>066010</t>
  </si>
  <si>
    <t>Egység utcai szökőkút elbontás, áthelyezés, energiaellátás</t>
  </si>
  <si>
    <t>Ady Endre utca zöldterület felújítás határozat szerint</t>
  </si>
  <si>
    <t>Ady E. u. 12-14. (Helyőrségi Klub) felújításának tervei</t>
  </si>
  <si>
    <t>Fényes fürdőn üdülők felújítása</t>
  </si>
  <si>
    <t>Bacsó B. u. 66. lakótelep szennyvízcsatorna hálózat felújítás tervei 2014-ről áthúzódó számla</t>
  </si>
  <si>
    <t>Dobroszláv utcai csapadékvíz elvezető rendszer felújítása 2014-ről áthúzódó számla</t>
  </si>
  <si>
    <t>Belvárosi járda felújítások 2014-ről áthúzódó számla</t>
  </si>
  <si>
    <t>Országos Mentőszolgálat Tatai Állomásának</t>
  </si>
  <si>
    <t>Tatai Városkapu Zrt. támogatása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</si>
  <si>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</si>
  <si>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</si>
  <si>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</si>
  <si>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</si>
  <si>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</si>
  <si>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</si>
  <si>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</si>
  <si>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</si>
  <si>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</si>
  <si>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</si>
  <si>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</si>
  <si>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</si>
  <si>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</si>
  <si>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</si>
  <si>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</si>
  <si>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</si>
  <si>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FELHALMOZÁSI TARTALÉK</t>
  </si>
  <si>
    <t>MŰKÖDÉSI TARTALÉK</t>
  </si>
  <si>
    <t>Tata, közvilágítás hálózat korszerűsítése KEOP– 5.5.0/A.-12-2013-0229</t>
  </si>
  <si>
    <t>066020</t>
  </si>
  <si>
    <t>081071</t>
  </si>
  <si>
    <t>Összesen:</t>
  </si>
  <si>
    <t>ÖNKORMÁNYZAT</t>
  </si>
  <si>
    <t>ÁFA bevétel</t>
  </si>
  <si>
    <t>Működési célú pénzeszközátadás és támogatása</t>
  </si>
  <si>
    <t>Közép-Duna Vidéke Önkormányzati Társulásnak működési hozzájárulás</t>
  </si>
  <si>
    <t>Üdülőhelyi feladatok támogatása</t>
  </si>
  <si>
    <t>Ft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</si>
  <si>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</si>
  <si>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</si>
  <si>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</si>
  <si>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</si>
  <si>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</si>
  <si>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</si>
  <si>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</si>
  <si>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</si>
  <si>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</si>
  <si>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</si>
  <si>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kívülre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</si>
  <si>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</si>
  <si>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</si>
  <si>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</si>
  <si>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</si>
  <si>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Oktatási és Kulturális Alap</t>
  </si>
  <si>
    <t>Sportiskola - Kőkúti Sasok</t>
  </si>
  <si>
    <t>Vaszary János Általános Iskola Alapítványának matematika versenyre és táborra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</si>
  <si>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</si>
  <si>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</si>
  <si>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</si>
  <si>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</si>
  <si>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</si>
  <si>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</si>
  <si>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</si>
  <si>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061030</t>
  </si>
  <si>
    <t>Egyéb működési kiadások</t>
  </si>
  <si>
    <t>Beruházási kiadások</t>
  </si>
  <si>
    <t>Felújítási kiadások</t>
  </si>
  <si>
    <t xml:space="preserve">Költségvetési egyenleg: </t>
  </si>
  <si>
    <t>Törvény- javaslat hivatk.sz.</t>
  </si>
  <si>
    <t>Jogcímek megnevezése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</si>
  <si>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</si>
  <si>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</si>
  <si>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</si>
  <si>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</si>
  <si>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</si>
  <si>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</si>
  <si>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</si>
  <si>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</si>
  <si>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</si>
  <si>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</si>
  <si>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</si>
  <si>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</si>
  <si>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</si>
  <si>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</si>
  <si>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</si>
  <si>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</si>
  <si>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</si>
  <si>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</si>
  <si>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</si>
  <si>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</si>
  <si>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</si>
  <si>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I.1.c)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</si>
  <si>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</si>
  <si>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</si>
  <si>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</si>
  <si>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</si>
  <si>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</si>
  <si>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</si>
  <si>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</si>
  <si>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</si>
  <si>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</si>
  <si>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</si>
  <si>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</si>
  <si>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</si>
  <si>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</si>
  <si>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</si>
  <si>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</si>
  <si>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</si>
  <si>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</si>
  <si>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</si>
  <si>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Óvodaműködtetési támogatás összesen</t>
  </si>
  <si>
    <t>2.mell. II.</t>
  </si>
  <si>
    <t>A települési önkormányzatok egyes köznevelési feladatainak támogatása</t>
  </si>
  <si>
    <t>III.1.</t>
  </si>
  <si>
    <t>III.3.</t>
  </si>
  <si>
    <t>Egyes szociális és gyermekjóléti feladatok támogatása</t>
  </si>
  <si>
    <t>III.3.aa)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</si>
  <si>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</si>
  <si>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</si>
  <si>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</si>
  <si>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</si>
  <si>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</si>
  <si>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</si>
  <si>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</si>
  <si>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</si>
  <si>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</si>
  <si>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</si>
  <si>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107060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</si>
  <si>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</si>
  <si>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</si>
  <si>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</si>
  <si>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</si>
  <si>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</si>
  <si>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</si>
  <si>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</si>
  <si>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Eredeti összesen:</t>
  </si>
  <si>
    <t>Kötelező összesen:</t>
  </si>
  <si>
    <t>Áru- és készletértékesítés (a döntést követő 3 hónap utáni föld- és ingatlan értékesítés)</t>
  </si>
  <si>
    <t>Szociális és gyermekjóléti alapszolgáltatások általános feladatai (társult formában)</t>
  </si>
  <si>
    <t>Társulási kiegészítés családsegítésre</t>
  </si>
  <si>
    <t>III.a)</t>
  </si>
  <si>
    <t>Szociális és gyermekjóléti alapszolgáltatások általános feladatai összesen</t>
  </si>
  <si>
    <t>III.3.c)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</si>
  <si>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</si>
  <si>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</si>
  <si>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</si>
  <si>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</si>
  <si>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</si>
  <si>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</si>
  <si>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</si>
  <si>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</si>
  <si>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</si>
  <si>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</si>
  <si>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</si>
  <si>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</si>
  <si>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</si>
  <si>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</si>
  <si>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</si>
  <si>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</si>
  <si>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</si>
  <si>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</si>
  <si>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</si>
  <si>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</si>
  <si>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</si>
  <si>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</si>
  <si>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</si>
  <si>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</si>
  <si>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</si>
  <si>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</si>
  <si>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</si>
  <si>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fő/év</t>
  </si>
  <si>
    <t>III.5.b)</t>
  </si>
  <si>
    <t>Gyermekétkeztetés üzemeltetési támogatása</t>
  </si>
  <si>
    <t>Gyermekétkeztetés támogatása összesen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</si>
  <si>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</si>
  <si>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</si>
  <si>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</si>
  <si>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</si>
  <si>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</si>
  <si>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</si>
  <si>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</si>
  <si>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</si>
  <si>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2.mell. IV.</t>
  </si>
  <si>
    <t>A települési önkormányzatok kulturáli feladatainak támogatása</t>
  </si>
  <si>
    <t>V.</t>
  </si>
  <si>
    <t>BESZÁMÍTÁS</t>
  </si>
  <si>
    <t>0,5 %</t>
  </si>
  <si>
    <t>csökk.</t>
  </si>
  <si>
    <t>95 %</t>
  </si>
  <si>
    <t>2.mell. V.</t>
  </si>
  <si>
    <t>2. melléklet jogcímeihez ÁLLAMI TÁMOGATÁS MINDÖSSZESEN</t>
  </si>
  <si>
    <t>- Dunaszentmiklósi Kirendeltség</t>
  </si>
  <si>
    <t>- Dunaalmási Kirendeltség</t>
  </si>
  <si>
    <t>Tatai Közös Önkormányzati Hivatal összesen:</t>
  </si>
  <si>
    <r>
      <t xml:space="preserve">Tata Város Önkormányzata </t>
    </r>
    <r>
      <rPr>
        <sz val="10"/>
        <rFont val="Times New Roman"/>
        <family val="1"/>
      </rPr>
      <t>- választott tisztségviselő</t>
    </r>
  </si>
  <si>
    <t>Kamat bevétel</t>
  </si>
  <si>
    <t>Munkaadókat terhelő járulékok és szociális hozzájárulási adó</t>
  </si>
  <si>
    <t>Kenderke Néptánc Egyesület támogatása</t>
  </si>
  <si>
    <t>TIT KEM Egyesületének támogatása</t>
  </si>
  <si>
    <t>Pötörke Néptánc Egyesület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</si>
  <si>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</si>
  <si>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</si>
  <si>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</si>
  <si>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</si>
  <si>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</si>
  <si>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</si>
  <si>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</si>
  <si>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</si>
  <si>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NEP</t>
  </si>
  <si>
    <t>ZBR</t>
  </si>
  <si>
    <t>Kis- és középvállalkozások munkahelyteremtő támogatása</t>
  </si>
  <si>
    <t>TAC támogatása</t>
  </si>
  <si>
    <t>Tatai Városgazda Nonprofit Kft. támogatása</t>
  </si>
  <si>
    <t>Munkáltatói kölcsön nyújtása</t>
  </si>
  <si>
    <t>Működési célú visszatérítendő támogatások, kölcsönök visszatérülése államháztartáson kívülről</t>
  </si>
  <si>
    <t>052 080</t>
  </si>
  <si>
    <t>2015. évi felhalmozási célú bevételek és kiadások mérlege (E Ft-ban)</t>
  </si>
  <si>
    <t>Tata Város Önkormányzata és az általa irányított költségvetési szervek 2015. évi bevételei forrásonként ( E Ft-ban)</t>
  </si>
  <si>
    <t xml:space="preserve">Tata Város Önkormányzata és az általa irányított költségvetési szervek 2015. évi kiadásai </t>
  </si>
  <si>
    <t>Kuny Domokos Múzeum 2015. évi költségvetése (bevételek)  E Ft-ban</t>
  </si>
  <si>
    <t>Kuny Domokos Múzeum  2015. évi költségvetése (kiadások)  E Ft-ban</t>
  </si>
  <si>
    <t>Tata Város Önkormányzatának 2015. évi</t>
  </si>
  <si>
    <t>Tata Város Önkormányzatának 2015. évi tartalékai (E Ft-ban)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</si>
  <si>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</si>
  <si>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</si>
  <si>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államháztartáson belülről</t>
  </si>
  <si>
    <t>Felhalmozási célú támogatások államháztartáson belülről (vissza nem térítendő)</t>
  </si>
  <si>
    <t>Működési célú támogatások államháztartáson belülről (vissza nem térítendő)</t>
  </si>
  <si>
    <t>Működési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</si>
  <si>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</si>
  <si>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</si>
  <si>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</si>
  <si>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</si>
  <si>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</si>
  <si>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</si>
  <si>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</si>
  <si>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</si>
  <si>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</si>
  <si>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</si>
  <si>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</si>
  <si>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</si>
  <si>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</si>
  <si>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Víz-Zene-Virág Fesztivál Egyesületnek nyújtott rövid lejáratú kölcsön visszafizetése</t>
  </si>
  <si>
    <t>Munkáltatói kölcsön visszafizetése</t>
  </si>
  <si>
    <t>Háztartásoknak nyújtott egyéb felhalmozási célú kölcsön visszafizetése</t>
  </si>
  <si>
    <t>Tatai Kistérségi Többcélú Társulástól feladatellátáshoz hozzájárulás</t>
  </si>
  <si>
    <t>Összesen</t>
  </si>
  <si>
    <t>Pénzmaradvány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</si>
  <si>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</si>
  <si>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</si>
  <si>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</si>
  <si>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</si>
  <si>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</si>
  <si>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</si>
  <si>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</si>
  <si>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</si>
  <si>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</si>
  <si>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</si>
  <si>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</si>
  <si>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</si>
  <si>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</si>
  <si>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</si>
  <si>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</si>
  <si>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</si>
  <si>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</si>
  <si>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</si>
  <si>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Mindösszesen bevételek:</t>
  </si>
  <si>
    <t>Mindösszesen kiadások:</t>
  </si>
  <si>
    <t>Adósságot keletkeztető ügyletek</t>
  </si>
  <si>
    <t>Cél megnevezése</t>
  </si>
  <si>
    <t>A kiadás forrása</t>
  </si>
  <si>
    <t>Vissza nem térítendő támogatás</t>
  </si>
  <si>
    <t>Pénzmaradvány igénybevétele működési- és felhalmozási cél szerinti tagolásban (E Ft-ban)</t>
  </si>
  <si>
    <t>Működési pénzmaradvány</t>
  </si>
  <si>
    <t>Kiadás, melyre a pénzmaradvány fordítódik</t>
  </si>
  <si>
    <t>Felhalmozási pénzmaradvány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</si>
  <si>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</si>
  <si>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</si>
  <si>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</si>
  <si>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</si>
  <si>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</si>
  <si>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</si>
  <si>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</si>
  <si>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</si>
  <si>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</si>
  <si>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</si>
  <si>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</si>
  <si>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</si>
  <si>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Intézmények Gazdasági Hivatalához tartozó intézmények</t>
  </si>
  <si>
    <t>E. Ft-ban</t>
  </si>
  <si>
    <t>Bevétel</t>
  </si>
  <si>
    <t>Kiadás</t>
  </si>
  <si>
    <t xml:space="preserve">Egyéb működési bevételből </t>
  </si>
  <si>
    <t>Egyéb működési bevételből</t>
  </si>
  <si>
    <t>A munka és a magánélet összehangolása a Tatai Közös Önkormányzati Hivatalban TÁMOP-2.4.5-12/7-2012-0705</t>
  </si>
  <si>
    <t>Működési kiadások</t>
  </si>
  <si>
    <t>Felhalmozási kiadások</t>
  </si>
  <si>
    <t>M.adókat terh. jár. és szochó</t>
  </si>
  <si>
    <t>Hitel- és kölcsön törlesztés</t>
  </si>
  <si>
    <t>Állam (igazgatás)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</si>
  <si>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</si>
  <si>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</si>
  <si>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</si>
  <si>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</si>
  <si>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</si>
  <si>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</si>
  <si>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</si>
  <si>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</si>
  <si>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</si>
  <si>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</si>
  <si>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</si>
  <si>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</si>
  <si>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</si>
  <si>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</si>
  <si>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</si>
  <si>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</si>
  <si>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</si>
  <si>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</si>
  <si>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</si>
  <si>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</si>
  <si>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</si>
  <si>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</si>
  <si>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</si>
  <si>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</si>
  <si>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</si>
  <si>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</si>
  <si>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</si>
  <si>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>032 020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</si>
  <si>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</si>
  <si>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</si>
  <si>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</si>
  <si>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</si>
  <si>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</si>
  <si>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</si>
  <si>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</si>
  <si>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</si>
  <si>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</si>
  <si>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</si>
  <si>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</si>
  <si>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</si>
  <si>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</si>
  <si>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</si>
  <si>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</si>
  <si>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</si>
  <si>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</si>
  <si>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</si>
  <si>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</si>
  <si>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</si>
  <si>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</si>
  <si>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</si>
  <si>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</si>
  <si>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</si>
  <si>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</si>
  <si>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</si>
  <si>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</si>
  <si>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</si>
  <si>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</si>
  <si>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</si>
  <si>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</si>
  <si>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</si>
  <si>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</si>
  <si>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</si>
  <si>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</si>
  <si>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</si>
  <si>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</si>
  <si>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</si>
  <si>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</si>
  <si>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</si>
  <si>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</si>
  <si>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</si>
  <si>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</si>
  <si>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</si>
  <si>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</si>
  <si>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</si>
  <si>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</si>
  <si>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</si>
  <si>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</si>
  <si>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</si>
  <si>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>084 070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</si>
  <si>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</si>
  <si>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</si>
  <si>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</si>
  <si>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</si>
  <si>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</si>
  <si>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</si>
  <si>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101 043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</si>
  <si>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</si>
  <si>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</si>
  <si>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</si>
  <si>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</si>
  <si>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</si>
  <si>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</si>
  <si>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</si>
  <si>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</si>
  <si>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</si>
  <si>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</si>
  <si>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</si>
  <si>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</si>
  <si>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</si>
  <si>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</si>
  <si>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</si>
  <si>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</si>
  <si>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</si>
  <si>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</si>
  <si>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</si>
  <si>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</si>
  <si>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</si>
  <si>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</si>
  <si>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Bevételek összesen</t>
  </si>
  <si>
    <t>Kiadások összesen</t>
  </si>
  <si>
    <t>ÁFA</t>
  </si>
  <si>
    <t>előző évi átvétele</t>
  </si>
  <si>
    <t>M.adókat terhelő jár.</t>
  </si>
  <si>
    <t>Dologi</t>
  </si>
  <si>
    <t>Visszatérő forrásokkal kapcsolatos beruházás*</t>
  </si>
  <si>
    <t>Kötelező összesen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</si>
  <si>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</si>
  <si>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</si>
  <si>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</si>
  <si>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</si>
  <si>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</si>
  <si>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</si>
  <si>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</si>
  <si>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</si>
  <si>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</si>
  <si>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</si>
  <si>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</si>
  <si>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</si>
  <si>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</si>
  <si>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</si>
  <si>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</si>
  <si>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</si>
  <si>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</si>
  <si>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</si>
  <si>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</si>
  <si>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</si>
  <si>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>Nem kötelező összesen:</t>
  </si>
  <si>
    <t>Állam (igazgatás) összesen:</t>
  </si>
  <si>
    <t>A munka és a magánélet összehangolását segítő helyi kezdeményezések megvalósítása Tata városában TÁMOP-2.4.5-12/3-2012-0028</t>
  </si>
  <si>
    <t>Önkormányzati költségvetési szervek engedélyezett létszáma</t>
  </si>
  <si>
    <t>Költségvetési szervek megnevezése</t>
  </si>
  <si>
    <t>Engedélyezett létszám (fő)</t>
  </si>
  <si>
    <t>Csillagsziget Bölcsőde</t>
  </si>
  <si>
    <t>Kamatmentes lakossági kölcsön visszafizetése</t>
  </si>
  <si>
    <t>Munkaügyi Központtól közfoglalkoztatás támogatására</t>
  </si>
  <si>
    <t>Tata és Környéke Turisztikai Egyesületnek a Végvárak védelmében HUSK/1101/1.7.1/0143 projekt megvalósítására nyújtott kölcsön visszatérülése</t>
  </si>
  <si>
    <t>Felhalmozási célú garancia és kezességvállalásból származó bevétel államháztartáson kívülről</t>
  </si>
  <si>
    <t>Tata Tóparti Viziközmű társulatnak vállalt kezesség visszatérülése</t>
  </si>
  <si>
    <t>Pötörke Népművészeti Egyesületnek vállalt kezesség visszatérülése</t>
  </si>
  <si>
    <t>Kastély téri támfal építésre vis maior támogatás</t>
  </si>
  <si>
    <t>Tatai Angolpark rehabilitációja KDOP -2.1.1/B-2f-2009-0002 önerő támogatás</t>
  </si>
  <si>
    <t>Öreg-tavi Ökoturisztikai Központ kialakítása a csatlakozó kerékpárutak felújításával Tatán és a tematikus aktív turisztikai fejlesztések a kistérségben KDOP–2.1.1/B–09-2010-0002 önerő támogatás</t>
  </si>
  <si>
    <t>Önerő</t>
  </si>
  <si>
    <t>Támogatás</t>
  </si>
  <si>
    <t>Pénzbeni és természetbeni segély (átmeneti segély 2015. 01-02. hó)</t>
  </si>
  <si>
    <t>Települési támogatás</t>
  </si>
  <si>
    <t xml:space="preserve"> - 18. életévét betöltött tartósan beteg hozzátartozójának ápolását, gondozását végző személy részére</t>
  </si>
  <si>
    <t xml:space="preserve"> - Gyógyszer kiadások támogatásához</t>
  </si>
  <si>
    <t xml:space="preserve"> - Lakhatási kiadásokhoz kapcsolódó tartozást felhalmozó személyek részére</t>
  </si>
  <si>
    <t>Arany János Tehetséggondozó Programban részt vevő tanulók támogatása</t>
  </si>
  <si>
    <t>Bursa Hungarica ösztöndíjakra 315/2014. (IX.1.) Tata Kt. határozat alapján</t>
  </si>
  <si>
    <t>Környezetvédelmi Alap civil és intézményi pályázók részére</t>
  </si>
  <si>
    <t>Háziorvosi alapellátás támogatása 273 E Ft/praxis, 21 praxis</t>
  </si>
  <si>
    <t>Kenderke Alapfokú Művészeti Iskola Fürkész Programjának támogatása</t>
  </si>
  <si>
    <t>Magyarországi Bem József Lengyel Kulturális Egyesület tatai tagozatának</t>
  </si>
  <si>
    <t>Magyar Autóklubnak közlekedésbiztonsági oktatás a város általános iskoláiban</t>
  </si>
  <si>
    <t>Jászai Mari színháznak bérlettámogatás</t>
  </si>
  <si>
    <t>Tata és Környéke Turisztikai Egyesületnek a Végvárak védelmében HUSK/1101/1.7.1/0143 projekt megvalósítására kölcsön nyújtása</t>
  </si>
  <si>
    <t>Közlekedési Koordinációs Központnak - Tata, Május 1. út körforgalmi csomópont pénzügyi elszámolás 2014. évről áthúzódó kötelezettség</t>
  </si>
  <si>
    <t>Panel program   346/2009./IX.30./ sz. határozat alapján - Tata, Május 1. út 36.</t>
  </si>
  <si>
    <t>ÚSZT pályázat  fűtéskorszerűsítés /2012, TEF/ 2013, egyéb energiahatékonyságot javító pályázatok</t>
  </si>
  <si>
    <t>016030</t>
  </si>
  <si>
    <t>Állampolgársági ügyek - Anyakönyv</t>
  </si>
  <si>
    <t>109010</t>
  </si>
  <si>
    <t>Szociális Igazgatás</t>
  </si>
  <si>
    <t>044310</t>
  </si>
  <si>
    <t>Öko Program - Gesztenye fasor 43.</t>
  </si>
  <si>
    <t>Pötörke Egyesület támogatása - Pötörke ház felújítása</t>
  </si>
  <si>
    <t>650 M hitelkeret</t>
  </si>
  <si>
    <t>250 M hitelkeret</t>
  </si>
  <si>
    <t>Kossuth téren közterületi szobor felállítása NKA - AN2000N6284 (a 2.000 E Ft-os támogatás 2013-ban önkormányzatunkhoz érkezett)</t>
  </si>
  <si>
    <t>Balatonvilágosi üdülő energiatakarékossági felújítása, cserépkályha építése</t>
  </si>
  <si>
    <t>Tata-Tóparti Viziközmű Társulat készfizető kezességével kapcsolatos követelés teljesülése után felszabadítható</t>
  </si>
  <si>
    <t>2013. évi feladatmutatók elszámolása utáni visszafizetési kötelezettség</t>
  </si>
  <si>
    <t>2014. évi eseti felülvizsgálatra</t>
  </si>
  <si>
    <t>Bírság</t>
  </si>
  <si>
    <t>Irányítószervi támogatás folyósítása</t>
  </si>
  <si>
    <t>Tatai Városkapu Közhasznú Zrt. vezérigazgatójának prémiumfeladatára</t>
  </si>
  <si>
    <t>Tatai Fürdő utcai Óvoda</t>
  </si>
  <si>
    <t>Tatai Geszti Óvoda</t>
  </si>
  <si>
    <t>Tatai Geszti Óvoda - Agostyáni Tagintézménye</t>
  </si>
  <si>
    <t>Tatai Geszti Óvoda összesen</t>
  </si>
  <si>
    <t>Tatai Bartók Béla úti Óvoda</t>
  </si>
  <si>
    <t>Tatai Kertvárosi Óvoda</t>
  </si>
  <si>
    <t>Tatai Kincseskert Óvoda</t>
  </si>
  <si>
    <t>Tatai Kincseskert Óvoda - Szivárvány Tagintézménye</t>
  </si>
  <si>
    <t>Tatai Kincseskert Óvoda összesen</t>
  </si>
  <si>
    <t>Óvodák összesen</t>
  </si>
  <si>
    <t>Szolgáltatások ellenértéke (temető fenntartási hozzájárulás, sírhelydíj, nevezési díj)</t>
  </si>
  <si>
    <t xml:space="preserve"> 2015 – 2024-ig a hosszú lejáratú felhalmozási hitel visszafizetéseket figyelembe véve (E Ft-ban)</t>
  </si>
  <si>
    <t>Tatai Kincseskert Óvoda - Kettő gyermek fürdőszoba-vízvezeték, burkolás</t>
  </si>
  <si>
    <t>Csillagsziget Bölcsőde - Egy gondozóegység vizes blokkjának a teljes felújítása, gondozó egység parkettájának cseréje</t>
  </si>
  <si>
    <t>Kőkúti Általános Iskola - udvari betonsávok aszfaltozása, tanuló asztalok felújítása, tan.székek pótlása, tanterem PVC burkolat csere</t>
  </si>
  <si>
    <t>Tatai Kertvárosi Óvoda - egyetemes konyhagép, üst bekötés</t>
  </si>
  <si>
    <t>Tatai Fürdő utcai Óvoda - billenő serpenyő, főző-sütő edények</t>
  </si>
  <si>
    <t>Középnyugat-magyarországi Közlekedési Központ Zrt. részére szerződés alapján 353/2010.(XI.24.) Tata Kt. határozat</t>
  </si>
  <si>
    <t>Középnyugat-magyarországi Közlekedési Központ Zrt. részére veszteség kiegyenlítésre (ebből 2014. évről áthúzódó kötelezettség: 7 726 E Ft)</t>
  </si>
  <si>
    <t>Középnyugat-magyarországi Közlekedési Központ Zrt.-nek megállapodás alapján tanulóbérletekre</t>
  </si>
  <si>
    <t xml:space="preserve"> - Bacsó lakótelep belső út, Váczi M. u., Spar előtt szerviz út</t>
  </si>
  <si>
    <t>Tata és Környéke Turisztikai Egyesület (Turisztikai Desztináció Menedzsment) támogatása 270/2009. (VIII.12.) Tata Kt. határozat</t>
  </si>
  <si>
    <t>Klebelsberg Intézményfenntartó Központ tatai intézményének kölcsön nyújtás</t>
  </si>
  <si>
    <t>Klebelsberg Intézményfenntartó Központ tatai intézményének nyújtott kölcsön visszatérülés</t>
  </si>
  <si>
    <t>Informatikai eszközbeszerzés</t>
  </si>
  <si>
    <t>Magyary Zoltán Művelődési Központ színpad felújítása 61/2014. (III.14.) Tata Kt. határozat</t>
  </si>
  <si>
    <t>Balatonvilágosi üdülő energiatakarékos felújítása, cserépkályha építés</t>
  </si>
  <si>
    <t>Járdafelújítások (Komáromi u. Ady E. út, Szilágyi u., Csapó u., Fazekas u., Gesztenyefasor, Agostyáni utca, Május 1 úti járda részek, Agostyán: Szabadság u., Diófa u., Tavasz u. stb.)</t>
  </si>
  <si>
    <t>Akadálymentesítés, közlekedésbiztonság növelése (járdák, gyalogátkelőhelyek akadálymentesítése, korlát elhelyezése, buszparkoló kijelölés)</t>
  </si>
  <si>
    <t>Viziközmű felújítása az ÉDV Zrt. üzemeltetési szerződése szerint</t>
  </si>
  <si>
    <t>Tatai Közös Önkormányzati Hivatal tatai székhely belső udvar felújítása</t>
  </si>
  <si>
    <t>Fényes fürdőn szálláshelyek részbeni felújítása és vízvezeték-szerelés 2014-ről áthúzódó számlák alapján</t>
  </si>
  <si>
    <t>Bacsó B. út kandeláberek kábelcsere 2014-ről áthúzódó számla</t>
  </si>
  <si>
    <t>Menner Bernát Zeneiskola - WC mosdó bűzelzárók miatti bontás, újraalapozás</t>
  </si>
  <si>
    <t>Agostyáni u. 1-3. épületének Tatai Televízió által használt részén homlokzat-felújítás</t>
  </si>
  <si>
    <t>Fényes Fürdő Kft.-nek tagi kölcsön</t>
  </si>
  <si>
    <t>Bacsó B. ltp. belső út, Váczi M. u., Spar előtti szerviz út marás, aszfaltozás</t>
  </si>
  <si>
    <t>Újvilág u. II. ütem mart aszfaltos felújítása, Balogh F. u., Határ u. mart aszfaltos felújítása, Tulipán u., Nyírfa u. mart aszfaltos felújítása</t>
  </si>
  <si>
    <t>Iskolai konyhák felújításának tervei és az átalakítás előkészítése</t>
  </si>
  <si>
    <t>Fekete út, Arany J.u., Komáromi út, Nagykert u. csapadékvíz elvezetés kivitelezés I. ütem</t>
  </si>
  <si>
    <t>Csillagsziget Bölcsőde - élelmezési program, ipari turmixgép, 2 db vár mászóka, gondozónői asztal, radiátor burkolat, faházikó, mozgásfejlesztő eszközök</t>
  </si>
  <si>
    <t>Tatai Geszti Óvoda - mosógép, konyhai páraelszívó, komplex konyhai robotgép, 2 db nagy főzőedény</t>
  </si>
  <si>
    <t>Menner Bernát Zeneiskola - Hangszer, 2 db számítógép</t>
  </si>
  <si>
    <t>Tatai Kertvárosi Óvoda - Elektromos kapcs.szekrény,el.kötések cseréje, járda javítás</t>
  </si>
  <si>
    <t>Vaszary János Általános Iskola Jázmin utcai Tagintézménye - balesetveszélyes udvari burkolat bontása, új burkolat készítése, tereprend., tantermi padok felújítása (első osztályosok részére)</t>
  </si>
  <si>
    <t>Tatai Kincseskert Óvoda - Befogadó élettér pályázat</t>
  </si>
  <si>
    <t>Immateriális javak, informatikai eszközök és egyéb tárgyi eszközök beszerzése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</si>
  <si>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</si>
  <si>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</si>
  <si>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</si>
  <si>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</si>
  <si>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</si>
  <si>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</si>
  <si>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</si>
  <si>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Eredeti átlag létszám</t>
  </si>
  <si>
    <t>Hosszabb időtartamú közfoglalkoztatás</t>
  </si>
  <si>
    <t>Tatai Egészségügyi Alapellátó Intézmény</t>
  </si>
  <si>
    <t>Tatai székhely</t>
  </si>
  <si>
    <t>Dunaalmási Kirendeltség</t>
  </si>
  <si>
    <t>Dunaszentmiklósi Kirendeltség</t>
  </si>
  <si>
    <t>Eszközbeszerzés</t>
  </si>
  <si>
    <t>Hódy Sport Egyesületnek</t>
  </si>
  <si>
    <t>Vívó Sport Egyesületnek</t>
  </si>
  <si>
    <t>Tatai Sportegyesületnek</t>
  </si>
  <si>
    <t>( kiemelt előirányzatok szerinti részletezésben ) E Ft-ban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</si>
  <si>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</si>
  <si>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</si>
  <si>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</si>
  <si>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</si>
  <si>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</si>
  <si>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</si>
  <si>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</si>
  <si>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</si>
  <si>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</si>
  <si>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</si>
  <si>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</si>
  <si>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</si>
  <si>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</si>
  <si>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Hiány finanszírozása belső forrásból:</t>
  </si>
  <si>
    <t>Hiány finanszírozása külső forrásból:</t>
  </si>
  <si>
    <t>Termékek és szolgáltatások</t>
  </si>
  <si>
    <t>Szolgáltatások ellenértéke</t>
  </si>
  <si>
    <t>Tulajdonosi bevételek</t>
  </si>
  <si>
    <t>Iparűzési adóból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</si>
  <si>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</si>
  <si>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</si>
  <si>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</si>
  <si>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</si>
  <si>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</si>
  <si>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</si>
  <si>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</si>
  <si>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Zárolt tartalék</t>
  </si>
  <si>
    <t>KÖLTSÉGVETÉSI KIADÁSOK ÖSSZESEN</t>
  </si>
  <si>
    <t>FINANSZÍROZÁSI KIADÁSOK ÖSSZESEN</t>
  </si>
  <si>
    <t>KIADÁSOK MINDÖSSZESEN</t>
  </si>
  <si>
    <t>Bevételek</t>
  </si>
  <si>
    <t>Működési támogatások</t>
  </si>
  <si>
    <t>Általános működés és ágazati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</si>
  <si>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</si>
  <si>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</si>
  <si>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</si>
  <si>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</si>
  <si>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Bevétel 2014. év</t>
  </si>
  <si>
    <t>Bevétel 2015. év</t>
  </si>
  <si>
    <t>km</t>
  </si>
  <si>
    <t>m2</t>
  </si>
  <si>
    <t>104 Ft/m2</t>
  </si>
  <si>
    <t>295 000 Ft/km</t>
  </si>
  <si>
    <t>Egyéb önkormányzati feladat támogatása (adóerő képesség 1 lakosra 37 255 Ft)</t>
  </si>
  <si>
    <t>I.1.d)</t>
  </si>
  <si>
    <t>Lakott külterülettel kapcsolatos feladatok támogatása</t>
  </si>
  <si>
    <t>2550 Ft/ külter.lakos</t>
  </si>
  <si>
    <t>I.1.e)</t>
  </si>
  <si>
    <t>1,55 Ft/ idegenfor.adóft</t>
  </si>
  <si>
    <t>Óvodapedagógusok bértámogatása pótlólagos összege 3 hónapra 2015/2016-ra</t>
  </si>
  <si>
    <t>Óvodaműk. támogatás 4 hónapra: gyermekek nevelése a napi 8 órát eléri</t>
  </si>
  <si>
    <t>II.5.</t>
  </si>
  <si>
    <t>Kiegészítő támogatás az óvodapedagógusok minősítéséből adódó többletkiadásokhoz</t>
  </si>
  <si>
    <t>Alapfokú végzettségű Ped. II. kategóriába sorolt</t>
  </si>
  <si>
    <t>352 000 Ft/fő/11hó</t>
  </si>
  <si>
    <t>Alapfokú végzettségű Mesterped. Kategóriába sorolt</t>
  </si>
  <si>
    <t>Ft/fő</t>
  </si>
  <si>
    <t>1 286 000 Ft/fő/11hó</t>
  </si>
  <si>
    <t>Mesterfokú végzettségű Ped. II. kategóriába sorolt</t>
  </si>
  <si>
    <t>386 000 Ft/fő/11hó</t>
  </si>
  <si>
    <t>Mesterfokú végzettségű Mesterped. Kategóriába sorolt</t>
  </si>
  <si>
    <t>1 415 000 Ft/fő/11hó</t>
  </si>
  <si>
    <t>Pénzbeli szociális ellátások kiegészítése</t>
  </si>
  <si>
    <t>lakos/fő</t>
  </si>
  <si>
    <t>III.3.ad)</t>
  </si>
  <si>
    <t>Szociális étkeztetés - társulási kiegészítéssel (55 360 Ft fajlagos összeg 110 %-a)</t>
  </si>
  <si>
    <t xml:space="preserve">Bölcsődei ellátás - nem fogyatékos, nem hátrányos helyzetű gyermek </t>
  </si>
  <si>
    <t xml:space="preserve">Finanszírozás szempontjából elismert dolgozók bértámogatása </t>
  </si>
  <si>
    <t>Táblázat alatt Megjegyzésben magyarázat</t>
  </si>
  <si>
    <t>0,55 %</t>
  </si>
  <si>
    <t>Differenciálás: Támogatás csökkentés 100 % lenne, az adóerő-képesség miatt, de közös hivatal székhelye miatt 10 %-kal csökkenthető, ezért 90 % a támogatás csökkentés.</t>
  </si>
  <si>
    <t>10 % csökk.</t>
  </si>
  <si>
    <t>90 %</t>
  </si>
  <si>
    <t xml:space="preserve">általános működési és ágazati feladatainak támogatásáról </t>
  </si>
  <si>
    <t>Önkormányzati ingatlanon végzett fejlesztések</t>
  </si>
  <si>
    <t>Fényes-fürdő területén fejlesztések végrehajtása (üzemeltetési szerződés alapján)</t>
  </si>
  <si>
    <t>Épület építési beruházások támogatása</t>
  </si>
  <si>
    <t>Építők parkja I. ütem</t>
  </si>
  <si>
    <t>Kormányengedéllyel rendelkező feladatok</t>
  </si>
  <si>
    <t>Kormányengedély módosítást igénylő feladatok</t>
  </si>
  <si>
    <t>Összes hitelfelvétel: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</si>
  <si>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</si>
  <si>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</si>
  <si>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</si>
  <si>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</si>
  <si>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</si>
  <si>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</si>
  <si>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Gépjárműadó</t>
  </si>
  <si>
    <t xml:space="preserve"> - Talajterhelési díj</t>
  </si>
  <si>
    <t>Működési bevételek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</si>
  <si>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</si>
  <si>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</si>
  <si>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</si>
  <si>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</si>
  <si>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</si>
  <si>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Felhalmozási célú átvett pénzeszközök</t>
  </si>
  <si>
    <t>KÖLTSÉGVETÉSI BEVÉTELEK ÖSSZESEN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</si>
  <si>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</si>
  <si>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</si>
  <si>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</si>
  <si>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</si>
  <si>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</si>
  <si>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</si>
  <si>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</si>
  <si>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</si>
  <si>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</si>
  <si>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</si>
  <si>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</si>
  <si>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</si>
  <si>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</si>
  <si>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</si>
  <si>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</si>
  <si>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</si>
  <si>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</si>
  <si>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</si>
  <si>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</si>
  <si>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</si>
  <si>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</si>
  <si>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</si>
  <si>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</si>
  <si>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</si>
  <si>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</si>
  <si>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</si>
  <si>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</si>
  <si>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</si>
  <si>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</si>
  <si>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Aktív korúak rendszeres szociális segélye</t>
  </si>
  <si>
    <t>Működési tartalékok</t>
  </si>
  <si>
    <t>Általános tartalék</t>
  </si>
  <si>
    <t>Működési tartalék</t>
  </si>
  <si>
    <t>Működési céltartalék</t>
  </si>
  <si>
    <t xml:space="preserve">Felhalmozási tartalékok </t>
  </si>
  <si>
    <t>Hitel</t>
  </si>
  <si>
    <t>Hitel (megkötött szerződés alapján)</t>
  </si>
  <si>
    <t>Megkötött szerződés alapján</t>
  </si>
  <si>
    <t>Vaszary János Általános Iskola - elektromos hálózat átalakítása a megnövekedett igényeknek megfelelő hálózatbővítéssel, fogyasztási mérők összevonásával, játszótér kialakítása</t>
  </si>
  <si>
    <t>460/135 hrsz-ú ingatlan megvásárlása (509/2013. (X.31) Tata Kt. határozat</t>
  </si>
  <si>
    <t>Tatai Barokk Fesztivál és Nemzetközi Zenei Mesterkurzus támogatása</t>
  </si>
  <si>
    <t>Hitel felhalmozási célok szerinti bontásban (E Ft-ban)</t>
  </si>
  <si>
    <t>Felhalmozási célú támogatások és átvett pénzeszközök összesen:</t>
  </si>
  <si>
    <t>Tópart sétány közvilágítás (Casablanca- Ökoturisztikai Központ - Pötörke malom) kivitelezés</t>
  </si>
  <si>
    <t>* a 250 M Ft-os hitelkeretre a hitellehívás 2014-ben az Angolpark rehabilitációja és az Öreg-tavi Ökoturisztikai Központ kialakítása a csatlakozó kerékpárutak felújításával Tatán és a tematikus aktív turisztikai fejlesztések a kistérségben projektekre önerőből megelőlegezett számlákra megtörtént. A hitel átutalására 2014. és 2015. évben került sor, a 2015. januárban utalt 59.262 E Ft-ból 10.397 E Ft az idei évben más feladatra fordítható.</t>
  </si>
  <si>
    <t>Mód. (V.27.)</t>
  </si>
  <si>
    <t>Lehívható központi támogatás Mód. (V.27.)</t>
  </si>
  <si>
    <r>
      <t>Előirányzat</t>
    </r>
    <r>
      <rPr>
        <b/>
        <sz val="12"/>
        <rFont val="Times New Roman CE"/>
        <family val="1"/>
      </rPr>
      <t xml:space="preserve">           </t>
    </r>
    <r>
      <rPr>
        <b/>
        <sz val="16"/>
        <color indexed="10"/>
        <rFont val="Times New Roman CE"/>
        <family val="1"/>
      </rPr>
      <t>Ft-ban</t>
    </r>
  </si>
  <si>
    <t>Eredeti Előirányzat      E Ft-ban</t>
  </si>
  <si>
    <r>
      <t xml:space="preserve">Módosított Előirányzat </t>
    </r>
    <r>
      <rPr>
        <sz val="10"/>
        <rFont val="Times New Roman CE"/>
        <family val="0"/>
      </rPr>
      <t xml:space="preserve">2015. május     </t>
    </r>
    <r>
      <rPr>
        <sz val="12"/>
        <rFont val="Times New Roman CE"/>
        <family val="1"/>
      </rPr>
      <t xml:space="preserve"> E Ft-ban</t>
    </r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</si>
  <si>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0"/>
        <rFont val="Times New Roman CE"/>
        <family val="1"/>
      </rPr>
      <t>0-17 éves korcsoportos lakosokra</t>
    </r>
  </si>
  <si>
    <t>III.6.</t>
  </si>
  <si>
    <t>Szociális ágazati pótlék</t>
  </si>
  <si>
    <t>igénylés szerint</t>
  </si>
  <si>
    <r>
      <t xml:space="preserve">Önkormányzat elvárt bevétele: </t>
    </r>
    <r>
      <rPr>
        <b/>
        <sz val="12"/>
        <rFont val="Times New Roman CE"/>
        <family val="1"/>
      </rPr>
      <t xml:space="preserve">2013. évi </t>
    </r>
    <r>
      <rPr>
        <sz val="12"/>
        <rFont val="Times New Roman CE"/>
        <family val="1"/>
      </rPr>
      <t>iparűzési adóalap 0,55 %-a</t>
    </r>
  </si>
  <si>
    <r>
      <t xml:space="preserve">Támogatás csökkentés a következő </t>
    </r>
    <r>
      <rPr>
        <b/>
        <sz val="12"/>
        <rFont val="Times New Roman CE"/>
        <family val="1"/>
      </rPr>
      <t>sorrend szerint</t>
    </r>
    <r>
      <rPr>
        <sz val="12"/>
        <rFont val="Times New Roman CE"/>
        <family val="1"/>
      </rPr>
      <t xml:space="preserve"> I.1.c), I.1.d), I.1.e), I.1.ba),  I.1.bb),  I.1.bc),  I.1.bd),  I.1.a) támogatás összegéig terheli az önkormányzatot.</t>
    </r>
  </si>
  <si>
    <t>Adósságkezelési szolgáltatással kapcsolatos lakásfenntartási támogatás</t>
  </si>
  <si>
    <t>Rendszeres gyermekvédelmi támogatás (Erzsébet utalvány)</t>
  </si>
  <si>
    <t>Májusi módosítások</t>
  </si>
  <si>
    <t>Tatai 456/7, 456/8, 456/9 hrsz.-ú ingatlanok villamos energia ellátásához 5/2015. (I.29.) Tata Kt. határozat</t>
  </si>
  <si>
    <t>A tatai 2900 hrsz.-ú ingatlanból 86 m2 nagyságú terület vételára 112/2015. (III.26.) Tata Kt. határozat</t>
  </si>
  <si>
    <t>A tatai 2902/1 hrsz.-ú ingatlanból 187 m2 nagyságú terület vételára 112/2015. (III.26.) Tata Kt. határozat</t>
  </si>
  <si>
    <t>Emlékkereszt felállítása a Mindszenty tér északi sarkán 178/2015. (IV.30.) Tata Kt. határozat</t>
  </si>
  <si>
    <t>Diófa utcában lévő csapadékcsatorna szelvényében lévő beton befolyás eltávolítása</t>
  </si>
  <si>
    <t>Testvérvárosok parkjában lévő szobor díszvilágítása</t>
  </si>
  <si>
    <t>Magnum Hungaria Beta Kft-től térítésmentesen átvett 314 m2 nagyságú ingatlannal kapcsolatos Áfa</t>
  </si>
  <si>
    <t>Tatai Egészségügyi Alapellátó Intézmény - EKG gép, defibrillátor töltő, fóliázó gép, ügyeleti személygépkocsi, új autóra téli gumi</t>
  </si>
  <si>
    <t>Tatai Bartók Béla utcai Óvoda - tárgyi eszköz vásárlás</t>
  </si>
  <si>
    <t>Vaszary János Általános Iskola - tárgyi eszköz vásárlás</t>
  </si>
  <si>
    <t>Intézmények Gazdasági Hivatal - tárgyi eszköz vásárlás</t>
  </si>
  <si>
    <t>Kuny Domokos Múzeum - Immateriális javak, informatikai eszközök és egyéb tárgyi eszközök beszerzése</t>
  </si>
  <si>
    <t>Fényes-fürdőn napközis tábor kialakítása 109/2015. (III.26.) Tata Kt. határozat</t>
  </si>
  <si>
    <t>Fényes-fürdő területén található gyermekmedence felújítási munkálatai 153/2015. (IV.30.) Tata Kt. határozat</t>
  </si>
  <si>
    <t>Tatai Kistérségi Időskorúak Otthona intézmény fejlesztése a „Szociális szakosított ellátást és a gyermekek átmeneti gondozását szolgáló önkormányzati intézmények fejlesztése, felújítása támogatására” elnevezésű pályázatban, önerő 168/2015. (IV.30.) Tata Kt. határozat</t>
  </si>
  <si>
    <t>Általános működési és ágazati feladatok támogatása</t>
  </si>
  <si>
    <t>Magyar Ökomenikus Segélyszervezet Kárpátaljai magyar gyermekek étkeztetésének támogatása</t>
  </si>
  <si>
    <t>Eredeti
250.000 E Ft
6,1 % kamat</t>
  </si>
  <si>
    <t>Mód. (V.27.)
250.000 E Ft
6,1 % kamat</t>
  </si>
  <si>
    <t>Eredeti
650.000 E Ft
3,49 % kamat</t>
  </si>
  <si>
    <t>Mód. (V.27.)
650.000 E Ft
3,49 % kamat</t>
  </si>
  <si>
    <t xml:space="preserve">Eredeti
összesen
</t>
  </si>
  <si>
    <t xml:space="preserve">Mód. (V.27.)
összesen
</t>
  </si>
  <si>
    <t>Eredeti
Összeg</t>
  </si>
  <si>
    <t>Mód. (V.27.)
Összeg</t>
  </si>
  <si>
    <t xml:space="preserve">Felhalmozási támogatás </t>
  </si>
  <si>
    <t>Központosított támogatás</t>
  </si>
  <si>
    <t>Tata Város Önkormányzata</t>
  </si>
  <si>
    <t>Tatai Közös Önkormányzati Hivatal tatai székhely</t>
  </si>
  <si>
    <t>Járulék</t>
  </si>
  <si>
    <t>Intézmények Gazdasági Hivatala és a hozzá tartozó intézmények</t>
  </si>
  <si>
    <t>Működési célú támogatások államháztartáson belülről</t>
  </si>
  <si>
    <t>Felhalmozási célú támogatások államháztartáson belülről</t>
  </si>
  <si>
    <t>Betétlekötésből fizetési számlára visszaérkező pénzösszeg</t>
  </si>
  <si>
    <t>Kőkuti Sasok Diák Sportegyesület támogatása</t>
  </si>
  <si>
    <t>Lakossági közműfejlesztési támogatás</t>
  </si>
  <si>
    <t>Felhalmozási célú támogatás államháztartáson kívülre visszatérítendő</t>
  </si>
  <si>
    <t>Magyar Közút Nonprofit Zrt. Támogatása</t>
  </si>
  <si>
    <t>Tatai Német Nemzetiségi Önkormányzat - Testvérvárosok Üvegkönyvéhez támogatás</t>
  </si>
  <si>
    <t xml:space="preserve">Értékvédelmi feladatok támogatása </t>
  </si>
  <si>
    <t>Önkormányzati választásokhoz támogatás</t>
  </si>
  <si>
    <t>Rendszeres gyermekvédelmi támogatáshoz Erzsébet utalvány</t>
  </si>
  <si>
    <t>Működési célú visszatérítendő támogatások, kölcsönök visszatérülése államháztartáson belülről</t>
  </si>
  <si>
    <t>Működési célú támogatások államháztartások belülről (vissza nem térítendő, és visszatérítendő)</t>
  </si>
  <si>
    <t>Tatai Német Nemzetiségi Önkormányzat kölcsön visszatérülése</t>
  </si>
  <si>
    <t>Felhalmozási célú támogatások államháztartáson belülről (vissza nem térítendő és visszatérítendő)</t>
  </si>
  <si>
    <t>Magyar Közút Nonprofit Zrt. Kölcsön visszafizetése</t>
  </si>
  <si>
    <t>Betétlekötés céljából átvezetés fizetési számláról</t>
  </si>
  <si>
    <t>Működési célú támogatások államháztartáson kívülről (vissza nem térítendő)</t>
  </si>
  <si>
    <t>Működési célú átvett pénzeszköz államháztartások kívülről (vissza nem térítendő, és visszatérítendő)</t>
  </si>
  <si>
    <t>Felhalmozási célú átvett pénzeszközök államháztartáson kívülről (vissza nem térítendő és visszatérítendő)</t>
  </si>
  <si>
    <t>Működési célú átvett pénzeszközök (államháztartáson kívülről)</t>
  </si>
  <si>
    <t>Felhalmozási célú átvett pénzeszközök (államháztartáson kívülről)</t>
  </si>
  <si>
    <t>Felhalmozási támogatások</t>
  </si>
  <si>
    <t>Betétlekötlekötésből fizetési számlára visszaérkező összeg</t>
  </si>
  <si>
    <t>104051</t>
  </si>
  <si>
    <t>Rendszeres gyermekvédelmi támogatás</t>
  </si>
  <si>
    <t>Betét lekötés</t>
  </si>
  <si>
    <t>Hitel-és kölcsöntörlesztés</t>
  </si>
  <si>
    <t>Állami támogatás megelőlegezési hitel</t>
  </si>
  <si>
    <t>Hitel-és kölcsöntörlesztés megkötött szerződés alapján</t>
  </si>
  <si>
    <t>Hitel és kölcsön törlesztés</t>
  </si>
  <si>
    <t>Hitel- és kölcsöntörlesztés</t>
  </si>
  <si>
    <t>Betétlekötésből fizetési számláról visszaérkező összeg</t>
  </si>
  <si>
    <t>Móricz Zsigmond városi könyvtár eszközbeszerzése</t>
  </si>
  <si>
    <t>Mód. (IX.30.)</t>
  </si>
  <si>
    <t>Lehívható központi támogatás Mód. (IX.30.)</t>
  </si>
  <si>
    <t>Mód. (IX.30.)
250.000 E Ft
6,1 % kamat</t>
  </si>
  <si>
    <t>Mód. (IX.30.)
650.000 E Ft
3,49 % kamat</t>
  </si>
  <si>
    <t xml:space="preserve">Mód. (IX.30.)
összesen
</t>
  </si>
  <si>
    <t>Mód. (IX.30.)
Összeg</t>
  </si>
  <si>
    <r>
      <t xml:space="preserve">Módosított Előirányzat </t>
    </r>
    <r>
      <rPr>
        <sz val="10"/>
        <rFont val="Times New Roman CE"/>
        <family val="0"/>
      </rPr>
      <t xml:space="preserve">2015. szeptember     </t>
    </r>
    <r>
      <rPr>
        <sz val="12"/>
        <rFont val="Times New Roman CE"/>
        <family val="1"/>
      </rPr>
      <t xml:space="preserve"> E Ft-ban</t>
    </r>
  </si>
  <si>
    <t>Pro Minoritate Alapítványnak</t>
  </si>
  <si>
    <t>Boldogasszony Iskolanővéreknek</t>
  </si>
  <si>
    <t>Komárom-Esztergom Megyei Diáksport és Szabadidő Egyesületnek</t>
  </si>
  <si>
    <t>Tatai Városkapu Zrt. Támogatása</t>
  </si>
  <si>
    <t>Tata és Környéke Turisztikai Egyesület támogatása</t>
  </si>
  <si>
    <t>Működési célú vissza nem térítendő támogatás államháztartáson belülre</t>
  </si>
  <si>
    <t>Kuny Domokos Múzeumnak</t>
  </si>
  <si>
    <t>Kossuth tér városközpont értékmegőrző rehabilitációja KDOP–3.1.1/A–09-2f-2011-0001</t>
  </si>
  <si>
    <t>Kossuth tér városközpont értékmegőrző rehabilitációja KDOP–3.1.1/A–09-2f-2011-0001 önerő támogatás</t>
  </si>
  <si>
    <t>Háztartásoktól átvett pénzeszköz</t>
  </si>
  <si>
    <t>A Tatabánya-Vértesszőlős-Tata településeket összekötő közlekedési célú kerékpárút építése az Általér mentén KÖZOP-3.2.0/c-08-2010-0003</t>
  </si>
  <si>
    <t>Útfejlesztési hozzájárulás</t>
  </si>
  <si>
    <t>Tata és Környéke Turisztikai Egyesület kölcsön visszafizetése</t>
  </si>
  <si>
    <t>Nemzeti Rehabilitációs és Szociális Hivataltól TÁMOP 1.1.1. Projekt</t>
  </si>
  <si>
    <t>Likvidhitel törlesztés</t>
  </si>
  <si>
    <t>Pótlólagos állami támogatás 2014. évi elszámolás alapján</t>
  </si>
  <si>
    <t>Vis maior támogatás</t>
  </si>
  <si>
    <t>Részesedés értékesítése</t>
  </si>
  <si>
    <t>Jármű értékesítése</t>
  </si>
  <si>
    <t>Likvidihitel felvétel</t>
  </si>
  <si>
    <t>Építés hatósági ügyek</t>
  </si>
  <si>
    <t>Szept-i mód.</t>
  </si>
  <si>
    <t>Tata, Kossuth tér városközpont értékmegőrző rehabilitációja KDOP-3.1.1/A-09-2f-2011-0001</t>
  </si>
  <si>
    <t>„A gyermekétkeztetés feltételeit javító fejlesztések támogatására” elnevezésű pályázat önerő 230/2015. (V.28.) Tata Kt. határozat</t>
  </si>
  <si>
    <t>Kertvárosi Sport és Szabadidőközpont kialakítása - Önkormányzati feladatellátást szolgáló fejlesztések támogatása” elnevezésű pályázat önerő 262/2015. (VI.25.) Tata Kt. Határozat</t>
  </si>
  <si>
    <t>Bercsényi u. 7. szám alatti ingatlanból 945/1095 tuljadoni hányad megvásárlása 2015. évi részlet 331/2015. (VIII.24.) Tata Kt. határozat</t>
  </si>
  <si>
    <t>Riasztórendszer a Kiskastélyba</t>
  </si>
  <si>
    <t>Közfoglalkoztatáshoz eszközök</t>
  </si>
  <si>
    <t>8 db tábla a 2014. évi Holokauszt megemlékezésre - áthúzódó számla</t>
  </si>
  <si>
    <t>Felfújható kapu a Minimarathonra</t>
  </si>
  <si>
    <t>Ökoturisztikai tanösvényre szelektív hulladékgyűjtők</t>
  </si>
  <si>
    <t>Komáromi u. - Kőkút köz - Május 1. út vízvezeték kiváltásának kiviteli terve</t>
  </si>
  <si>
    <t>Sport utcai fejlesztéshez kapcsolódó vízvezeték kiváltásának kiviteli terve</t>
  </si>
  <si>
    <t>Fényes-fürdőre eszköz vásárlások 2014-ről áthúzódó</t>
  </si>
  <si>
    <t>Helyőrségi klub eszközeinek vételára</t>
  </si>
  <si>
    <t>Piac téri kiszolgáló út megvalósítása érdekében épület bontás</t>
  </si>
  <si>
    <t>Kövilágítás kiépítése a Naplókert utcában</t>
  </si>
  <si>
    <t>Parkoló építés (parkoló építési hozzájárulásból)</t>
  </si>
  <si>
    <t>Személygépkocsi beszerzés a Tatai Kistérségi Társulástól</t>
  </si>
  <si>
    <t>Tatai Geszti Óvoda Agostyáni Tagintézménye - eszközvásárlás</t>
  </si>
  <si>
    <t>Vaszary János Általános Iskola Jázmin utcai Tagintézménye - tárgyi eszköz vásárlás</t>
  </si>
  <si>
    <t>Kőkút utcai Általános Iskola - tárgyi eszköz vásárlás</t>
  </si>
  <si>
    <t>Kőkút utcai Általános Iskola Fazekas utcai Tagintézménye - tárgyi eszköz vásárlás</t>
  </si>
  <si>
    <t>Kálvária u. 5. szám alatti ingatlan felújítása 229/2015. (V.28.) Tata Kt. határozat</t>
  </si>
  <si>
    <t>Klímaberendezés vásárlása a hivatal épületébe</t>
  </si>
  <si>
    <t>Kőkúti Általános Iskola Fazekas utcai Tagintézménye - Alsó szint járólapozása, bejárati lépcső burkolat cseréje, sátor villanyszerelés</t>
  </si>
  <si>
    <t>Kossuth tér városközpont értékmegőrző rehabilitációja KDOP-3.1.1/A-09-2f-2011-0001</t>
  </si>
  <si>
    <t>Intézmények Gazdasági Hivatalához tartozó önállóan működő intézmények 2015. évi költségvetése</t>
  </si>
  <si>
    <t>Intézmények Gazdasági Hivatalához tartozó  önállóan működő intézmények 2015. évi költségvetése</t>
  </si>
  <si>
    <t>Költségvetési alcím megnevezése</t>
  </si>
  <si>
    <t>Feladat jellege</t>
  </si>
  <si>
    <t>Felhalmozási bevétel</t>
  </si>
  <si>
    <t>Saját bevételek</t>
  </si>
  <si>
    <t>Bevételek mindösszesen</t>
  </si>
  <si>
    <t>Szolgáltatások bevétele</t>
  </si>
  <si>
    <t>támogatás értékű működési célra</t>
  </si>
  <si>
    <t>átvett felhalmozási célra</t>
  </si>
  <si>
    <t>támogatásértékű felhalmozási célra</t>
  </si>
  <si>
    <t>pénzforalom nélküli</t>
  </si>
  <si>
    <t>Finanszírozás</t>
  </si>
  <si>
    <t>Dologiból ellátottakra vonatkozó élelmiszer beszerzés és vásárolt élelmezés</t>
  </si>
  <si>
    <t>Pénzbeli juttatás</t>
  </si>
  <si>
    <t>Pénzmaradvány átadás</t>
  </si>
  <si>
    <t>össz</t>
  </si>
  <si>
    <t>Fürdő utcai Óvoda</t>
  </si>
  <si>
    <t>V. hó mód.</t>
  </si>
  <si>
    <t xml:space="preserve">V. hó </t>
  </si>
  <si>
    <t>IX. hó</t>
  </si>
  <si>
    <t>Geszti Óvoda</t>
  </si>
  <si>
    <t>Tatai Geszti Óvoda Agostyáni Tagintézménye</t>
  </si>
  <si>
    <t>Bartók B. utcai Óvoda</t>
  </si>
  <si>
    <t>Kertvárosi Óvoda</t>
  </si>
  <si>
    <t>Kincseskert Óvoda</t>
  </si>
  <si>
    <t>Szivárvány Tagintézménye</t>
  </si>
  <si>
    <t>Bölcsöde</t>
  </si>
  <si>
    <t>Vaszary J. Általános Iskola</t>
  </si>
  <si>
    <t>Vaszary - Logopédiai Intézet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</si>
  <si>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</si>
  <si>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</si>
  <si>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</si>
  <si>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</si>
  <si>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</si>
  <si>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</si>
  <si>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>Diákotthon</t>
  </si>
  <si>
    <t>Bláthy</t>
  </si>
  <si>
    <t>Intézmények Gazdasági Hivatala</t>
  </si>
  <si>
    <t>Önként vállalt feladat</t>
  </si>
  <si>
    <t>Iskolák és IGH összesen</t>
  </si>
  <si>
    <t>Könyvtár</t>
  </si>
  <si>
    <t>Egészségügyi Alapellátó Intézmény</t>
  </si>
  <si>
    <t>Kvi. alcímek és szakf. Összesen:</t>
  </si>
  <si>
    <t>mindösszesen</t>
  </si>
  <si>
    <t>IGH feladatkörébe tartozó kötelező feladatok</t>
  </si>
  <si>
    <t>IGH feladatkörébe tartozó önként vállalt  feladatok</t>
  </si>
  <si>
    <t>eltérés</t>
  </si>
  <si>
    <t>pénzmaradvány átvét</t>
  </si>
  <si>
    <t>Tűz- és katasztrófavédelmi tevékenységek</t>
  </si>
  <si>
    <t>Érdekképviseleti, szakszervezeti tevékenységek támogatása</t>
  </si>
  <si>
    <t>Önkormányzat ifjúsági kezdeményezések és programok</t>
  </si>
  <si>
    <t>Fejlesztési célú hitel kiváltása</t>
  </si>
  <si>
    <t>Átvett működési célra</t>
  </si>
  <si>
    <t xml:space="preserve"> - Felhalmozási tartalék, melyből 27 075 E Ft felhasználása a bevétel beérkezéséhez kötött</t>
  </si>
  <si>
    <t>Játszóterek felújítása, bekerítése és bővítése új eszközökkel, homokozók kialakítása, 5×18 lakás térvilágítás, Építők parkja kerítés építés,burkolatok, köztéri berendezések, ping pong asztal, parkosítás,focipálya kialakítása, Lovardai játszótér felújítása, Bacsó B ltp, Levendula ltp.-i ivó kutak létesítése, Agostyán játszóvár összeszerelése, minősítése)</t>
  </si>
  <si>
    <t>Várudvari villamos hálózat felújítása ( erőátviteli, dísz-és közvilágítás)</t>
  </si>
  <si>
    <t>Kastély téri támfal felújítása</t>
  </si>
  <si>
    <t>- Magyary Zoltán Népfőiskolai Társaság</t>
  </si>
  <si>
    <t>- Talentum Iskola artista csoportjának támogatása</t>
  </si>
  <si>
    <t>- Mozgáskorlátozottak Komárom-Esztergom Megyei Egyesületének</t>
  </si>
  <si>
    <t>- Komárom-Esztergom Megyei Diáksport és Szabadidő Egyesületnek</t>
  </si>
  <si>
    <t>- Camelot Kutyás Egyesületnek</t>
  </si>
  <si>
    <t>- Magyar Honvédség 25. Klapka Lövészdandárnak</t>
  </si>
  <si>
    <t>- Tatai és Térségbeli Lovaséletfejlesztő Szövetségnek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</si>
</sst>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b/>
      <i/>
      <sz val="10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sz val="10"/>
      <name val="MS Sans Serif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1"/>
      <name val="Times New Roman"/>
      <family val="1"/>
    </font>
    <font>
      <b/>
      <u val="single"/>
      <sz val="11"/>
      <name val="Times New Roman CE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b/>
      <sz val="8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 CE"/>
      <family val="0"/>
    </font>
    <font>
      <b/>
      <sz val="12"/>
      <name val="Arial CE"/>
      <family val="2"/>
    </font>
    <font>
      <b/>
      <sz val="16"/>
      <color indexed="10"/>
      <name val="Times New Roman CE"/>
      <family val="1"/>
    </font>
    <font>
      <b/>
      <u val="single"/>
      <sz val="10"/>
      <name val="Times New Roman CE"/>
      <family val="0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40" borderId="1" applyNumberFormat="0" applyAlignment="0" applyProtection="0"/>
    <xf numFmtId="0" fontId="6" fillId="4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42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3" borderId="10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13" fillId="6" borderId="0" applyNumberFormat="0" applyBorder="0" applyAlignment="0" applyProtection="0"/>
    <xf numFmtId="0" fontId="16" fillId="48" borderId="11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50" borderId="10" applyNumberFormat="0" applyAlignment="0" applyProtection="0"/>
    <xf numFmtId="0" fontId="16" fillId="40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1" borderId="0" applyNumberFormat="0" applyBorder="0" applyAlignment="0" applyProtection="0"/>
    <xf numFmtId="0" fontId="5" fillId="48" borderId="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21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16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vertical="top" wrapText="1"/>
    </xf>
    <xf numFmtId="3" fontId="22" fillId="0" borderId="16" xfId="0" applyNumberFormat="1" applyFont="1" applyBorder="1" applyAlignment="1">
      <alignment horizontal="right"/>
    </xf>
    <xf numFmtId="0" fontId="20" fillId="0" borderId="15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15" xfId="0" applyFont="1" applyBorder="1" applyAlignment="1">
      <alignment vertical="top" wrapText="1"/>
    </xf>
    <xf numFmtId="3" fontId="24" fillId="0" borderId="16" xfId="0" applyNumberFormat="1" applyFont="1" applyBorder="1" applyAlignment="1">
      <alignment horizontal="right"/>
    </xf>
    <xf numFmtId="0" fontId="20" fillId="0" borderId="17" xfId="0" applyFont="1" applyBorder="1" applyAlignment="1">
      <alignment vertical="top" wrapText="1"/>
    </xf>
    <xf numFmtId="3" fontId="20" fillId="0" borderId="18" xfId="0" applyNumberFormat="1" applyFont="1" applyBorder="1" applyAlignment="1">
      <alignment horizontal="right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100">
      <alignment/>
      <protection/>
    </xf>
    <xf numFmtId="3" fontId="25" fillId="0" borderId="0" xfId="100" applyNumberFormat="1">
      <alignment/>
      <protection/>
    </xf>
    <xf numFmtId="0" fontId="27" fillId="0" borderId="0" xfId="100" applyFont="1">
      <alignment/>
      <protection/>
    </xf>
    <xf numFmtId="0" fontId="28" fillId="0" borderId="15" xfId="100" applyFont="1" applyBorder="1" applyAlignment="1">
      <alignment wrapText="1"/>
      <protection/>
    </xf>
    <xf numFmtId="0" fontId="25" fillId="0" borderId="0" xfId="100" applyFont="1">
      <alignment/>
      <protection/>
    </xf>
    <xf numFmtId="0" fontId="28" fillId="0" borderId="0" xfId="100" applyFont="1" applyBorder="1">
      <alignment/>
      <protection/>
    </xf>
    <xf numFmtId="0" fontId="27" fillId="0" borderId="0" xfId="100" applyFont="1">
      <alignment/>
      <protection/>
    </xf>
    <xf numFmtId="0" fontId="30" fillId="0" borderId="15" xfId="100" applyFont="1" applyBorder="1" applyAlignment="1">
      <alignment wrapText="1"/>
      <protection/>
    </xf>
    <xf numFmtId="3" fontId="25" fillId="0" borderId="0" xfId="100" applyNumberFormat="1" applyBorder="1">
      <alignment/>
      <protection/>
    </xf>
    <xf numFmtId="3" fontId="27" fillId="0" borderId="0" xfId="100" applyNumberFormat="1" applyFont="1">
      <alignment/>
      <protection/>
    </xf>
    <xf numFmtId="0" fontId="25" fillId="0" borderId="0" xfId="100" applyAlignment="1">
      <alignment wrapText="1"/>
      <protection/>
    </xf>
    <xf numFmtId="0" fontId="30" fillId="0" borderId="13" xfId="100" applyFont="1" applyBorder="1" applyAlignment="1">
      <alignment wrapText="1"/>
      <protection/>
    </xf>
    <xf numFmtId="3" fontId="25" fillId="0" borderId="0" xfId="100" applyNumberFormat="1" applyAlignment="1">
      <alignment horizontal="left" wrapText="1"/>
      <protection/>
    </xf>
    <xf numFmtId="0" fontId="30" fillId="0" borderId="0" xfId="100" applyFont="1" applyBorder="1" applyAlignment="1">
      <alignment wrapText="1"/>
      <protection/>
    </xf>
    <xf numFmtId="0" fontId="34" fillId="0" borderId="15" xfId="100" applyFont="1" applyBorder="1" applyAlignment="1">
      <alignment wrapText="1"/>
      <protection/>
    </xf>
    <xf numFmtId="3" fontId="33" fillId="0" borderId="0" xfId="100" applyNumberFormat="1" applyFont="1">
      <alignment/>
      <protection/>
    </xf>
    <xf numFmtId="0" fontId="33" fillId="0" borderId="0" xfId="100" applyFont="1">
      <alignment/>
      <protection/>
    </xf>
    <xf numFmtId="0" fontId="29" fillId="0" borderId="15" xfId="100" applyFont="1" applyBorder="1" applyAlignment="1">
      <alignment wrapText="1"/>
      <protection/>
    </xf>
    <xf numFmtId="3" fontId="26" fillId="0" borderId="0" xfId="100" applyNumberFormat="1" applyFont="1">
      <alignment/>
      <protection/>
    </xf>
    <xf numFmtId="0" fontId="26" fillId="0" borderId="0" xfId="100" applyFont="1">
      <alignment/>
      <protection/>
    </xf>
    <xf numFmtId="3" fontId="25" fillId="0" borderId="0" xfId="100" applyNumberFormat="1" applyFont="1">
      <alignment/>
      <protection/>
    </xf>
    <xf numFmtId="0" fontId="21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3" fontId="35" fillId="0" borderId="16" xfId="0" applyNumberFormat="1" applyFont="1" applyBorder="1" applyAlignment="1">
      <alignment horizontal="center" wrapText="1"/>
    </xf>
    <xf numFmtId="0" fontId="35" fillId="0" borderId="19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5" xfId="0" applyFont="1" applyBorder="1" applyAlignment="1">
      <alignment/>
    </xf>
    <xf numFmtId="3" fontId="35" fillId="0" borderId="16" xfId="0" applyNumberFormat="1" applyFont="1" applyBorder="1" applyAlignment="1">
      <alignment wrapText="1"/>
    </xf>
    <xf numFmtId="0" fontId="35" fillId="0" borderId="0" xfId="0" applyFont="1" applyAlignment="1">
      <alignment/>
    </xf>
    <xf numFmtId="0" fontId="35" fillId="0" borderId="15" xfId="0" applyFont="1" applyBorder="1" applyAlignment="1">
      <alignment wrapText="1"/>
    </xf>
    <xf numFmtId="37" fontId="35" fillId="0" borderId="16" xfId="0" applyNumberFormat="1" applyFont="1" applyBorder="1" applyAlignment="1">
      <alignment wrapText="1"/>
    </xf>
    <xf numFmtId="0" fontId="35" fillId="0" borderId="15" xfId="0" applyFont="1" applyBorder="1" applyAlignment="1">
      <alignment/>
    </xf>
    <xf numFmtId="0" fontId="21" fillId="0" borderId="15" xfId="0" applyFont="1" applyBorder="1" applyAlignment="1">
      <alignment horizontal="left" wrapText="1"/>
    </xf>
    <xf numFmtId="3" fontId="21" fillId="0" borderId="16" xfId="0" applyNumberFormat="1" applyFont="1" applyBorder="1" applyAlignment="1">
      <alignment wrapText="1"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 wrapText="1"/>
    </xf>
    <xf numFmtId="0" fontId="37" fillId="0" borderId="19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wrapText="1"/>
    </xf>
    <xf numFmtId="0" fontId="37" fillId="0" borderId="0" xfId="0" applyFont="1" applyAlignment="1">
      <alignment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0" xfId="0" applyFont="1" applyBorder="1" applyAlignment="1">
      <alignment/>
    </xf>
    <xf numFmtId="3" fontId="35" fillId="0" borderId="16" xfId="0" applyNumberFormat="1" applyFont="1" applyBorder="1" applyAlignment="1">
      <alignment wrapText="1"/>
    </xf>
    <xf numFmtId="0" fontId="35" fillId="0" borderId="0" xfId="0" applyFont="1" applyAlignment="1">
      <alignment/>
    </xf>
    <xf numFmtId="0" fontId="35" fillId="0" borderId="17" xfId="0" applyFont="1" applyBorder="1" applyAlignment="1">
      <alignment wrapText="1"/>
    </xf>
    <xf numFmtId="3" fontId="21" fillId="0" borderId="16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  <xf numFmtId="3" fontId="35" fillId="0" borderId="18" xfId="0" applyNumberFormat="1" applyFont="1" applyBorder="1" applyAlignment="1">
      <alignment/>
    </xf>
    <xf numFmtId="0" fontId="20" fillId="0" borderId="0" xfId="104" applyFont="1">
      <alignment/>
      <protection/>
    </xf>
    <xf numFmtId="0" fontId="41" fillId="0" borderId="0" xfId="104" applyFont="1">
      <alignment/>
      <protection/>
    </xf>
    <xf numFmtId="0" fontId="22" fillId="0" borderId="0" xfId="104" applyFont="1">
      <alignment/>
      <protection/>
    </xf>
    <xf numFmtId="0" fontId="41" fillId="0" borderId="24" xfId="104" applyFont="1" applyBorder="1" applyAlignment="1">
      <alignment wrapText="1"/>
      <protection/>
    </xf>
    <xf numFmtId="0" fontId="22" fillId="0" borderId="0" xfId="104" applyFont="1" applyBorder="1">
      <alignment/>
      <protection/>
    </xf>
    <xf numFmtId="0" fontId="41" fillId="0" borderId="0" xfId="109" applyFont="1">
      <alignment/>
      <protection/>
    </xf>
    <xf numFmtId="0" fontId="41" fillId="0" borderId="0" xfId="104" applyFont="1" applyBorder="1">
      <alignment/>
      <protection/>
    </xf>
    <xf numFmtId="3" fontId="40" fillId="0" borderId="0" xfId="104" applyNumberFormat="1" applyFont="1" applyBorder="1">
      <alignment/>
      <protection/>
    </xf>
    <xf numFmtId="3" fontId="44" fillId="0" borderId="0" xfId="104" applyNumberFormat="1" applyFont="1" applyAlignment="1">
      <alignment/>
      <protection/>
    </xf>
    <xf numFmtId="3" fontId="44" fillId="0" borderId="0" xfId="104" applyNumberFormat="1" applyFont="1">
      <alignment/>
      <protection/>
    </xf>
    <xf numFmtId="0" fontId="30" fillId="0" borderId="0" xfId="99" applyFont="1" applyAlignment="1">
      <alignment horizontal="center"/>
      <protection/>
    </xf>
    <xf numFmtId="0" fontId="32" fillId="0" borderId="0" xfId="99" applyFont="1" applyAlignment="1">
      <alignment horizontal="center"/>
      <protection/>
    </xf>
    <xf numFmtId="0" fontId="28" fillId="0" borderId="0" xfId="99" applyFont="1" applyAlignment="1">
      <alignment/>
      <protection/>
    </xf>
    <xf numFmtId="0" fontId="28" fillId="0" borderId="0" xfId="99" applyFont="1">
      <alignment/>
      <protection/>
    </xf>
    <xf numFmtId="3" fontId="22" fillId="0" borderId="0" xfId="0" applyNumberFormat="1" applyFont="1" applyAlignment="1">
      <alignment/>
    </xf>
    <xf numFmtId="0" fontId="2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8" fillId="0" borderId="25" xfId="0" applyFont="1" applyBorder="1" applyAlignment="1">
      <alignment horizontal="justify" vertical="top" wrapText="1"/>
    </xf>
    <xf numFmtId="0" fontId="28" fillId="0" borderId="15" xfId="0" applyFont="1" applyBorder="1" applyAlignment="1">
      <alignment horizontal="justify" vertical="top" wrapText="1"/>
    </xf>
    <xf numFmtId="0" fontId="49" fillId="0" borderId="0" xfId="0" applyFont="1" applyAlignment="1">
      <alignment horizontal="justify"/>
    </xf>
    <xf numFmtId="165" fontId="28" fillId="0" borderId="0" xfId="0" applyNumberFormat="1" applyFont="1" applyAlignment="1">
      <alignment/>
    </xf>
    <xf numFmtId="0" fontId="31" fillId="0" borderId="0" xfId="0" applyFont="1" applyAlignment="1">
      <alignment horizontal="justify"/>
    </xf>
    <xf numFmtId="0" fontId="30" fillId="0" borderId="0" xfId="0" applyFont="1" applyAlignment="1">
      <alignment/>
    </xf>
    <xf numFmtId="3" fontId="26" fillId="0" borderId="0" xfId="100" applyNumberFormat="1" applyFont="1" applyBorder="1">
      <alignment/>
      <protection/>
    </xf>
    <xf numFmtId="0" fontId="26" fillId="0" borderId="0" xfId="100" applyFont="1" applyBorder="1">
      <alignment/>
      <protection/>
    </xf>
    <xf numFmtId="0" fontId="30" fillId="0" borderId="17" xfId="100" applyFont="1" applyBorder="1" applyAlignment="1">
      <alignment wrapText="1"/>
      <protection/>
    </xf>
    <xf numFmtId="0" fontId="28" fillId="0" borderId="0" xfId="98" applyFont="1" applyFill="1">
      <alignment/>
      <protection/>
    </xf>
    <xf numFmtId="0" fontId="50" fillId="0" borderId="0" xfId="98" applyFont="1" applyFill="1" applyAlignment="1">
      <alignment horizontal="center"/>
      <protection/>
    </xf>
    <xf numFmtId="0" fontId="28" fillId="0" borderId="0" xfId="98" applyFont="1" applyFill="1" applyAlignment="1">
      <alignment horizontal="center"/>
      <protection/>
    </xf>
    <xf numFmtId="3" fontId="28" fillId="0" borderId="0" xfId="98" applyNumberFormat="1" applyFont="1" applyFill="1">
      <alignment/>
      <protection/>
    </xf>
    <xf numFmtId="0" fontId="28" fillId="0" borderId="0" xfId="98" applyFont="1" applyFill="1" applyAlignment="1">
      <alignment horizontal="right"/>
      <protection/>
    </xf>
    <xf numFmtId="0" fontId="47" fillId="0" borderId="0" xfId="98" applyFont="1" applyFill="1" applyBorder="1" applyAlignment="1">
      <alignment horizontal="center"/>
      <protection/>
    </xf>
    <xf numFmtId="0" fontId="51" fillId="0" borderId="0" xfId="98" applyFont="1" applyFill="1" applyBorder="1" applyAlignment="1">
      <alignment horizontal="center"/>
      <protection/>
    </xf>
    <xf numFmtId="3" fontId="30" fillId="0" borderId="0" xfId="98" applyNumberFormat="1" applyFont="1" applyFill="1" applyAlignment="1">
      <alignment horizontal="right"/>
      <protection/>
    </xf>
    <xf numFmtId="0" fontId="52" fillId="0" borderId="0" xfId="102" applyFont="1" applyFill="1" applyBorder="1" applyAlignment="1">
      <alignment horizontal="center" vertical="center"/>
      <protection/>
    </xf>
    <xf numFmtId="0" fontId="28" fillId="0" borderId="0" xfId="102" applyFont="1" applyFill="1">
      <alignment/>
      <protection/>
    </xf>
    <xf numFmtId="0" fontId="28" fillId="0" borderId="0" xfId="102" applyFont="1" applyFill="1" applyBorder="1">
      <alignment/>
      <protection/>
    </xf>
    <xf numFmtId="0" fontId="53" fillId="0" borderId="0" xfId="105" applyFont="1" applyFill="1" applyBorder="1" applyAlignment="1">
      <alignment horizontal="center" vertical="center"/>
      <protection/>
    </xf>
    <xf numFmtId="3" fontId="28" fillId="0" borderId="0" xfId="102" applyNumberFormat="1" applyFont="1" applyFill="1">
      <alignment/>
      <protection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2" fillId="0" borderId="15" xfId="0" applyFont="1" applyBorder="1" applyAlignment="1">
      <alignment vertical="center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3" fontId="20" fillId="0" borderId="26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26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40" fillId="0" borderId="15" xfId="0" applyFont="1" applyBorder="1" applyAlignment="1">
      <alignment horizontal="left"/>
    </xf>
    <xf numFmtId="0" fontId="55" fillId="0" borderId="16" xfId="0" applyFont="1" applyBorder="1" applyAlignment="1">
      <alignment/>
    </xf>
    <xf numFmtId="3" fontId="20" fillId="0" borderId="16" xfId="0" applyNumberFormat="1" applyFont="1" applyBorder="1" applyAlignment="1">
      <alignment/>
    </xf>
    <xf numFmtId="0" fontId="20" fillId="0" borderId="17" xfId="0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0" fontId="41" fillId="0" borderId="0" xfId="104" applyFont="1" applyAlignment="1">
      <alignment wrapText="1"/>
      <protection/>
    </xf>
    <xf numFmtId="0" fontId="41" fillId="0" borderId="0" xfId="109" applyFont="1" applyAlignment="1">
      <alignment wrapText="1"/>
      <protection/>
    </xf>
    <xf numFmtId="0" fontId="40" fillId="0" borderId="0" xfId="104" applyFont="1" applyAlignment="1">
      <alignment horizontal="center" wrapText="1"/>
      <protection/>
    </xf>
    <xf numFmtId="0" fontId="40" fillId="0" borderId="0" xfId="104" applyFont="1" applyBorder="1" applyAlignment="1">
      <alignment wrapText="1"/>
      <protection/>
    </xf>
    <xf numFmtId="0" fontId="44" fillId="0" borderId="0" xfId="104" applyFont="1" applyAlignment="1">
      <alignment wrapText="1"/>
      <protection/>
    </xf>
    <xf numFmtId="0" fontId="48" fillId="0" borderId="0" xfId="108" applyFont="1">
      <alignment/>
      <protection/>
    </xf>
    <xf numFmtId="0" fontId="59" fillId="0" borderId="0" xfId="108" applyFont="1">
      <alignment/>
      <protection/>
    </xf>
    <xf numFmtId="0" fontId="47" fillId="0" borderId="0" xfId="108" applyFont="1">
      <alignment/>
      <protection/>
    </xf>
    <xf numFmtId="3" fontId="48" fillId="0" borderId="0" xfId="108" applyNumberFormat="1" applyFont="1">
      <alignment/>
      <protection/>
    </xf>
    <xf numFmtId="0" fontId="22" fillId="0" borderId="15" xfId="0" applyFont="1" applyBorder="1" applyAlignment="1">
      <alignment/>
    </xf>
    <xf numFmtId="0" fontId="25" fillId="0" borderId="0" xfId="103">
      <alignment/>
      <protection/>
    </xf>
    <xf numFmtId="3" fontId="20" fillId="0" borderId="27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/>
    </xf>
    <xf numFmtId="0" fontId="55" fillId="0" borderId="16" xfId="0" applyFont="1" applyBorder="1" applyAlignment="1">
      <alignment/>
    </xf>
    <xf numFmtId="49" fontId="20" fillId="0" borderId="15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49" fontId="22" fillId="0" borderId="16" xfId="0" applyNumberFormat="1" applyFont="1" applyBorder="1" applyAlignment="1">
      <alignment horizontal="left" wrapText="1"/>
    </xf>
    <xf numFmtId="0" fontId="20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45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9" fillId="0" borderId="0" xfId="100" applyFont="1" applyBorder="1" applyAlignment="1">
      <alignment wrapText="1"/>
      <protection/>
    </xf>
    <xf numFmtId="3" fontId="30" fillId="0" borderId="0" xfId="100" applyNumberFormat="1" applyFont="1" applyBorder="1">
      <alignment/>
      <protection/>
    </xf>
    <xf numFmtId="3" fontId="48" fillId="0" borderId="0" xfId="108" applyNumberFormat="1" applyFont="1" applyBorder="1">
      <alignment/>
      <protection/>
    </xf>
    <xf numFmtId="0" fontId="51" fillId="0" borderId="0" xfId="108" applyFont="1">
      <alignment/>
      <protection/>
    </xf>
    <xf numFmtId="3" fontId="48" fillId="0" borderId="16" xfId="107" applyNumberFormat="1" applyFont="1" applyBorder="1" applyAlignment="1">
      <alignment vertical="center"/>
      <protection/>
    </xf>
    <xf numFmtId="3" fontId="51" fillId="0" borderId="16" xfId="107" applyNumberFormat="1" applyFont="1" applyBorder="1" applyAlignment="1">
      <alignment vertical="center"/>
      <protection/>
    </xf>
    <xf numFmtId="3" fontId="47" fillId="0" borderId="18" xfId="107" applyNumberFormat="1" applyFont="1" applyBorder="1" applyAlignment="1">
      <alignment vertical="center"/>
      <protection/>
    </xf>
    <xf numFmtId="3" fontId="47" fillId="0" borderId="28" xfId="107" applyNumberFormat="1" applyFont="1" applyBorder="1" applyAlignment="1">
      <alignment vertical="center"/>
      <protection/>
    </xf>
    <xf numFmtId="0" fontId="35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21" fillId="0" borderId="16" xfId="0" applyFont="1" applyBorder="1" applyAlignment="1">
      <alignment/>
    </xf>
    <xf numFmtId="49" fontId="25" fillId="0" borderId="0" xfId="100" applyNumberFormat="1">
      <alignment/>
      <protection/>
    </xf>
    <xf numFmtId="49" fontId="27" fillId="0" borderId="0" xfId="100" applyNumberFormat="1" applyFont="1">
      <alignment/>
      <protection/>
    </xf>
    <xf numFmtId="49" fontId="25" fillId="0" borderId="0" xfId="100" applyNumberFormat="1" applyFont="1">
      <alignment/>
      <protection/>
    </xf>
    <xf numFmtId="49" fontId="33" fillId="0" borderId="0" xfId="100" applyNumberFormat="1" applyFont="1">
      <alignment/>
      <protection/>
    </xf>
    <xf numFmtId="49" fontId="26" fillId="0" borderId="0" xfId="100" applyNumberFormat="1" applyFont="1">
      <alignment/>
      <protection/>
    </xf>
    <xf numFmtId="49" fontId="27" fillId="0" borderId="0" xfId="100" applyNumberFormat="1" applyFont="1">
      <alignment/>
      <protection/>
    </xf>
    <xf numFmtId="49" fontId="25" fillId="0" borderId="0" xfId="100" applyNumberFormat="1" applyFont="1">
      <alignment/>
      <protection/>
    </xf>
    <xf numFmtId="0" fontId="45" fillId="0" borderId="0" xfId="0" applyFont="1" applyAlignment="1">
      <alignment/>
    </xf>
    <xf numFmtId="0" fontId="28" fillId="0" borderId="0" xfId="0" applyFont="1" applyAlignment="1">
      <alignment/>
    </xf>
    <xf numFmtId="3" fontId="32" fillId="0" borderId="16" xfId="0" applyNumberFormat="1" applyFont="1" applyBorder="1" applyAlignment="1">
      <alignment/>
    </xf>
    <xf numFmtId="0" fontId="31" fillId="0" borderId="0" xfId="0" applyFont="1" applyAlignment="1">
      <alignment/>
    </xf>
    <xf numFmtId="3" fontId="32" fillId="0" borderId="18" xfId="0" applyNumberFormat="1" applyFont="1" applyBorder="1" applyAlignment="1">
      <alignment/>
    </xf>
    <xf numFmtId="0" fontId="32" fillId="0" borderId="0" xfId="0" applyFont="1" applyAlignment="1">
      <alignment/>
    </xf>
    <xf numFmtId="49" fontId="26" fillId="0" borderId="0" xfId="100" applyNumberFormat="1" applyFont="1">
      <alignment/>
      <protection/>
    </xf>
    <xf numFmtId="49" fontId="26" fillId="0" borderId="0" xfId="100" applyNumberFormat="1" applyFont="1" applyBorder="1">
      <alignment/>
      <protection/>
    </xf>
    <xf numFmtId="0" fontId="30" fillId="0" borderId="0" xfId="100" applyFont="1" applyBorder="1" applyAlignment="1">
      <alignment wrapText="1"/>
      <protection/>
    </xf>
    <xf numFmtId="3" fontId="30" fillId="0" borderId="0" xfId="100" applyNumberFormat="1" applyFont="1" applyBorder="1">
      <alignment/>
      <protection/>
    </xf>
    <xf numFmtId="0" fontId="25" fillId="0" borderId="0" xfId="100" applyAlignment="1">
      <alignment horizontal="left" wrapText="1"/>
      <protection/>
    </xf>
    <xf numFmtId="3" fontId="22" fillId="0" borderId="29" xfId="0" applyNumberFormat="1" applyFont="1" applyBorder="1" applyAlignment="1">
      <alignment/>
    </xf>
    <xf numFmtId="0" fontId="22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2" fillId="0" borderId="29" xfId="0" applyFont="1" applyBorder="1" applyAlignment="1">
      <alignment wrapText="1"/>
    </xf>
    <xf numFmtId="3" fontId="28" fillId="0" borderId="0" xfId="98" applyNumberFormat="1" applyFont="1" applyFill="1" applyAlignment="1">
      <alignment horizontal="center"/>
      <protection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/>
    </xf>
    <xf numFmtId="3" fontId="32" fillId="0" borderId="16" xfId="0" applyNumberFormat="1" applyFont="1" applyBorder="1" applyAlignment="1">
      <alignment horizontal="right" vertical="center" wrapText="1"/>
    </xf>
    <xf numFmtId="3" fontId="31" fillId="0" borderId="16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/>
    </xf>
    <xf numFmtId="3" fontId="58" fillId="0" borderId="16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32" fillId="0" borderId="15" xfId="0" applyFont="1" applyBorder="1" applyAlignment="1">
      <alignment wrapText="1"/>
    </xf>
    <xf numFmtId="0" fontId="32" fillId="0" borderId="15" xfId="0" applyFont="1" applyBorder="1" applyAlignment="1">
      <alignment/>
    </xf>
    <xf numFmtId="3" fontId="57" fillId="0" borderId="16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3" fontId="31" fillId="0" borderId="16" xfId="0" applyNumberFormat="1" applyFont="1" applyBorder="1" applyAlignment="1">
      <alignment/>
    </xf>
    <xf numFmtId="3" fontId="57" fillId="0" borderId="16" xfId="0" applyNumberFormat="1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wrapText="1"/>
    </xf>
    <xf numFmtId="0" fontId="31" fillId="0" borderId="15" xfId="0" applyFont="1" applyBorder="1" applyAlignment="1">
      <alignment shrinkToFit="1"/>
    </xf>
    <xf numFmtId="3" fontId="31" fillId="0" borderId="15" xfId="0" applyNumberFormat="1" applyFont="1" applyBorder="1" applyAlignment="1">
      <alignment shrinkToFit="1"/>
    </xf>
    <xf numFmtId="3" fontId="32" fillId="0" borderId="15" xfId="0" applyNumberFormat="1" applyFont="1" applyBorder="1" applyAlignment="1">
      <alignment shrinkToFit="1"/>
    </xf>
    <xf numFmtId="3" fontId="32" fillId="0" borderId="15" xfId="0" applyNumberFormat="1" applyFont="1" applyBorder="1" applyAlignment="1">
      <alignment wrapText="1"/>
    </xf>
    <xf numFmtId="3" fontId="31" fillId="0" borderId="15" xfId="0" applyNumberFormat="1" applyFont="1" applyBorder="1" applyAlignment="1">
      <alignment wrapText="1"/>
    </xf>
    <xf numFmtId="3" fontId="32" fillId="0" borderId="15" xfId="0" applyNumberFormat="1" applyFont="1" applyBorder="1" applyAlignment="1">
      <alignment vertical="center" wrapText="1"/>
    </xf>
    <xf numFmtId="3" fontId="32" fillId="0" borderId="17" xfId="0" applyNumberFormat="1" applyFont="1" applyBorder="1" applyAlignment="1">
      <alignment shrinkToFit="1"/>
    </xf>
    <xf numFmtId="0" fontId="28" fillId="0" borderId="15" xfId="100" applyFont="1" applyFill="1" applyBorder="1" applyAlignment="1">
      <alignment wrapText="1"/>
      <protection/>
    </xf>
    <xf numFmtId="3" fontId="41" fillId="0" borderId="0" xfId="104" applyNumberFormat="1" applyFont="1" applyAlignment="1">
      <alignment wrapText="1"/>
      <protection/>
    </xf>
    <xf numFmtId="0" fontId="40" fillId="0" borderId="0" xfId="104" applyFont="1" applyAlignment="1">
      <alignment wrapText="1"/>
      <protection/>
    </xf>
    <xf numFmtId="3" fontId="40" fillId="0" borderId="0" xfId="104" applyNumberFormat="1" applyFont="1">
      <alignment/>
      <protection/>
    </xf>
    <xf numFmtId="0" fontId="47" fillId="0" borderId="0" xfId="107" applyFont="1" applyBorder="1" applyAlignment="1">
      <alignment vertical="center"/>
      <protection/>
    </xf>
    <xf numFmtId="3" fontId="47" fillId="0" borderId="0" xfId="107" applyNumberFormat="1" applyFont="1" applyBorder="1" applyAlignment="1">
      <alignment vertical="center"/>
      <protection/>
    </xf>
    <xf numFmtId="3" fontId="47" fillId="0" borderId="16" xfId="107" applyNumberFormat="1" applyFont="1" applyBorder="1" applyAlignment="1">
      <alignment vertical="center"/>
      <protection/>
    </xf>
    <xf numFmtId="3" fontId="47" fillId="0" borderId="26" xfId="107" applyNumberFormat="1" applyFont="1" applyBorder="1" applyAlignment="1">
      <alignment vertical="center"/>
      <protection/>
    </xf>
    <xf numFmtId="3" fontId="51" fillId="0" borderId="26" xfId="107" applyNumberFormat="1" applyFont="1" applyBorder="1" applyAlignment="1">
      <alignment vertical="center"/>
      <protection/>
    </xf>
    <xf numFmtId="3" fontId="51" fillId="0" borderId="16" xfId="108" applyNumberFormat="1" applyFont="1" applyBorder="1">
      <alignment/>
      <protection/>
    </xf>
    <xf numFmtId="3" fontId="48" fillId="0" borderId="16" xfId="108" applyNumberFormat="1" applyFont="1" applyBorder="1">
      <alignment/>
      <protection/>
    </xf>
    <xf numFmtId="3" fontId="47" fillId="0" borderId="20" xfId="107" applyNumberFormat="1" applyFont="1" applyBorder="1" applyAlignment="1">
      <alignment vertical="center"/>
      <protection/>
    </xf>
    <xf numFmtId="3" fontId="47" fillId="0" borderId="31" xfId="107" applyNumberFormat="1" applyFont="1" applyBorder="1" applyAlignment="1">
      <alignment vertical="center"/>
      <protection/>
    </xf>
    <xf numFmtId="0" fontId="28" fillId="0" borderId="0" xfId="101" applyFont="1">
      <alignment/>
      <protection/>
    </xf>
    <xf numFmtId="0" fontId="29" fillId="0" borderId="0" xfId="101" applyFont="1">
      <alignment/>
      <protection/>
    </xf>
    <xf numFmtId="0" fontId="28" fillId="0" borderId="15" xfId="101" applyFont="1" applyBorder="1">
      <alignment/>
      <protection/>
    </xf>
    <xf numFmtId="0" fontId="28" fillId="0" borderId="15" xfId="101" applyFont="1" applyBorder="1" applyAlignment="1">
      <alignment horizontal="left" vertical="center" wrapText="1"/>
      <protection/>
    </xf>
    <xf numFmtId="0" fontId="25" fillId="0" borderId="0" xfId="101" applyFont="1">
      <alignment/>
      <protection/>
    </xf>
    <xf numFmtId="0" fontId="19" fillId="0" borderId="29" xfId="0" applyFont="1" applyBorder="1" applyAlignment="1">
      <alignment/>
    </xf>
    <xf numFmtId="0" fontId="28" fillId="0" borderId="29" xfId="0" applyFont="1" applyBorder="1" applyAlignment="1">
      <alignment/>
    </xf>
    <xf numFmtId="0" fontId="20" fillId="0" borderId="15" xfId="0" applyFont="1" applyBorder="1" applyAlignment="1">
      <alignment/>
    </xf>
    <xf numFmtId="0" fontId="38" fillId="0" borderId="29" xfId="0" applyFont="1" applyBorder="1" applyAlignment="1">
      <alignment wrapText="1"/>
    </xf>
    <xf numFmtId="0" fontId="20" fillId="0" borderId="3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2" fillId="0" borderId="33" xfId="0" applyFont="1" applyBorder="1" applyAlignment="1">
      <alignment/>
    </xf>
    <xf numFmtId="3" fontId="20" fillId="0" borderId="34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20" fillId="0" borderId="36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55" fillId="0" borderId="33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/>
    </xf>
    <xf numFmtId="3" fontId="41" fillId="0" borderId="39" xfId="104" applyNumberFormat="1" applyFont="1" applyBorder="1">
      <alignment/>
      <protection/>
    </xf>
    <xf numFmtId="3" fontId="41" fillId="0" borderId="40" xfId="104" applyNumberFormat="1" applyFont="1" applyBorder="1">
      <alignment/>
      <protection/>
    </xf>
    <xf numFmtId="0" fontId="20" fillId="0" borderId="38" xfId="104" applyFont="1" applyBorder="1">
      <alignment/>
      <protection/>
    </xf>
    <xf numFmtId="0" fontId="22" fillId="0" borderId="38" xfId="104" applyFont="1" applyBorder="1">
      <alignment/>
      <protection/>
    </xf>
    <xf numFmtId="0" fontId="40" fillId="0" borderId="24" xfId="104" applyFont="1" applyBorder="1" applyAlignment="1">
      <alignment wrapText="1"/>
      <protection/>
    </xf>
    <xf numFmtId="0" fontId="22" fillId="0" borderId="41" xfId="104" applyFont="1" applyBorder="1">
      <alignment/>
      <protection/>
    </xf>
    <xf numFmtId="0" fontId="22" fillId="0" borderId="42" xfId="104" applyFont="1" applyBorder="1">
      <alignment/>
      <protection/>
    </xf>
    <xf numFmtId="3" fontId="58" fillId="0" borderId="33" xfId="0" applyNumberFormat="1" applyFont="1" applyBorder="1" applyAlignment="1">
      <alignment horizontal="right" vertical="center" wrapText="1"/>
    </xf>
    <xf numFmtId="3" fontId="31" fillId="0" borderId="33" xfId="0" applyNumberFormat="1" applyFont="1" applyBorder="1" applyAlignment="1">
      <alignment horizontal="right" vertical="center" wrapText="1"/>
    </xf>
    <xf numFmtId="3" fontId="57" fillId="0" borderId="33" xfId="0" applyNumberFormat="1" applyFont="1" applyBorder="1" applyAlignment="1">
      <alignment horizontal="right" vertical="center" wrapText="1"/>
    </xf>
    <xf numFmtId="3" fontId="57" fillId="0" borderId="33" xfId="0" applyNumberFormat="1" applyFont="1" applyBorder="1" applyAlignment="1">
      <alignment/>
    </xf>
    <xf numFmtId="3" fontId="31" fillId="0" borderId="33" xfId="0" applyNumberFormat="1" applyFont="1" applyBorder="1" applyAlignment="1">
      <alignment/>
    </xf>
    <xf numFmtId="3" fontId="32" fillId="0" borderId="33" xfId="0" applyNumberFormat="1" applyFont="1" applyBorder="1" applyAlignment="1">
      <alignment/>
    </xf>
    <xf numFmtId="3" fontId="40" fillId="0" borderId="42" xfId="0" applyNumberFormat="1" applyFont="1" applyBorder="1" applyAlignment="1">
      <alignment horizontal="center" vertical="center" wrapText="1"/>
    </xf>
    <xf numFmtId="0" fontId="40" fillId="0" borderId="42" xfId="104" applyFont="1" applyBorder="1" applyAlignment="1">
      <alignment horizontal="center"/>
      <protection/>
    </xf>
    <xf numFmtId="3" fontId="35" fillId="0" borderId="16" xfId="0" applyNumberFormat="1" applyFont="1" applyBorder="1" applyAlignment="1">
      <alignment horizontal="center" vertical="center" wrapText="1"/>
    </xf>
    <xf numFmtId="3" fontId="35" fillId="0" borderId="26" xfId="0" applyNumberFormat="1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/>
    </xf>
    <xf numFmtId="3" fontId="20" fillId="0" borderId="16" xfId="0" applyNumberFormat="1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left" wrapText="1"/>
    </xf>
    <xf numFmtId="3" fontId="56" fillId="0" borderId="18" xfId="0" applyNumberFormat="1" applyFont="1" applyBorder="1" applyAlignment="1">
      <alignment horizontal="left" wrapText="1"/>
    </xf>
    <xf numFmtId="0" fontId="54" fillId="0" borderId="16" xfId="102" applyFont="1" applyFill="1" applyBorder="1" applyAlignment="1">
      <alignment horizontal="center" vertical="center" wrapText="1"/>
      <protection/>
    </xf>
    <xf numFmtId="0" fontId="28" fillId="0" borderId="16" xfId="102" applyFont="1" applyFill="1" applyBorder="1" applyAlignment="1">
      <alignment vertical="center" wrapText="1"/>
      <protection/>
    </xf>
    <xf numFmtId="3" fontId="28" fillId="0" borderId="16" xfId="102" applyNumberFormat="1" applyFont="1" applyFill="1" applyBorder="1" applyAlignment="1">
      <alignment vertical="center"/>
      <protection/>
    </xf>
    <xf numFmtId="0" fontId="30" fillId="0" borderId="16" xfId="102" applyFont="1" applyFill="1" applyBorder="1" applyAlignment="1">
      <alignment vertical="center" wrapText="1"/>
      <protection/>
    </xf>
    <xf numFmtId="3" fontId="30" fillId="0" borderId="16" xfId="102" applyNumberFormat="1" applyFont="1" applyFill="1" applyBorder="1" applyAlignment="1">
      <alignment vertical="center"/>
      <protection/>
    </xf>
    <xf numFmtId="0" fontId="28" fillId="0" borderId="15" xfId="102" applyFont="1" applyFill="1" applyBorder="1" applyAlignment="1">
      <alignment horizontal="center" vertical="center" wrapText="1"/>
      <protection/>
    </xf>
    <xf numFmtId="3" fontId="28" fillId="0" borderId="26" xfId="102" applyNumberFormat="1" applyFont="1" applyFill="1" applyBorder="1" applyAlignment="1">
      <alignment vertical="center"/>
      <protection/>
    </xf>
    <xf numFmtId="0" fontId="30" fillId="0" borderId="15" xfId="102" applyFont="1" applyFill="1" applyBorder="1" applyAlignment="1">
      <alignment horizontal="center" vertical="center" wrapText="1"/>
      <protection/>
    </xf>
    <xf numFmtId="3" fontId="30" fillId="0" borderId="26" xfId="102" applyNumberFormat="1" applyFont="1" applyFill="1" applyBorder="1" applyAlignment="1">
      <alignment vertical="center"/>
      <protection/>
    </xf>
    <xf numFmtId="3" fontId="30" fillId="0" borderId="26" xfId="102" applyNumberFormat="1" applyFont="1" applyFill="1" applyBorder="1" applyAlignment="1">
      <alignment horizontal="right" vertical="center"/>
      <protection/>
    </xf>
    <xf numFmtId="0" fontId="54" fillId="0" borderId="14" xfId="102" applyFont="1" applyFill="1" applyBorder="1" applyAlignment="1">
      <alignment horizontal="center" vertical="center"/>
      <protection/>
    </xf>
    <xf numFmtId="3" fontId="30" fillId="0" borderId="15" xfId="102" applyNumberFormat="1" applyFont="1" applyFill="1" applyBorder="1" applyAlignment="1">
      <alignment horizontal="center" vertical="center"/>
      <protection/>
    </xf>
    <xf numFmtId="0" fontId="28" fillId="0" borderId="17" xfId="102" applyFont="1" applyFill="1" applyBorder="1">
      <alignment/>
      <protection/>
    </xf>
    <xf numFmtId="3" fontId="28" fillId="0" borderId="16" xfId="100" applyNumberFormat="1" applyFont="1" applyBorder="1">
      <alignment/>
      <protection/>
    </xf>
    <xf numFmtId="3" fontId="30" fillId="0" borderId="16" xfId="100" applyNumberFormat="1" applyFont="1" applyBorder="1">
      <alignment/>
      <protection/>
    </xf>
    <xf numFmtId="3" fontId="34" fillId="0" borderId="16" xfId="100" applyNumberFormat="1" applyFont="1" applyBorder="1">
      <alignment/>
      <protection/>
    </xf>
    <xf numFmtId="3" fontId="30" fillId="0" borderId="14" xfId="100" applyNumberFormat="1" applyFont="1" applyBorder="1" applyAlignment="1">
      <alignment horizontal="center"/>
      <protection/>
    </xf>
    <xf numFmtId="0" fontId="25" fillId="0" borderId="0" xfId="100" applyBorder="1" applyAlignment="1">
      <alignment wrapText="1"/>
      <protection/>
    </xf>
    <xf numFmtId="3" fontId="20" fillId="0" borderId="14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0" fillId="0" borderId="18" xfId="0" applyBorder="1" applyAlignment="1">
      <alignment/>
    </xf>
    <xf numFmtId="3" fontId="62" fillId="0" borderId="14" xfId="0" applyNumberFormat="1" applyFont="1" applyBorder="1" applyAlignment="1">
      <alignment horizontal="center" vertical="center" wrapText="1"/>
    </xf>
    <xf numFmtId="3" fontId="29" fillId="0" borderId="16" xfId="100" applyNumberFormat="1" applyFont="1" applyBorder="1">
      <alignment/>
      <protection/>
    </xf>
    <xf numFmtId="3" fontId="30" fillId="0" borderId="18" xfId="100" applyNumberFormat="1" applyFont="1" applyBorder="1">
      <alignment/>
      <protection/>
    </xf>
    <xf numFmtId="3" fontId="62" fillId="0" borderId="43" xfId="0" applyNumberFormat="1" applyFont="1" applyBorder="1" applyAlignment="1">
      <alignment horizontal="center" wrapText="1"/>
    </xf>
    <xf numFmtId="2" fontId="28" fillId="0" borderId="16" xfId="0" applyNumberFormat="1" applyFont="1" applyBorder="1" applyAlignment="1">
      <alignment horizontal="center" vertical="top" wrapText="1"/>
    </xf>
    <xf numFmtId="2" fontId="45" fillId="0" borderId="16" xfId="0" applyNumberFormat="1" applyFont="1" applyBorder="1" applyAlignment="1">
      <alignment horizontal="center" vertical="top" wrapText="1"/>
    </xf>
    <xf numFmtId="2" fontId="34" fillId="0" borderId="16" xfId="0" applyNumberFormat="1" applyFont="1" applyBorder="1" applyAlignment="1">
      <alignment horizontal="center" vertical="top" wrapText="1"/>
    </xf>
    <xf numFmtId="2" fontId="30" fillId="0" borderId="16" xfId="0" applyNumberFormat="1" applyFont="1" applyBorder="1" applyAlignment="1">
      <alignment horizontal="center" vertical="top" wrapText="1"/>
    </xf>
    <xf numFmtId="2" fontId="28" fillId="0" borderId="16" xfId="0" applyNumberFormat="1" applyFont="1" applyBorder="1" applyAlignment="1">
      <alignment horizontal="center"/>
    </xf>
    <xf numFmtId="2" fontId="30" fillId="0" borderId="16" xfId="0" applyNumberFormat="1" applyFont="1" applyBorder="1" applyAlignment="1">
      <alignment horizontal="center" vertical="top" wrapText="1"/>
    </xf>
    <xf numFmtId="0" fontId="28" fillId="0" borderId="26" xfId="0" applyFont="1" applyBorder="1" applyAlignment="1">
      <alignment/>
    </xf>
    <xf numFmtId="0" fontId="45" fillId="0" borderId="15" xfId="0" applyFont="1" applyBorder="1" applyAlignment="1">
      <alignment horizontal="justify" vertical="top" wrapText="1"/>
    </xf>
    <xf numFmtId="0" fontId="34" fillId="0" borderId="15" xfId="0" applyFont="1" applyBorder="1" applyAlignment="1">
      <alignment horizontal="justify" vertical="top" wrapText="1"/>
    </xf>
    <xf numFmtId="0" fontId="34" fillId="0" borderId="15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justify" vertical="top" wrapText="1"/>
    </xf>
    <xf numFmtId="0" fontId="30" fillId="0" borderId="15" xfId="0" applyFont="1" applyBorder="1" applyAlignment="1">
      <alignment horizontal="justify" vertical="top" wrapText="1"/>
    </xf>
    <xf numFmtId="0" fontId="28" fillId="0" borderId="15" xfId="0" applyFont="1" applyBorder="1" applyAlignment="1" quotePrefix="1">
      <alignment horizontal="justify" vertical="top" wrapText="1"/>
    </xf>
    <xf numFmtId="49" fontId="28" fillId="0" borderId="15" xfId="0" applyNumberFormat="1" applyFont="1" applyBorder="1" applyAlignment="1">
      <alignment horizontal="justify" vertical="top" wrapText="1"/>
    </xf>
    <xf numFmtId="0" fontId="30" fillId="0" borderId="17" xfId="0" applyFont="1" applyBorder="1" applyAlignment="1">
      <alignment horizontal="justify" vertical="top" wrapText="1"/>
    </xf>
    <xf numFmtId="2" fontId="30" fillId="0" borderId="18" xfId="0" applyNumberFormat="1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/>
    </xf>
    <xf numFmtId="2" fontId="30" fillId="0" borderId="18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0" fontId="28" fillId="0" borderId="25" xfId="0" applyFont="1" applyBorder="1" applyAlignment="1">
      <alignment/>
    </xf>
    <xf numFmtId="0" fontId="47" fillId="0" borderId="44" xfId="107" applyFont="1" applyBorder="1" applyAlignment="1">
      <alignment horizontal="center" vertical="center" wrapText="1"/>
      <protection/>
    </xf>
    <xf numFmtId="0" fontId="47" fillId="0" borderId="45" xfId="107" applyFont="1" applyBorder="1" applyAlignment="1">
      <alignment horizontal="center" vertical="center" wrapText="1"/>
      <protection/>
    </xf>
    <xf numFmtId="3" fontId="51" fillId="0" borderId="14" xfId="107" applyNumberFormat="1" applyFont="1" applyBorder="1" applyAlignment="1">
      <alignment horizontal="right" vertical="center" wrapText="1"/>
      <protection/>
    </xf>
    <xf numFmtId="3" fontId="51" fillId="0" borderId="13" xfId="107" applyNumberFormat="1" applyFont="1" applyBorder="1" applyAlignment="1">
      <alignment horizontal="right" vertical="center" wrapText="1"/>
      <protection/>
    </xf>
    <xf numFmtId="3" fontId="51" fillId="0" borderId="43" xfId="107" applyNumberFormat="1" applyFont="1" applyBorder="1" applyAlignment="1">
      <alignment horizontal="right" vertical="center" wrapText="1"/>
      <protection/>
    </xf>
    <xf numFmtId="3" fontId="48" fillId="0" borderId="15" xfId="108" applyNumberFormat="1" applyFont="1" applyBorder="1" applyAlignment="1">
      <alignment vertical="center"/>
      <protection/>
    </xf>
    <xf numFmtId="3" fontId="48" fillId="0" borderId="26" xfId="107" applyNumberFormat="1" applyFont="1" applyBorder="1" applyAlignment="1">
      <alignment vertical="center"/>
      <protection/>
    </xf>
    <xf numFmtId="3" fontId="51" fillId="0" borderId="15" xfId="108" applyNumberFormat="1" applyFont="1" applyBorder="1" applyAlignment="1">
      <alignment vertical="center"/>
      <protection/>
    </xf>
    <xf numFmtId="3" fontId="47" fillId="0" borderId="17" xfId="107" applyNumberFormat="1" applyFont="1" applyBorder="1" applyAlignment="1">
      <alignment vertical="center"/>
      <protection/>
    </xf>
    <xf numFmtId="0" fontId="0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21" fillId="0" borderId="46" xfId="0" applyNumberFormat="1" applyFont="1" applyFill="1" applyBorder="1" applyAlignment="1">
      <alignment/>
    </xf>
    <xf numFmtId="3" fontId="21" fillId="0" borderId="46" xfId="0" applyNumberFormat="1" applyFont="1" applyFill="1" applyBorder="1" applyAlignment="1">
      <alignment horizontal="center"/>
    </xf>
    <xf numFmtId="3" fontId="21" fillId="0" borderId="46" xfId="0" applyNumberFormat="1" applyFont="1" applyFill="1" applyBorder="1" applyAlignment="1">
      <alignment horizontal="right"/>
    </xf>
    <xf numFmtId="172" fontId="21" fillId="0" borderId="46" xfId="0" applyNumberFormat="1" applyFont="1" applyFill="1" applyBorder="1" applyAlignment="1">
      <alignment horizontal="right"/>
    </xf>
    <xf numFmtId="0" fontId="31" fillId="0" borderId="46" xfId="0" applyFont="1" applyFill="1" applyBorder="1" applyAlignment="1">
      <alignment/>
    </xf>
    <xf numFmtId="3" fontId="31" fillId="0" borderId="46" xfId="0" applyNumberFormat="1" applyFont="1" applyFill="1" applyBorder="1" applyAlignment="1">
      <alignment horizontal="center"/>
    </xf>
    <xf numFmtId="3" fontId="31" fillId="0" borderId="46" xfId="0" applyNumberFormat="1" applyFont="1" applyFill="1" applyBorder="1" applyAlignment="1">
      <alignment horizontal="right"/>
    </xf>
    <xf numFmtId="0" fontId="38" fillId="0" borderId="46" xfId="0" applyFont="1" applyFill="1" applyBorder="1" applyAlignment="1">
      <alignment/>
    </xf>
    <xf numFmtId="3" fontId="38" fillId="0" borderId="46" xfId="0" applyNumberFormat="1" applyFont="1" applyFill="1" applyBorder="1" applyAlignment="1">
      <alignment horizontal="right"/>
    </xf>
    <xf numFmtId="3" fontId="21" fillId="0" borderId="46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46" xfId="0" applyFont="1" applyFill="1" applyBorder="1" applyAlignment="1">
      <alignment/>
    </xf>
    <xf numFmtId="49" fontId="31" fillId="0" borderId="46" xfId="0" applyNumberFormat="1" applyFont="1" applyFill="1" applyBorder="1" applyAlignment="1">
      <alignment horizontal="right"/>
    </xf>
    <xf numFmtId="3" fontId="37" fillId="0" borderId="47" xfId="0" applyNumberFormat="1" applyFont="1" applyFill="1" applyBorder="1" applyAlignment="1">
      <alignment horizontal="right"/>
    </xf>
    <xf numFmtId="0" fontId="35" fillId="0" borderId="46" xfId="0" applyFont="1" applyFill="1" applyBorder="1" applyAlignment="1">
      <alignment/>
    </xf>
    <xf numFmtId="3" fontId="35" fillId="0" borderId="46" xfId="0" applyNumberFormat="1" applyFont="1" applyFill="1" applyBorder="1" applyAlignment="1">
      <alignment horizontal="center"/>
    </xf>
    <xf numFmtId="0" fontId="35" fillId="0" borderId="46" xfId="0" applyFont="1" applyFill="1" applyBorder="1" applyAlignment="1">
      <alignment horizontal="right" vertical="center" wrapText="1"/>
    </xf>
    <xf numFmtId="3" fontId="35" fillId="0" borderId="47" xfId="0" applyNumberFormat="1" applyFont="1" applyFill="1" applyBorder="1" applyAlignment="1">
      <alignment horizontal="right"/>
    </xf>
    <xf numFmtId="3" fontId="31" fillId="0" borderId="46" xfId="0" applyNumberFormat="1" applyFont="1" applyFill="1" applyBorder="1" applyAlignment="1">
      <alignment/>
    </xf>
    <xf numFmtId="172" fontId="31" fillId="0" borderId="46" xfId="0" applyNumberFormat="1" applyFont="1" applyFill="1" applyBorder="1" applyAlignment="1">
      <alignment/>
    </xf>
    <xf numFmtId="0" fontId="21" fillId="0" borderId="46" xfId="0" applyFont="1" applyFill="1" applyBorder="1" applyAlignment="1">
      <alignment horizontal="right"/>
    </xf>
    <xf numFmtId="170" fontId="21" fillId="0" borderId="46" xfId="0" applyNumberFormat="1" applyFont="1" applyFill="1" applyBorder="1" applyAlignment="1">
      <alignment horizontal="right"/>
    </xf>
    <xf numFmtId="49" fontId="21" fillId="0" borderId="46" xfId="0" applyNumberFormat="1" applyFont="1" applyFill="1" applyBorder="1" applyAlignment="1">
      <alignment horizontal="right"/>
    </xf>
    <xf numFmtId="3" fontId="31" fillId="0" borderId="46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25" fillId="0" borderId="0" xfId="100" applyNumberFormat="1" applyFill="1">
      <alignment/>
      <protection/>
    </xf>
    <xf numFmtId="0" fontId="25" fillId="0" borderId="0" xfId="100" applyFill="1">
      <alignment/>
      <protection/>
    </xf>
    <xf numFmtId="0" fontId="25" fillId="0" borderId="0" xfId="100" applyFill="1" applyAlignment="1">
      <alignment wrapText="1"/>
      <protection/>
    </xf>
    <xf numFmtId="3" fontId="25" fillId="0" borderId="0" xfId="100" applyNumberFormat="1" applyFill="1">
      <alignment/>
      <protection/>
    </xf>
    <xf numFmtId="3" fontId="25" fillId="42" borderId="0" xfId="100" applyNumberFormat="1" applyFill="1">
      <alignment/>
      <protection/>
    </xf>
    <xf numFmtId="0" fontId="28" fillId="0" borderId="0" xfId="100" applyFont="1" applyFill="1">
      <alignment/>
      <protection/>
    </xf>
    <xf numFmtId="49" fontId="27" fillId="0" borderId="0" xfId="100" applyNumberFormat="1" applyFont="1" applyFill="1">
      <alignment/>
      <protection/>
    </xf>
    <xf numFmtId="0" fontId="30" fillId="0" borderId="13" xfId="100" applyFont="1" applyFill="1" applyBorder="1" applyAlignment="1">
      <alignment wrapText="1"/>
      <protection/>
    </xf>
    <xf numFmtId="3" fontId="30" fillId="0" borderId="14" xfId="100" applyNumberFormat="1" applyFont="1" applyFill="1" applyBorder="1" applyAlignment="1">
      <alignment horizontal="center"/>
      <protection/>
    </xf>
    <xf numFmtId="0" fontId="61" fillId="0" borderId="14" xfId="100" applyFont="1" applyFill="1" applyBorder="1">
      <alignment/>
      <protection/>
    </xf>
    <xf numFmtId="0" fontId="27" fillId="0" borderId="14" xfId="100" applyFont="1" applyFill="1" applyBorder="1">
      <alignment/>
      <protection/>
    </xf>
    <xf numFmtId="3" fontId="30" fillId="42" borderId="14" xfId="100" applyNumberFormat="1" applyFont="1" applyFill="1" applyBorder="1" applyAlignment="1">
      <alignment horizontal="center" wrapText="1"/>
      <protection/>
    </xf>
    <xf numFmtId="0" fontId="27" fillId="0" borderId="0" xfId="100" applyFont="1" applyFill="1">
      <alignment/>
      <protection/>
    </xf>
    <xf numFmtId="3" fontId="28" fillId="0" borderId="16" xfId="100" applyNumberFormat="1" applyFont="1" applyFill="1" applyBorder="1">
      <alignment/>
      <protection/>
    </xf>
    <xf numFmtId="0" fontId="25" fillId="0" borderId="16" xfId="100" applyFill="1" applyBorder="1">
      <alignment/>
      <protection/>
    </xf>
    <xf numFmtId="3" fontId="28" fillId="42" borderId="16" xfId="100" applyNumberFormat="1" applyFont="1" applyFill="1" applyBorder="1">
      <alignment/>
      <protection/>
    </xf>
    <xf numFmtId="0" fontId="28" fillId="0" borderId="26" xfId="100" applyFont="1" applyFill="1" applyBorder="1">
      <alignment/>
      <protection/>
    </xf>
    <xf numFmtId="0" fontId="30" fillId="0" borderId="15" xfId="100" applyFont="1" applyFill="1" applyBorder="1" applyAlignment="1">
      <alignment wrapText="1"/>
      <protection/>
    </xf>
    <xf numFmtId="3" fontId="30" fillId="0" borderId="16" xfId="100" applyNumberFormat="1" applyFont="1" applyFill="1" applyBorder="1">
      <alignment/>
      <protection/>
    </xf>
    <xf numFmtId="3" fontId="30" fillId="42" borderId="16" xfId="100" applyNumberFormat="1" applyFont="1" applyFill="1" applyBorder="1">
      <alignment/>
      <protection/>
    </xf>
    <xf numFmtId="3" fontId="30" fillId="0" borderId="26" xfId="100" applyNumberFormat="1" applyFont="1" applyFill="1" applyBorder="1">
      <alignment/>
      <protection/>
    </xf>
    <xf numFmtId="3" fontId="25" fillId="0" borderId="16" xfId="100" applyNumberFormat="1" applyFont="1" applyFill="1" applyBorder="1">
      <alignment/>
      <protection/>
    </xf>
    <xf numFmtId="49" fontId="25" fillId="0" borderId="0" xfId="100" applyNumberFormat="1" applyFont="1" applyFill="1">
      <alignment/>
      <protection/>
    </xf>
    <xf numFmtId="3" fontId="28" fillId="0" borderId="26" xfId="100" applyNumberFormat="1" applyFont="1" applyFill="1" applyBorder="1">
      <alignment/>
      <protection/>
    </xf>
    <xf numFmtId="0" fontId="25" fillId="0" borderId="0" xfId="100" applyFont="1" applyFill="1">
      <alignment/>
      <protection/>
    </xf>
    <xf numFmtId="0" fontId="25" fillId="0" borderId="16" xfId="100" applyFont="1" applyFill="1" applyBorder="1">
      <alignment/>
      <protection/>
    </xf>
    <xf numFmtId="0" fontId="34" fillId="0" borderId="15" xfId="100" applyFont="1" applyFill="1" applyBorder="1" applyAlignment="1">
      <alignment wrapText="1"/>
      <protection/>
    </xf>
    <xf numFmtId="3" fontId="34" fillId="0" borderId="16" xfId="100" applyNumberFormat="1" applyFont="1" applyFill="1" applyBorder="1">
      <alignment/>
      <protection/>
    </xf>
    <xf numFmtId="3" fontId="34" fillId="42" borderId="16" xfId="100" applyNumberFormat="1" applyFont="1" applyFill="1" applyBorder="1">
      <alignment/>
      <protection/>
    </xf>
    <xf numFmtId="49" fontId="33" fillId="0" borderId="0" xfId="100" applyNumberFormat="1" applyFont="1" applyFill="1">
      <alignment/>
      <protection/>
    </xf>
    <xf numFmtId="0" fontId="33" fillId="0" borderId="0" xfId="100" applyFont="1" applyFill="1">
      <alignment/>
      <protection/>
    </xf>
    <xf numFmtId="0" fontId="27" fillId="0" borderId="16" xfId="100" applyFont="1" applyFill="1" applyBorder="1">
      <alignment/>
      <protection/>
    </xf>
    <xf numFmtId="0" fontId="29" fillId="0" borderId="17" xfId="100" applyFont="1" applyFill="1" applyBorder="1" applyAlignment="1">
      <alignment wrapText="1"/>
      <protection/>
    </xf>
    <xf numFmtId="3" fontId="30" fillId="0" borderId="18" xfId="100" applyNumberFormat="1" applyFont="1" applyFill="1" applyBorder="1">
      <alignment/>
      <protection/>
    </xf>
    <xf numFmtId="3" fontId="30" fillId="42" borderId="18" xfId="100" applyNumberFormat="1" applyFont="1" applyFill="1" applyBorder="1">
      <alignment/>
      <protection/>
    </xf>
    <xf numFmtId="3" fontId="30" fillId="0" borderId="28" xfId="100" applyNumberFormat="1" applyFont="1" applyFill="1" applyBorder="1">
      <alignment/>
      <protection/>
    </xf>
    <xf numFmtId="49" fontId="26" fillId="0" borderId="0" xfId="100" applyNumberFormat="1" applyFont="1" applyFill="1">
      <alignment/>
      <protection/>
    </xf>
    <xf numFmtId="3" fontId="25" fillId="0" borderId="0" xfId="100" applyNumberFormat="1" applyFont="1" applyFill="1">
      <alignment/>
      <protection/>
    </xf>
    <xf numFmtId="0" fontId="26" fillId="0" borderId="0" xfId="100" applyFont="1" applyFill="1">
      <alignment/>
      <protection/>
    </xf>
    <xf numFmtId="0" fontId="29" fillId="0" borderId="0" xfId="100" applyFont="1" applyFill="1">
      <alignment/>
      <protection/>
    </xf>
    <xf numFmtId="3" fontId="25" fillId="0" borderId="0" xfId="100" applyNumberFormat="1" applyFill="1" applyAlignment="1">
      <alignment horizontal="left" wrapText="1"/>
      <protection/>
    </xf>
    <xf numFmtId="49" fontId="28" fillId="0" borderId="0" xfId="100" applyNumberFormat="1" applyFont="1" applyFill="1">
      <alignment/>
      <protection/>
    </xf>
    <xf numFmtId="3" fontId="28" fillId="0" borderId="0" xfId="100" applyNumberFormat="1" applyFont="1" applyFill="1" applyAlignment="1">
      <alignment horizontal="left" wrapText="1"/>
      <protection/>
    </xf>
    <xf numFmtId="3" fontId="28" fillId="0" borderId="0" xfId="100" applyNumberFormat="1" applyFont="1" applyFill="1">
      <alignment/>
      <protection/>
    </xf>
    <xf numFmtId="3" fontId="28" fillId="42" borderId="0" xfId="100" applyNumberFormat="1" applyFont="1" applyFill="1">
      <alignment/>
      <protection/>
    </xf>
    <xf numFmtId="0" fontId="28" fillId="0" borderId="0" xfId="100" applyFont="1" applyFill="1" applyAlignment="1">
      <alignment wrapText="1"/>
      <protection/>
    </xf>
    <xf numFmtId="3" fontId="25" fillId="0" borderId="0" xfId="100" applyNumberFormat="1" applyFill="1" applyAlignment="1">
      <alignment/>
      <protection/>
    </xf>
    <xf numFmtId="3" fontId="25" fillId="0" borderId="0" xfId="100" applyNumberFormat="1" applyFill="1" applyBorder="1">
      <alignment/>
      <protection/>
    </xf>
    <xf numFmtId="3" fontId="25" fillId="42" borderId="0" xfId="100" applyNumberFormat="1" applyFill="1" applyBorder="1">
      <alignment/>
      <protection/>
    </xf>
    <xf numFmtId="3" fontId="27" fillId="0" borderId="0" xfId="100" applyNumberFormat="1" applyFont="1" applyFill="1" applyAlignment="1">
      <alignment/>
      <protection/>
    </xf>
    <xf numFmtId="3" fontId="25" fillId="0" borderId="0" xfId="100" applyNumberFormat="1" applyFont="1" applyFill="1" applyAlignment="1">
      <alignment/>
      <protection/>
    </xf>
    <xf numFmtId="3" fontId="26" fillId="0" borderId="0" xfId="100" applyNumberFormat="1" applyFont="1" applyFill="1" applyAlignment="1">
      <alignment/>
      <protection/>
    </xf>
    <xf numFmtId="0" fontId="25" fillId="0" borderId="0" xfId="100" applyFill="1" applyBorder="1" applyAlignment="1">
      <alignment horizontal="left" wrapText="1"/>
      <protection/>
    </xf>
    <xf numFmtId="3" fontId="51" fillId="0" borderId="48" xfId="107" applyNumberFormat="1" applyFont="1" applyBorder="1" applyAlignment="1">
      <alignment horizontal="left" vertical="center" wrapText="1"/>
      <protection/>
    </xf>
    <xf numFmtId="3" fontId="48" fillId="0" borderId="30" xfId="108" applyNumberFormat="1" applyFont="1" applyBorder="1" applyAlignment="1">
      <alignment vertical="center" wrapText="1"/>
      <protection/>
    </xf>
    <xf numFmtId="3" fontId="51" fillId="0" borderId="30" xfId="108" applyNumberFormat="1" applyFont="1" applyBorder="1" applyAlignment="1">
      <alignment vertical="center" wrapText="1"/>
      <protection/>
    </xf>
    <xf numFmtId="3" fontId="47" fillId="0" borderId="49" xfId="107" applyNumberFormat="1" applyFont="1" applyBorder="1" applyAlignment="1">
      <alignment vertical="center"/>
      <protection/>
    </xf>
    <xf numFmtId="3" fontId="51" fillId="0" borderId="0" xfId="107" applyNumberFormat="1" applyFont="1" applyBorder="1" applyAlignment="1">
      <alignment horizontal="center" vertical="center"/>
      <protection/>
    </xf>
    <xf numFmtId="3" fontId="47" fillId="0" borderId="18" xfId="107" applyNumberFormat="1" applyFont="1" applyBorder="1" applyAlignment="1">
      <alignment horizontal="center" vertical="center" wrapText="1"/>
      <protection/>
    </xf>
    <xf numFmtId="3" fontId="47" fillId="0" borderId="28" xfId="107" applyNumberFormat="1" applyFont="1" applyBorder="1" applyAlignment="1">
      <alignment horizontal="center" vertical="center" wrapText="1"/>
      <protection/>
    </xf>
    <xf numFmtId="3" fontId="47" fillId="0" borderId="25" xfId="107" applyNumberFormat="1" applyFont="1" applyBorder="1" applyAlignment="1">
      <alignment vertical="center"/>
      <protection/>
    </xf>
    <xf numFmtId="3" fontId="51" fillId="0" borderId="15" xfId="107" applyNumberFormat="1" applyFont="1" applyBorder="1" applyAlignment="1">
      <alignment vertical="center"/>
      <protection/>
    </xf>
    <xf numFmtId="3" fontId="47" fillId="0" borderId="15" xfId="107" applyNumberFormat="1" applyFont="1" applyBorder="1" applyAlignment="1">
      <alignment vertical="center"/>
      <protection/>
    </xf>
    <xf numFmtId="3" fontId="22" fillId="0" borderId="0" xfId="100" applyNumberFormat="1" applyFont="1" applyBorder="1">
      <alignment/>
      <protection/>
    </xf>
    <xf numFmtId="0" fontId="22" fillId="0" borderId="0" xfId="100" applyFont="1">
      <alignment/>
      <protection/>
    </xf>
    <xf numFmtId="0" fontId="30" fillId="0" borderId="0" xfId="99" applyFont="1" applyBorder="1" applyAlignment="1">
      <alignment horizontal="center" vertical="center"/>
      <protection/>
    </xf>
    <xf numFmtId="3" fontId="28" fillId="0" borderId="16" xfId="99" applyNumberFormat="1" applyFont="1" applyBorder="1" applyAlignment="1">
      <alignment horizontal="right"/>
      <protection/>
    </xf>
    <xf numFmtId="3" fontId="30" fillId="0" borderId="16" xfId="99" applyNumberFormat="1" applyFont="1" applyBorder="1" applyAlignment="1">
      <alignment horizontal="right"/>
      <protection/>
    </xf>
    <xf numFmtId="0" fontId="28" fillId="0" borderId="16" xfId="99" applyFont="1" applyBorder="1">
      <alignment/>
      <protection/>
    </xf>
    <xf numFmtId="0" fontId="30" fillId="0" borderId="14" xfId="99" applyFont="1" applyBorder="1" applyAlignment="1">
      <alignment horizontal="center" vertical="center" wrapText="1"/>
      <protection/>
    </xf>
    <xf numFmtId="0" fontId="30" fillId="0" borderId="43" xfId="99" applyFont="1" applyBorder="1" applyAlignment="1">
      <alignment horizontal="center" vertical="center" wrapText="1"/>
      <protection/>
    </xf>
    <xf numFmtId="0" fontId="28" fillId="0" borderId="15" xfId="99" applyFont="1" applyBorder="1">
      <alignment/>
      <protection/>
    </xf>
    <xf numFmtId="0" fontId="28" fillId="0" borderId="15" xfId="99" applyFont="1" applyBorder="1" applyAlignment="1">
      <alignment horizontal="left"/>
      <protection/>
    </xf>
    <xf numFmtId="0" fontId="28" fillId="0" borderId="17" xfId="99" applyFont="1" applyBorder="1" applyAlignment="1">
      <alignment horizontal="left"/>
      <protection/>
    </xf>
    <xf numFmtId="0" fontId="28" fillId="0" borderId="18" xfId="99" applyFont="1" applyBorder="1">
      <alignment/>
      <protection/>
    </xf>
    <xf numFmtId="3" fontId="28" fillId="0" borderId="18" xfId="99" applyNumberFormat="1" applyFont="1" applyBorder="1" applyAlignment="1">
      <alignment horizontal="right"/>
      <protection/>
    </xf>
    <xf numFmtId="3" fontId="30" fillId="0" borderId="18" xfId="99" applyNumberFormat="1" applyFont="1" applyBorder="1" applyAlignment="1">
      <alignment horizontal="right"/>
      <protection/>
    </xf>
    <xf numFmtId="0" fontId="30" fillId="0" borderId="16" xfId="101" applyFont="1" applyBorder="1" applyAlignment="1">
      <alignment horizontal="center" wrapText="1"/>
      <protection/>
    </xf>
    <xf numFmtId="3" fontId="30" fillId="0" borderId="16" xfId="101" applyNumberFormat="1" applyFont="1" applyBorder="1">
      <alignment/>
      <protection/>
    </xf>
    <xf numFmtId="0" fontId="30" fillId="0" borderId="16" xfId="101" applyFont="1" applyBorder="1" applyAlignment="1">
      <alignment wrapText="1"/>
      <protection/>
    </xf>
    <xf numFmtId="3" fontId="28" fillId="0" borderId="16" xfId="101" applyNumberFormat="1" applyFont="1" applyBorder="1">
      <alignment/>
      <protection/>
    </xf>
    <xf numFmtId="0" fontId="28" fillId="0" borderId="16" xfId="101" applyFont="1" applyBorder="1" applyAlignment="1">
      <alignment wrapText="1"/>
      <protection/>
    </xf>
    <xf numFmtId="0" fontId="30" fillId="0" borderId="15" xfId="101" applyFont="1" applyBorder="1">
      <alignment/>
      <protection/>
    </xf>
    <xf numFmtId="0" fontId="30" fillId="0" borderId="17" xfId="101" applyFont="1" applyBorder="1">
      <alignment/>
      <protection/>
    </xf>
    <xf numFmtId="3" fontId="30" fillId="0" borderId="18" xfId="101" applyNumberFormat="1" applyFont="1" applyBorder="1">
      <alignment/>
      <protection/>
    </xf>
    <xf numFmtId="0" fontId="30" fillId="0" borderId="18" xfId="101" applyFont="1" applyBorder="1">
      <alignment/>
      <protection/>
    </xf>
    <xf numFmtId="0" fontId="30" fillId="0" borderId="16" xfId="101" applyFont="1" applyBorder="1" applyAlignment="1">
      <alignment horizontal="left" vertical="center"/>
      <protection/>
    </xf>
    <xf numFmtId="3" fontId="30" fillId="0" borderId="16" xfId="101" applyNumberFormat="1" applyFont="1" applyBorder="1" applyAlignment="1">
      <alignment horizontal="right" vertical="center"/>
      <protection/>
    </xf>
    <xf numFmtId="0" fontId="28" fillId="0" borderId="16" xfId="101" applyFont="1" applyBorder="1" applyAlignment="1">
      <alignment horizontal="left" vertical="center" wrapText="1"/>
      <protection/>
    </xf>
    <xf numFmtId="3" fontId="28" fillId="0" borderId="16" xfId="101" applyNumberFormat="1" applyFont="1" applyBorder="1" applyAlignment="1">
      <alignment horizontal="right" vertical="center"/>
      <protection/>
    </xf>
    <xf numFmtId="0" fontId="30" fillId="0" borderId="15" xfId="101" applyFont="1" applyBorder="1" applyAlignment="1">
      <alignment horizontal="left" vertical="center"/>
      <protection/>
    </xf>
    <xf numFmtId="0" fontId="30" fillId="0" borderId="17" xfId="101" applyFont="1" applyBorder="1" applyAlignment="1">
      <alignment horizontal="left" vertical="center"/>
      <protection/>
    </xf>
    <xf numFmtId="3" fontId="30" fillId="0" borderId="18" xfId="101" applyNumberFormat="1" applyFont="1" applyBorder="1" applyAlignment="1">
      <alignment horizontal="right" vertical="center"/>
      <protection/>
    </xf>
    <xf numFmtId="0" fontId="30" fillId="0" borderId="18" xfId="101" applyFont="1" applyBorder="1" applyAlignment="1">
      <alignment horizontal="left" vertical="center"/>
      <protection/>
    </xf>
    <xf numFmtId="3" fontId="47" fillId="0" borderId="16" xfId="108" applyNumberFormat="1" applyFont="1" applyBorder="1">
      <alignment/>
      <protection/>
    </xf>
    <xf numFmtId="3" fontId="59" fillId="0" borderId="16" xfId="108" applyNumberFormat="1" applyFont="1" applyBorder="1">
      <alignment/>
      <protection/>
    </xf>
    <xf numFmtId="3" fontId="47" fillId="0" borderId="14" xfId="108" applyNumberFormat="1" applyFont="1" applyBorder="1" applyAlignment="1">
      <alignment horizontal="center"/>
      <protection/>
    </xf>
    <xf numFmtId="3" fontId="47" fillId="0" borderId="18" xfId="108" applyNumberFormat="1" applyFont="1" applyBorder="1">
      <alignment/>
      <protection/>
    </xf>
    <xf numFmtId="0" fontId="30" fillId="0" borderId="15" xfId="101" applyFont="1" applyBorder="1" applyAlignment="1">
      <alignment wrapText="1"/>
      <protection/>
    </xf>
    <xf numFmtId="0" fontId="30" fillId="0" borderId="0" xfId="101" applyFont="1" applyBorder="1">
      <alignment/>
      <protection/>
    </xf>
    <xf numFmtId="3" fontId="30" fillId="0" borderId="0" xfId="101" applyNumberFormat="1" applyFont="1" applyBorder="1">
      <alignment/>
      <protection/>
    </xf>
    <xf numFmtId="0" fontId="30" fillId="0" borderId="16" xfId="101" applyFont="1" applyBorder="1" applyAlignment="1">
      <alignment horizontal="left" vertical="center" wrapText="1"/>
      <protection/>
    </xf>
    <xf numFmtId="3" fontId="30" fillId="0" borderId="0" xfId="101" applyNumberFormat="1" applyFont="1">
      <alignment/>
      <protection/>
    </xf>
    <xf numFmtId="49" fontId="20" fillId="0" borderId="15" xfId="0" applyNumberFormat="1" applyFont="1" applyBorder="1" applyAlignment="1">
      <alignment horizontal="left" wrapText="1"/>
    </xf>
    <xf numFmtId="49" fontId="20" fillId="0" borderId="16" xfId="0" applyNumberFormat="1" applyFont="1" applyBorder="1" applyAlignment="1">
      <alignment horizontal="left" wrapText="1"/>
    </xf>
    <xf numFmtId="0" fontId="28" fillId="0" borderId="50" xfId="100" applyFont="1" applyBorder="1" applyAlignment="1">
      <alignment wrapText="1"/>
      <protection/>
    </xf>
    <xf numFmtId="3" fontId="28" fillId="0" borderId="44" xfId="100" applyNumberFormat="1" applyFont="1" applyBorder="1">
      <alignment/>
      <protection/>
    </xf>
    <xf numFmtId="3" fontId="29" fillId="0" borderId="44" xfId="100" applyNumberFormat="1" applyFont="1" applyBorder="1">
      <alignment/>
      <protection/>
    </xf>
    <xf numFmtId="3" fontId="65" fillId="0" borderId="51" xfId="100" applyNumberFormat="1" applyFont="1" applyBorder="1">
      <alignment/>
      <protection/>
    </xf>
    <xf numFmtId="0" fontId="20" fillId="0" borderId="30" xfId="0" applyFont="1" applyBorder="1" applyAlignment="1">
      <alignment horizontal="left"/>
    </xf>
    <xf numFmtId="0" fontId="40" fillId="0" borderId="52" xfId="104" applyFont="1" applyBorder="1" applyAlignment="1">
      <alignment horizontal="center" wrapText="1"/>
      <protection/>
    </xf>
    <xf numFmtId="49" fontId="40" fillId="0" borderId="53" xfId="104" applyNumberFormat="1" applyFont="1" applyBorder="1" applyAlignment="1">
      <alignment wrapText="1"/>
      <protection/>
    </xf>
    <xf numFmtId="49" fontId="41" fillId="0" borderId="53" xfId="104" applyNumberFormat="1" applyFont="1" applyBorder="1" applyAlignment="1">
      <alignment wrapText="1"/>
      <protection/>
    </xf>
    <xf numFmtId="3" fontId="40" fillId="0" borderId="38" xfId="104" applyNumberFormat="1" applyFont="1" applyBorder="1">
      <alignment/>
      <protection/>
    </xf>
    <xf numFmtId="3" fontId="41" fillId="0" borderId="38" xfId="104" applyNumberFormat="1" applyFont="1" applyBorder="1">
      <alignment/>
      <protection/>
    </xf>
    <xf numFmtId="3" fontId="43" fillId="0" borderId="38" xfId="106" applyNumberFormat="1" applyFont="1" applyBorder="1">
      <alignment/>
      <protection/>
    </xf>
    <xf numFmtId="3" fontId="42" fillId="0" borderId="38" xfId="104" applyNumberFormat="1" applyFont="1" applyBorder="1">
      <alignment/>
      <protection/>
    </xf>
    <xf numFmtId="3" fontId="40" fillId="0" borderId="34" xfId="104" applyNumberFormat="1" applyFont="1" applyBorder="1">
      <alignment/>
      <protection/>
    </xf>
    <xf numFmtId="3" fontId="40" fillId="0" borderId="54" xfId="104" applyNumberFormat="1" applyFont="1" applyBorder="1">
      <alignment/>
      <protection/>
    </xf>
    <xf numFmtId="0" fontId="41" fillId="0" borderId="55" xfId="104" applyFont="1" applyBorder="1" applyAlignment="1">
      <alignment wrapText="1"/>
      <protection/>
    </xf>
    <xf numFmtId="0" fontId="40" fillId="0" borderId="56" xfId="104" applyFont="1" applyBorder="1" applyAlignment="1">
      <alignment horizontal="center" wrapText="1"/>
      <protection/>
    </xf>
    <xf numFmtId="49" fontId="40" fillId="0" borderId="57" xfId="104" applyNumberFormat="1" applyFont="1" applyBorder="1" applyAlignment="1">
      <alignment wrapText="1"/>
      <protection/>
    </xf>
    <xf numFmtId="49" fontId="41" fillId="0" borderId="39" xfId="104" applyNumberFormat="1" applyFont="1" applyBorder="1" applyAlignment="1">
      <alignment wrapText="1"/>
      <protection/>
    </xf>
    <xf numFmtId="49" fontId="40" fillId="0" borderId="40" xfId="104" applyNumberFormat="1" applyFont="1" applyBorder="1" applyAlignment="1">
      <alignment wrapText="1"/>
      <protection/>
    </xf>
    <xf numFmtId="49" fontId="41" fillId="0" borderId="40" xfId="104" applyNumberFormat="1" applyFont="1" applyBorder="1" applyAlignment="1">
      <alignment wrapText="1"/>
      <protection/>
    </xf>
    <xf numFmtId="49" fontId="41" fillId="0" borderId="40" xfId="104" applyNumberFormat="1" applyFont="1" applyBorder="1" applyAlignment="1">
      <alignment wrapText="1"/>
      <protection/>
    </xf>
    <xf numFmtId="49" fontId="40" fillId="0" borderId="40" xfId="104" applyNumberFormat="1" applyFont="1" applyBorder="1" applyAlignment="1">
      <alignment wrapText="1"/>
      <protection/>
    </xf>
    <xf numFmtId="49" fontId="41" fillId="0" borderId="58" xfId="104" applyNumberFormat="1" applyFont="1" applyBorder="1" applyAlignment="1">
      <alignment wrapText="1"/>
      <protection/>
    </xf>
    <xf numFmtId="49" fontId="40" fillId="0" borderId="38" xfId="104" applyNumberFormat="1" applyFont="1" applyBorder="1" applyAlignment="1">
      <alignment wrapText="1"/>
      <protection/>
    </xf>
    <xf numFmtId="49" fontId="41" fillId="0" borderId="38" xfId="104" applyNumberFormat="1" applyFont="1" applyBorder="1" applyAlignment="1">
      <alignment wrapText="1"/>
      <protection/>
    </xf>
    <xf numFmtId="0" fontId="40" fillId="0" borderId="59" xfId="104" applyFont="1" applyBorder="1" applyAlignment="1">
      <alignment wrapText="1"/>
      <protection/>
    </xf>
    <xf numFmtId="0" fontId="40" fillId="0" borderId="42" xfId="104" applyFont="1" applyBorder="1" applyAlignment="1">
      <alignment wrapText="1"/>
      <protection/>
    </xf>
    <xf numFmtId="0" fontId="40" fillId="0" borderId="39" xfId="104" applyFont="1" applyBorder="1" applyAlignment="1">
      <alignment wrapText="1"/>
      <protection/>
    </xf>
    <xf numFmtId="0" fontId="40" fillId="0" borderId="60" xfId="104" applyFont="1" applyBorder="1" applyAlignment="1">
      <alignment wrapText="1"/>
      <protection/>
    </xf>
    <xf numFmtId="0" fontId="40" fillId="0" borderId="61" xfId="109" applyFont="1" applyBorder="1" applyAlignment="1">
      <alignment wrapText="1"/>
      <protection/>
    </xf>
    <xf numFmtId="3" fontId="40" fillId="0" borderId="39" xfId="104" applyNumberFormat="1" applyFont="1" applyBorder="1">
      <alignment/>
      <protection/>
    </xf>
    <xf numFmtId="3" fontId="41" fillId="0" borderId="39" xfId="104" applyNumberFormat="1" applyFont="1" applyBorder="1">
      <alignment/>
      <protection/>
    </xf>
    <xf numFmtId="3" fontId="40" fillId="0" borderId="40" xfId="104" applyNumberFormat="1" applyFont="1" applyBorder="1">
      <alignment/>
      <protection/>
    </xf>
    <xf numFmtId="3" fontId="41" fillId="0" borderId="58" xfId="104" applyNumberFormat="1" applyFont="1" applyBorder="1">
      <alignment/>
      <protection/>
    </xf>
    <xf numFmtId="3" fontId="41" fillId="0" borderId="38" xfId="104" applyNumberFormat="1" applyFont="1" applyBorder="1">
      <alignment/>
      <protection/>
    </xf>
    <xf numFmtId="3" fontId="40" fillId="0" borderId="59" xfId="104" applyNumberFormat="1" applyFont="1" applyBorder="1">
      <alignment/>
      <protection/>
    </xf>
    <xf numFmtId="3" fontId="40" fillId="0" borderId="42" xfId="104" applyNumberFormat="1" applyFont="1" applyBorder="1">
      <alignment/>
      <protection/>
    </xf>
    <xf numFmtId="3" fontId="40" fillId="0" borderId="39" xfId="104" applyNumberFormat="1" applyFont="1" applyBorder="1">
      <alignment/>
      <protection/>
    </xf>
    <xf numFmtId="3" fontId="40" fillId="0" borderId="60" xfId="104" applyNumberFormat="1" applyFont="1" applyBorder="1">
      <alignment/>
      <protection/>
    </xf>
    <xf numFmtId="3" fontId="40" fillId="0" borderId="61" xfId="109" applyNumberFormat="1" applyFont="1" applyBorder="1">
      <alignment/>
      <protection/>
    </xf>
    <xf numFmtId="0" fontId="40" fillId="0" borderId="62" xfId="104" applyFont="1" applyBorder="1" applyAlignment="1">
      <alignment horizontal="left" wrapText="1"/>
      <protection/>
    </xf>
    <xf numFmtId="0" fontId="40" fillId="0" borderId="55" xfId="104" applyFont="1" applyBorder="1" applyAlignment="1">
      <alignment wrapText="1"/>
      <protection/>
    </xf>
    <xf numFmtId="0" fontId="41" fillId="0" borderId="55" xfId="109" applyFont="1" applyBorder="1" applyAlignment="1">
      <alignment wrapText="1"/>
      <protection/>
    </xf>
    <xf numFmtId="0" fontId="43" fillId="0" borderId="55" xfId="106" applyFont="1" applyBorder="1" applyAlignment="1">
      <alignment wrapText="1"/>
      <protection/>
    </xf>
    <xf numFmtId="49" fontId="48" fillId="0" borderId="55" xfId="106" applyNumberFormat="1" applyFont="1" applyBorder="1" applyAlignment="1">
      <alignment wrapText="1"/>
      <protection/>
    </xf>
    <xf numFmtId="49" fontId="43" fillId="0" borderId="55" xfId="106" applyNumberFormat="1" applyFont="1" applyBorder="1" applyAlignment="1">
      <alignment wrapText="1"/>
      <protection/>
    </xf>
    <xf numFmtId="0" fontId="41" fillId="0" borderId="55" xfId="109" applyFont="1" applyBorder="1" applyAlignment="1">
      <alignment wrapText="1" shrinkToFit="1"/>
      <protection/>
    </xf>
    <xf numFmtId="0" fontId="42" fillId="0" borderId="55" xfId="109" applyFont="1" applyBorder="1" applyAlignment="1">
      <alignment wrapText="1" shrinkToFit="1"/>
      <protection/>
    </xf>
    <xf numFmtId="49" fontId="41" fillId="0" borderId="55" xfId="104" applyNumberFormat="1" applyFont="1" applyBorder="1" applyAlignment="1">
      <alignment wrapText="1"/>
      <protection/>
    </xf>
    <xf numFmtId="0" fontId="40" fillId="0" borderId="55" xfId="104" applyFont="1" applyBorder="1" applyAlignment="1">
      <alignment wrapText="1"/>
      <protection/>
    </xf>
    <xf numFmtId="0" fontId="35" fillId="0" borderId="55" xfId="0" applyFont="1" applyBorder="1" applyAlignment="1">
      <alignment/>
    </xf>
    <xf numFmtId="0" fontId="40" fillId="0" borderId="63" xfId="109" applyFont="1" applyBorder="1" applyAlignment="1">
      <alignment wrapText="1"/>
      <protection/>
    </xf>
    <xf numFmtId="49" fontId="40" fillId="0" borderId="64" xfId="104" applyNumberFormat="1" applyFont="1" applyBorder="1" applyAlignment="1">
      <alignment wrapText="1"/>
      <protection/>
    </xf>
    <xf numFmtId="49" fontId="41" fillId="0" borderId="65" xfId="104" applyNumberFormat="1" applyFont="1" applyBorder="1" applyAlignment="1">
      <alignment wrapText="1"/>
      <protection/>
    </xf>
    <xf numFmtId="49" fontId="40" fillId="0" borderId="65" xfId="104" applyNumberFormat="1" applyFont="1" applyBorder="1" applyAlignment="1">
      <alignment wrapText="1"/>
      <protection/>
    </xf>
    <xf numFmtId="49" fontId="40" fillId="0" borderId="53" xfId="104" applyNumberFormat="1" applyFont="1" applyBorder="1" applyAlignment="1">
      <alignment wrapText="1"/>
      <protection/>
    </xf>
    <xf numFmtId="49" fontId="41" fillId="0" borderId="66" xfId="104" applyNumberFormat="1" applyFont="1" applyBorder="1" applyAlignment="1">
      <alignment wrapText="1"/>
      <protection/>
    </xf>
    <xf numFmtId="49" fontId="40" fillId="0" borderId="67" xfId="104" applyNumberFormat="1" applyFont="1" applyBorder="1" applyAlignment="1">
      <alignment wrapText="1"/>
      <protection/>
    </xf>
    <xf numFmtId="0" fontId="40" fillId="0" borderId="67" xfId="104" applyFont="1" applyBorder="1" applyAlignment="1">
      <alignment wrapText="1"/>
      <protection/>
    </xf>
    <xf numFmtId="0" fontId="40" fillId="0" borderId="22" xfId="104" applyFont="1" applyBorder="1" applyAlignment="1">
      <alignment wrapText="1"/>
      <protection/>
    </xf>
    <xf numFmtId="0" fontId="40" fillId="0" borderId="56" xfId="104" applyFont="1" applyBorder="1" applyAlignment="1">
      <alignment horizontal="center"/>
      <protection/>
    </xf>
    <xf numFmtId="3" fontId="40" fillId="0" borderId="57" xfId="104" applyNumberFormat="1" applyFont="1" applyBorder="1">
      <alignment/>
      <protection/>
    </xf>
    <xf numFmtId="3" fontId="40" fillId="0" borderId="68" xfId="104" applyNumberFormat="1" applyFont="1" applyBorder="1">
      <alignment/>
      <protection/>
    </xf>
    <xf numFmtId="0" fontId="42" fillId="0" borderId="0" xfId="104" applyFont="1" applyBorder="1" applyAlignment="1">
      <alignment wrapText="1"/>
      <protection/>
    </xf>
    <xf numFmtId="3" fontId="20" fillId="0" borderId="54" xfId="104" applyNumberFormat="1" applyFont="1" applyBorder="1">
      <alignment/>
      <protection/>
    </xf>
    <xf numFmtId="3" fontId="20" fillId="0" borderId="38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55" fillId="0" borderId="38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0" fontId="22" fillId="0" borderId="33" xfId="0" applyFont="1" applyBorder="1" applyAlignment="1">
      <alignment/>
    </xf>
    <xf numFmtId="3" fontId="20" fillId="0" borderId="6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40" fillId="0" borderId="70" xfId="104" applyFont="1" applyBorder="1" applyAlignment="1">
      <alignment horizontal="center" wrapText="1"/>
      <protection/>
    </xf>
    <xf numFmtId="0" fontId="40" fillId="0" borderId="71" xfId="104" applyFont="1" applyBorder="1" applyAlignment="1">
      <alignment wrapText="1"/>
      <protection/>
    </xf>
    <xf numFmtId="0" fontId="40" fillId="0" borderId="72" xfId="104" applyFont="1" applyBorder="1" applyAlignment="1">
      <alignment wrapText="1"/>
      <protection/>
    </xf>
    <xf numFmtId="0" fontId="40" fillId="0" borderId="24" xfId="104" applyFont="1" applyBorder="1" applyAlignment="1">
      <alignment horizontal="left" wrapText="1"/>
      <protection/>
    </xf>
    <xf numFmtId="0" fontId="38" fillId="0" borderId="73" xfId="0" applyFont="1" applyBorder="1" applyAlignment="1">
      <alignment wrapText="1"/>
    </xf>
    <xf numFmtId="0" fontId="42" fillId="0" borderId="24" xfId="104" applyFont="1" applyBorder="1" applyAlignment="1">
      <alignment wrapText="1"/>
      <protection/>
    </xf>
    <xf numFmtId="3" fontId="42" fillId="0" borderId="24" xfId="104" applyNumberFormat="1" applyFont="1" applyBorder="1" applyAlignment="1">
      <alignment wrapText="1"/>
      <protection/>
    </xf>
    <xf numFmtId="0" fontId="40" fillId="0" borderId="74" xfId="104" applyFont="1" applyBorder="1" applyAlignment="1">
      <alignment wrapText="1"/>
      <protection/>
    </xf>
    <xf numFmtId="0" fontId="40" fillId="0" borderId="70" xfId="104" applyFont="1" applyBorder="1" applyAlignment="1">
      <alignment wrapText="1"/>
      <protection/>
    </xf>
    <xf numFmtId="3" fontId="40" fillId="0" borderId="40" xfId="104" applyNumberFormat="1" applyFont="1" applyBorder="1">
      <alignment/>
      <protection/>
    </xf>
    <xf numFmtId="3" fontId="42" fillId="0" borderId="40" xfId="104" applyNumberFormat="1" applyFont="1" applyBorder="1">
      <alignment/>
      <protection/>
    </xf>
    <xf numFmtId="3" fontId="42" fillId="0" borderId="59" xfId="104" applyNumberFormat="1" applyFont="1" applyBorder="1">
      <alignment/>
      <protection/>
    </xf>
    <xf numFmtId="3" fontId="22" fillId="0" borderId="30" xfId="0" applyNumberFormat="1" applyFont="1" applyBorder="1" applyAlignment="1">
      <alignment/>
    </xf>
    <xf numFmtId="3" fontId="32" fillId="0" borderId="18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75" xfId="0" applyBorder="1" applyAlignment="1">
      <alignment/>
    </xf>
    <xf numFmtId="0" fontId="28" fillId="0" borderId="15" xfId="0" applyFont="1" applyBorder="1" applyAlignment="1">
      <alignment horizontal="left" vertical="center" wrapText="1"/>
    </xf>
    <xf numFmtId="0" fontId="40" fillId="0" borderId="76" xfId="104" applyFont="1" applyBorder="1" applyAlignment="1">
      <alignment horizontal="center"/>
      <protection/>
    </xf>
    <xf numFmtId="3" fontId="20" fillId="0" borderId="37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2" fillId="0" borderId="38" xfId="0" applyNumberFormat="1" applyFont="1" applyBorder="1" applyAlignment="1">
      <alignment horizontal="right" wrapText="1"/>
    </xf>
    <xf numFmtId="3" fontId="20" fillId="0" borderId="38" xfId="0" applyNumberFormat="1" applyFont="1" applyBorder="1" applyAlignment="1">
      <alignment horizontal="right" wrapText="1"/>
    </xf>
    <xf numFmtId="3" fontId="20" fillId="0" borderId="34" xfId="0" applyNumberFormat="1" applyFont="1" applyBorder="1" applyAlignment="1">
      <alignment/>
    </xf>
    <xf numFmtId="0" fontId="22" fillId="0" borderId="48" xfId="0" applyFont="1" applyBorder="1" applyAlignment="1">
      <alignment/>
    </xf>
    <xf numFmtId="3" fontId="20" fillId="0" borderId="49" xfId="0" applyNumberFormat="1" applyFont="1" applyBorder="1" applyAlignment="1">
      <alignment horizontal="center" vertical="center" wrapText="1"/>
    </xf>
    <xf numFmtId="3" fontId="20" fillId="0" borderId="48" xfId="0" applyNumberFormat="1" applyFont="1" applyBorder="1" applyAlignment="1">
      <alignment/>
    </xf>
    <xf numFmtId="0" fontId="22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55" fillId="0" borderId="30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3" fontId="40" fillId="0" borderId="65" xfId="104" applyNumberFormat="1" applyFont="1" applyBorder="1">
      <alignment/>
      <protection/>
    </xf>
    <xf numFmtId="3" fontId="41" fillId="0" borderId="65" xfId="104" applyNumberFormat="1" applyFont="1" applyBorder="1">
      <alignment/>
      <protection/>
    </xf>
    <xf numFmtId="3" fontId="40" fillId="0" borderId="53" xfId="104" applyNumberFormat="1" applyFont="1" applyBorder="1">
      <alignment/>
      <protection/>
    </xf>
    <xf numFmtId="3" fontId="41" fillId="0" borderId="53" xfId="104" applyNumberFormat="1" applyFont="1" applyBorder="1">
      <alignment/>
      <protection/>
    </xf>
    <xf numFmtId="3" fontId="40" fillId="0" borderId="30" xfId="104" applyNumberFormat="1" applyFont="1" applyBorder="1">
      <alignment/>
      <protection/>
    </xf>
    <xf numFmtId="3" fontId="40" fillId="0" borderId="19" xfId="104" applyNumberFormat="1" applyFont="1" applyBorder="1">
      <alignment/>
      <protection/>
    </xf>
    <xf numFmtId="3" fontId="40" fillId="0" borderId="77" xfId="104" applyNumberFormat="1" applyFont="1" applyBorder="1">
      <alignment/>
      <protection/>
    </xf>
    <xf numFmtId="3" fontId="40" fillId="0" borderId="65" xfId="104" applyNumberFormat="1" applyFont="1" applyBorder="1">
      <alignment/>
      <protection/>
    </xf>
    <xf numFmtId="3" fontId="40" fillId="0" borderId="67" xfId="104" applyNumberFormat="1" applyFont="1" applyBorder="1">
      <alignment/>
      <protection/>
    </xf>
    <xf numFmtId="3" fontId="40" fillId="0" borderId="78" xfId="109" applyNumberFormat="1" applyFont="1" applyBorder="1">
      <alignment/>
      <protection/>
    </xf>
    <xf numFmtId="0" fontId="40" fillId="0" borderId="75" xfId="104" applyFont="1" applyBorder="1" applyAlignment="1">
      <alignment horizontal="center" wrapText="1"/>
      <protection/>
    </xf>
    <xf numFmtId="0" fontId="40" fillId="0" borderId="68" xfId="104" applyFont="1" applyBorder="1" applyAlignment="1">
      <alignment horizontal="center"/>
      <protection/>
    </xf>
    <xf numFmtId="3" fontId="40" fillId="0" borderId="68" xfId="0" applyNumberFormat="1" applyFont="1" applyBorder="1" applyAlignment="1">
      <alignment horizontal="center" vertical="center" wrapText="1"/>
    </xf>
    <xf numFmtId="3" fontId="40" fillId="0" borderId="79" xfId="104" applyNumberFormat="1" applyFont="1" applyBorder="1">
      <alignment/>
      <protection/>
    </xf>
    <xf numFmtId="3" fontId="40" fillId="0" borderId="30" xfId="104" applyNumberFormat="1" applyFont="1" applyBorder="1">
      <alignment/>
      <protection/>
    </xf>
    <xf numFmtId="3" fontId="41" fillId="0" borderId="30" xfId="104" applyNumberFormat="1" applyFont="1" applyBorder="1">
      <alignment/>
      <protection/>
    </xf>
    <xf numFmtId="3" fontId="43" fillId="0" borderId="30" xfId="106" applyNumberFormat="1" applyFont="1" applyBorder="1">
      <alignment/>
      <protection/>
    </xf>
    <xf numFmtId="0" fontId="22" fillId="0" borderId="30" xfId="104" applyFont="1" applyBorder="1">
      <alignment/>
      <protection/>
    </xf>
    <xf numFmtId="3" fontId="40" fillId="0" borderId="49" xfId="104" applyNumberFormat="1" applyFont="1" applyBorder="1">
      <alignment/>
      <protection/>
    </xf>
    <xf numFmtId="3" fontId="40" fillId="0" borderId="22" xfId="0" applyNumberFormat="1" applyFont="1" applyBorder="1" applyAlignment="1">
      <alignment horizontal="center" vertical="center" wrapText="1"/>
    </xf>
    <xf numFmtId="0" fontId="40" fillId="0" borderId="80" xfId="104" applyFont="1" applyBorder="1" applyAlignment="1">
      <alignment horizontal="center"/>
      <protection/>
    </xf>
    <xf numFmtId="0" fontId="20" fillId="0" borderId="81" xfId="104" applyFont="1" applyBorder="1">
      <alignment/>
      <protection/>
    </xf>
    <xf numFmtId="3" fontId="40" fillId="0" borderId="26" xfId="0" applyNumberFormat="1" applyFont="1" applyBorder="1" applyAlignment="1">
      <alignment horizontal="center" vertical="center" wrapText="1"/>
    </xf>
    <xf numFmtId="3" fontId="35" fillId="0" borderId="33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3" fontId="35" fillId="0" borderId="33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 wrapText="1"/>
    </xf>
    <xf numFmtId="3" fontId="38" fillId="0" borderId="33" xfId="0" applyNumberFormat="1" applyFont="1" applyBorder="1" applyAlignment="1">
      <alignment wrapText="1"/>
    </xf>
    <xf numFmtId="3" fontId="35" fillId="0" borderId="33" xfId="0" applyNumberFormat="1" applyFont="1" applyBorder="1" applyAlignment="1">
      <alignment wrapText="1"/>
    </xf>
    <xf numFmtId="0" fontId="21" fillId="0" borderId="33" xfId="0" applyFont="1" applyBorder="1" applyAlignment="1">
      <alignment/>
    </xf>
    <xf numFmtId="3" fontId="35" fillId="0" borderId="15" xfId="0" applyNumberFormat="1" applyFont="1" applyBorder="1" applyAlignment="1">
      <alignment horizontal="center" wrapText="1"/>
    </xf>
    <xf numFmtId="3" fontId="35" fillId="0" borderId="15" xfId="0" applyNumberFormat="1" applyFont="1" applyBorder="1" applyAlignment="1">
      <alignment/>
    </xf>
    <xf numFmtId="3" fontId="35" fillId="0" borderId="17" xfId="0" applyNumberFormat="1" applyFont="1" applyBorder="1" applyAlignment="1">
      <alignment/>
    </xf>
    <xf numFmtId="0" fontId="30" fillId="0" borderId="50" xfId="102" applyFont="1" applyFill="1" applyBorder="1" applyAlignment="1">
      <alignment horizontal="center" vertical="center" wrapText="1"/>
      <protection/>
    </xf>
    <xf numFmtId="3" fontId="56" fillId="0" borderId="44" xfId="0" applyNumberFormat="1" applyFont="1" applyBorder="1" applyAlignment="1">
      <alignment horizontal="left" wrapText="1"/>
    </xf>
    <xf numFmtId="3" fontId="30" fillId="0" borderId="44" xfId="102" applyNumberFormat="1" applyFont="1" applyFill="1" applyBorder="1" applyAlignment="1">
      <alignment vertical="center"/>
      <protection/>
    </xf>
    <xf numFmtId="3" fontId="30" fillId="0" borderId="51" xfId="102" applyNumberFormat="1" applyFont="1" applyFill="1" applyBorder="1" applyAlignment="1">
      <alignment horizontal="right" vertical="center"/>
      <protection/>
    </xf>
    <xf numFmtId="0" fontId="52" fillId="0" borderId="17" xfId="102" applyFont="1" applyFill="1" applyBorder="1" applyAlignment="1">
      <alignment horizontal="center" vertical="center"/>
      <protection/>
    </xf>
    <xf numFmtId="0" fontId="28" fillId="0" borderId="50" xfId="102" applyFont="1" applyFill="1" applyBorder="1">
      <alignment/>
      <protection/>
    </xf>
    <xf numFmtId="3" fontId="30" fillId="0" borderId="51" xfId="102" applyNumberFormat="1" applyFont="1" applyFill="1" applyBorder="1" applyAlignment="1">
      <alignment vertical="center"/>
      <protection/>
    </xf>
    <xf numFmtId="3" fontId="52" fillId="0" borderId="36" xfId="0" applyNumberFormat="1" applyFont="1" applyFill="1" applyBorder="1" applyAlignment="1">
      <alignment horizontal="center" wrapText="1"/>
    </xf>
    <xf numFmtId="0" fontId="28" fillId="0" borderId="33" xfId="100" applyFont="1" applyFill="1" applyBorder="1">
      <alignment/>
      <protection/>
    </xf>
    <xf numFmtId="3" fontId="30" fillId="0" borderId="33" xfId="100" applyNumberFormat="1" applyFont="1" applyFill="1" applyBorder="1">
      <alignment/>
      <protection/>
    </xf>
    <xf numFmtId="3" fontId="28" fillId="0" borderId="33" xfId="100" applyNumberFormat="1" applyFont="1" applyFill="1" applyBorder="1">
      <alignment/>
      <protection/>
    </xf>
    <xf numFmtId="3" fontId="34" fillId="0" borderId="33" xfId="100" applyNumberFormat="1" applyFont="1" applyFill="1" applyBorder="1">
      <alignment/>
      <protection/>
    </xf>
    <xf numFmtId="0" fontId="30" fillId="0" borderId="33" xfId="100" applyFont="1" applyFill="1" applyBorder="1">
      <alignment/>
      <protection/>
    </xf>
    <xf numFmtId="3" fontId="30" fillId="0" borderId="35" xfId="100" applyNumberFormat="1" applyFont="1" applyFill="1" applyBorder="1">
      <alignment/>
      <protection/>
    </xf>
    <xf numFmtId="3" fontId="22" fillId="0" borderId="33" xfId="0" applyNumberFormat="1" applyFont="1" applyBorder="1" applyAlignment="1">
      <alignment horizontal="right"/>
    </xf>
    <xf numFmtId="3" fontId="20" fillId="0" borderId="33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3" fontId="20" fillId="0" borderId="36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3" fontId="20" fillId="0" borderId="35" xfId="0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center" wrapText="1"/>
    </xf>
    <xf numFmtId="0" fontId="22" fillId="0" borderId="33" xfId="100" applyFont="1" applyBorder="1">
      <alignment/>
      <protection/>
    </xf>
    <xf numFmtId="3" fontId="22" fillId="0" borderId="33" xfId="100" applyNumberFormat="1" applyFont="1" applyBorder="1">
      <alignment/>
      <protection/>
    </xf>
    <xf numFmtId="3" fontId="20" fillId="0" borderId="33" xfId="100" applyNumberFormat="1" applyFont="1" applyBorder="1">
      <alignment/>
      <protection/>
    </xf>
    <xf numFmtId="3" fontId="24" fillId="0" borderId="33" xfId="100" applyNumberFormat="1" applyFont="1" applyBorder="1">
      <alignment/>
      <protection/>
    </xf>
    <xf numFmtId="3" fontId="65" fillId="0" borderId="33" xfId="100" applyNumberFormat="1" applyFont="1" applyBorder="1">
      <alignment/>
      <protection/>
    </xf>
    <xf numFmtId="3" fontId="22" fillId="0" borderId="69" xfId="100" applyNumberFormat="1" applyFont="1" applyBorder="1">
      <alignment/>
      <protection/>
    </xf>
    <xf numFmtId="3" fontId="65" fillId="0" borderId="69" xfId="100" applyNumberFormat="1" applyFont="1" applyBorder="1">
      <alignment/>
      <protection/>
    </xf>
    <xf numFmtId="3" fontId="30" fillId="0" borderId="35" xfId="100" applyNumberFormat="1" applyFont="1" applyBorder="1">
      <alignment/>
      <protection/>
    </xf>
    <xf numFmtId="3" fontId="20" fillId="0" borderId="35" xfId="100" applyNumberFormat="1" applyFont="1" applyBorder="1">
      <alignment/>
      <protection/>
    </xf>
    <xf numFmtId="3" fontId="30" fillId="0" borderId="33" xfId="100" applyNumberFormat="1" applyFont="1" applyBorder="1">
      <alignment/>
      <protection/>
    </xf>
    <xf numFmtId="3" fontId="28" fillId="0" borderId="33" xfId="100" applyNumberFormat="1" applyFont="1" applyBorder="1">
      <alignment/>
      <protection/>
    </xf>
    <xf numFmtId="3" fontId="29" fillId="0" borderId="33" xfId="100" applyNumberFormat="1" applyFont="1" applyBorder="1">
      <alignment/>
      <protection/>
    </xf>
    <xf numFmtId="3" fontId="34" fillId="0" borderId="33" xfId="100" applyNumberFormat="1" applyFont="1" applyBorder="1">
      <alignment/>
      <protection/>
    </xf>
    <xf numFmtId="2" fontId="28" fillId="0" borderId="21" xfId="0" applyNumberFormat="1" applyFont="1" applyBorder="1" applyAlignment="1">
      <alignment horizontal="center" vertical="top" wrapText="1"/>
    </xf>
    <xf numFmtId="2" fontId="34" fillId="0" borderId="33" xfId="0" applyNumberFormat="1" applyFont="1" applyBorder="1" applyAlignment="1">
      <alignment horizontal="center" vertical="top" wrapText="1"/>
    </xf>
    <xf numFmtId="2" fontId="30" fillId="0" borderId="33" xfId="0" applyNumberFormat="1" applyFont="1" applyBorder="1" applyAlignment="1">
      <alignment horizontal="center" vertical="top" wrapText="1"/>
    </xf>
    <xf numFmtId="0" fontId="28" fillId="0" borderId="33" xfId="0" applyFont="1" applyBorder="1" applyAlignment="1">
      <alignment/>
    </xf>
    <xf numFmtId="2" fontId="28" fillId="0" borderId="33" xfId="0" applyNumberFormat="1" applyFont="1" applyBorder="1" applyAlignment="1">
      <alignment horizontal="center"/>
    </xf>
    <xf numFmtId="2" fontId="30" fillId="0" borderId="33" xfId="0" applyNumberFormat="1" applyFont="1" applyBorder="1" applyAlignment="1">
      <alignment horizontal="center" vertical="top" wrapText="1"/>
    </xf>
    <xf numFmtId="2" fontId="30" fillId="0" borderId="35" xfId="0" applyNumberFormat="1" applyFont="1" applyBorder="1" applyAlignment="1">
      <alignment horizontal="center" vertical="top" wrapText="1"/>
    </xf>
    <xf numFmtId="0" fontId="30" fillId="0" borderId="82" xfId="0" applyFont="1" applyBorder="1" applyAlignment="1">
      <alignment horizontal="center" vertical="center" wrapText="1"/>
    </xf>
    <xf numFmtId="3" fontId="62" fillId="0" borderId="83" xfId="0" applyNumberFormat="1" applyFont="1" applyBorder="1" applyAlignment="1">
      <alignment horizontal="center" vertical="center" wrapText="1"/>
    </xf>
    <xf numFmtId="3" fontId="20" fillId="0" borderId="81" xfId="0" applyNumberFormat="1" applyFont="1" applyBorder="1" applyAlignment="1">
      <alignment horizontal="center" wrapText="1"/>
    </xf>
    <xf numFmtId="0" fontId="30" fillId="0" borderId="36" xfId="99" applyFont="1" applyBorder="1" applyAlignment="1">
      <alignment horizontal="center" vertical="center" wrapText="1"/>
      <protection/>
    </xf>
    <xf numFmtId="3" fontId="30" fillId="0" borderId="33" xfId="99" applyNumberFormat="1" applyFont="1" applyBorder="1" applyAlignment="1">
      <alignment horizontal="right"/>
      <protection/>
    </xf>
    <xf numFmtId="3" fontId="30" fillId="0" borderId="35" xfId="99" applyNumberFormat="1" applyFont="1" applyBorder="1" applyAlignment="1">
      <alignment horizontal="right"/>
      <protection/>
    </xf>
    <xf numFmtId="3" fontId="30" fillId="0" borderId="33" xfId="101" applyNumberFormat="1" applyFont="1" applyBorder="1">
      <alignment/>
      <protection/>
    </xf>
    <xf numFmtId="3" fontId="28" fillId="0" borderId="33" xfId="101" applyNumberFormat="1" applyFont="1" applyBorder="1">
      <alignment/>
      <protection/>
    </xf>
    <xf numFmtId="3" fontId="30" fillId="0" borderId="35" xfId="101" applyNumberFormat="1" applyFont="1" applyBorder="1">
      <alignment/>
      <protection/>
    </xf>
    <xf numFmtId="0" fontId="28" fillId="0" borderId="26" xfId="101" applyFont="1" applyBorder="1">
      <alignment/>
      <protection/>
    </xf>
    <xf numFmtId="0" fontId="30" fillId="0" borderId="29" xfId="101" applyFont="1" applyBorder="1">
      <alignment/>
      <protection/>
    </xf>
    <xf numFmtId="0" fontId="30" fillId="0" borderId="55" xfId="101" applyFont="1" applyBorder="1" applyAlignment="1">
      <alignment horizontal="center" wrapText="1"/>
      <protection/>
    </xf>
    <xf numFmtId="0" fontId="30" fillId="0" borderId="29" xfId="101" applyFont="1" applyBorder="1" applyAlignment="1">
      <alignment wrapText="1"/>
      <protection/>
    </xf>
    <xf numFmtId="3" fontId="30" fillId="0" borderId="55" xfId="101" applyNumberFormat="1" applyFont="1" applyBorder="1">
      <alignment/>
      <protection/>
    </xf>
    <xf numFmtId="0" fontId="47" fillId="0" borderId="0" xfId="107" applyFont="1" applyBorder="1" applyAlignment="1">
      <alignment/>
      <protection/>
    </xf>
    <xf numFmtId="3" fontId="47" fillId="0" borderId="33" xfId="108" applyNumberFormat="1" applyFont="1" applyBorder="1">
      <alignment/>
      <protection/>
    </xf>
    <xf numFmtId="3" fontId="51" fillId="0" borderId="33" xfId="108" applyNumberFormat="1" applyFont="1" applyBorder="1">
      <alignment/>
      <protection/>
    </xf>
    <xf numFmtId="3" fontId="47" fillId="0" borderId="35" xfId="108" applyNumberFormat="1" applyFont="1" applyBorder="1">
      <alignment/>
      <protection/>
    </xf>
    <xf numFmtId="0" fontId="30" fillId="0" borderId="26" xfId="101" applyFont="1" applyBorder="1" applyAlignment="1">
      <alignment horizontal="center" wrapText="1"/>
      <protection/>
    </xf>
    <xf numFmtId="0" fontId="22" fillId="0" borderId="84" xfId="0" applyFont="1" applyFill="1" applyBorder="1" applyAlignment="1">
      <alignment horizontal="center" vertical="center" wrapText="1"/>
    </xf>
    <xf numFmtId="0" fontId="22" fillId="0" borderId="85" xfId="0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 wrapText="1"/>
    </xf>
    <xf numFmtId="0" fontId="21" fillId="0" borderId="86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1" fillId="0" borderId="88" xfId="0" applyFont="1" applyFill="1" applyBorder="1" applyAlignment="1">
      <alignment horizontal="center" vertical="center" wrapText="1"/>
    </xf>
    <xf numFmtId="0" fontId="35" fillId="0" borderId="89" xfId="0" applyFont="1" applyFill="1" applyBorder="1" applyAlignment="1">
      <alignment horizontal="center" vertical="center" wrapText="1"/>
    </xf>
    <xf numFmtId="49" fontId="22" fillId="0" borderId="90" xfId="0" applyNumberFormat="1" applyFont="1" applyFill="1" applyBorder="1" applyAlignment="1">
      <alignment horizontal="left" vertical="center"/>
    </xf>
    <xf numFmtId="0" fontId="22" fillId="0" borderId="91" xfId="0" applyFont="1" applyFill="1" applyBorder="1" applyAlignment="1">
      <alignment horizontal="center" vertical="center" wrapText="1"/>
    </xf>
    <xf numFmtId="0" fontId="22" fillId="0" borderId="90" xfId="0" applyFont="1" applyFill="1" applyBorder="1" applyAlignment="1">
      <alignment horizontal="center" vertical="center" wrapText="1"/>
    </xf>
    <xf numFmtId="0" fontId="22" fillId="0" borderId="92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center" vertical="center" wrapText="1"/>
    </xf>
    <xf numFmtId="0" fontId="56" fillId="0" borderId="93" xfId="0" applyFont="1" applyFill="1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37" fillId="0" borderId="96" xfId="0" applyFont="1" applyFill="1" applyBorder="1" applyAlignment="1">
      <alignment/>
    </xf>
    <xf numFmtId="49" fontId="37" fillId="0" borderId="97" xfId="0" applyNumberFormat="1" applyFont="1" applyFill="1" applyBorder="1" applyAlignment="1">
      <alignment/>
    </xf>
    <xf numFmtId="2" fontId="21" fillId="0" borderId="98" xfId="0" applyNumberFormat="1" applyFont="1" applyFill="1" applyBorder="1" applyAlignment="1">
      <alignment/>
    </xf>
    <xf numFmtId="3" fontId="21" fillId="0" borderId="98" xfId="0" applyNumberFormat="1" applyFont="1" applyFill="1" applyBorder="1" applyAlignment="1">
      <alignment horizontal="center"/>
    </xf>
    <xf numFmtId="3" fontId="21" fillId="0" borderId="98" xfId="0" applyNumberFormat="1" applyFont="1" applyFill="1" applyBorder="1" applyAlignment="1">
      <alignment horizontal="right"/>
    </xf>
    <xf numFmtId="3" fontId="37" fillId="0" borderId="93" xfId="0" applyNumberFormat="1" applyFont="1" applyFill="1" applyBorder="1" applyAlignment="1">
      <alignment horizontal="right"/>
    </xf>
    <xf numFmtId="3" fontId="37" fillId="0" borderId="99" xfId="0" applyNumberFormat="1" applyFont="1" applyFill="1" applyBorder="1" applyAlignment="1">
      <alignment horizontal="right"/>
    </xf>
    <xf numFmtId="3" fontId="37" fillId="0" borderId="33" xfId="0" applyNumberFormat="1" applyFont="1" applyFill="1" applyBorder="1" applyAlignment="1">
      <alignment horizontal="right"/>
    </xf>
    <xf numFmtId="3" fontId="37" fillId="0" borderId="100" xfId="0" applyNumberFormat="1" applyFont="1" applyFill="1" applyBorder="1" applyAlignment="1">
      <alignment horizontal="right"/>
    </xf>
    <xf numFmtId="0" fontId="21" fillId="0" borderId="101" xfId="0" applyFont="1" applyFill="1" applyBorder="1" applyAlignment="1">
      <alignment/>
    </xf>
    <xf numFmtId="49" fontId="21" fillId="0" borderId="102" xfId="0" applyNumberFormat="1" applyFont="1" applyFill="1" applyBorder="1" applyAlignment="1">
      <alignment/>
    </xf>
    <xf numFmtId="3" fontId="21" fillId="0" borderId="99" xfId="0" applyNumberFormat="1" applyFont="1" applyFill="1" applyBorder="1" applyAlignment="1">
      <alignment horizontal="right"/>
    </xf>
    <xf numFmtId="3" fontId="21" fillId="0" borderId="103" xfId="0" applyNumberFormat="1" applyFont="1" applyFill="1" applyBorder="1" applyAlignment="1">
      <alignment horizontal="right"/>
    </xf>
    <xf numFmtId="3" fontId="21" fillId="0" borderId="24" xfId="0" applyNumberFormat="1" applyFont="1" applyFill="1" applyBorder="1" applyAlignment="1">
      <alignment horizontal="right"/>
    </xf>
    <xf numFmtId="3" fontId="21" fillId="0" borderId="33" xfId="0" applyNumberFormat="1" applyFont="1" applyFill="1" applyBorder="1" applyAlignment="1">
      <alignment horizontal="right"/>
    </xf>
    <xf numFmtId="3" fontId="21" fillId="0" borderId="100" xfId="0" applyNumberFormat="1" applyFont="1" applyFill="1" applyBorder="1" applyAlignment="1">
      <alignment horizontal="right"/>
    </xf>
    <xf numFmtId="0" fontId="38" fillId="0" borderId="101" xfId="0" applyFont="1" applyFill="1" applyBorder="1" applyAlignment="1">
      <alignment/>
    </xf>
    <xf numFmtId="49" fontId="38" fillId="0" borderId="102" xfId="0" applyNumberFormat="1" applyFont="1" applyFill="1" applyBorder="1" applyAlignment="1">
      <alignment/>
    </xf>
    <xf numFmtId="3" fontId="38" fillId="0" borderId="99" xfId="0" applyNumberFormat="1" applyFont="1" applyFill="1" applyBorder="1" applyAlignment="1">
      <alignment horizontal="right"/>
    </xf>
    <xf numFmtId="3" fontId="38" fillId="0" borderId="24" xfId="0" applyNumberFormat="1" applyFont="1" applyFill="1" applyBorder="1" applyAlignment="1">
      <alignment horizontal="right"/>
    </xf>
    <xf numFmtId="3" fontId="38" fillId="0" borderId="33" xfId="0" applyNumberFormat="1" applyFont="1" applyFill="1" applyBorder="1" applyAlignment="1">
      <alignment horizontal="right"/>
    </xf>
    <xf numFmtId="3" fontId="38" fillId="0" borderId="100" xfId="0" applyNumberFormat="1" applyFont="1" applyFill="1" applyBorder="1" applyAlignment="1">
      <alignment horizontal="right"/>
    </xf>
    <xf numFmtId="49" fontId="57" fillId="0" borderId="102" xfId="0" applyNumberFormat="1" applyFont="1" applyFill="1" applyBorder="1" applyAlignment="1">
      <alignment/>
    </xf>
    <xf numFmtId="3" fontId="31" fillId="0" borderId="103" xfId="0" applyNumberFormat="1" applyFont="1" applyFill="1" applyBorder="1" applyAlignment="1">
      <alignment horizontal="right"/>
    </xf>
    <xf numFmtId="0" fontId="37" fillId="0" borderId="101" xfId="0" applyFont="1" applyFill="1" applyBorder="1" applyAlignment="1">
      <alignment/>
    </xf>
    <xf numFmtId="49" fontId="37" fillId="0" borderId="102" xfId="0" applyNumberFormat="1" applyFont="1" applyFill="1" applyBorder="1" applyAlignment="1">
      <alignment/>
    </xf>
    <xf numFmtId="49" fontId="31" fillId="0" borderId="103" xfId="0" applyNumberFormat="1" applyFont="1" applyFill="1" applyBorder="1" applyAlignment="1">
      <alignment horizontal="right"/>
    </xf>
    <xf numFmtId="3" fontId="37" fillId="0" borderId="24" xfId="0" applyNumberFormat="1" applyFont="1" applyFill="1" applyBorder="1" applyAlignment="1">
      <alignment horizontal="right"/>
    </xf>
    <xf numFmtId="3" fontId="22" fillId="0" borderId="103" xfId="0" applyNumberFormat="1" applyFont="1" applyFill="1" applyBorder="1" applyAlignment="1">
      <alignment horizontal="right" vertical="center" wrapText="1"/>
    </xf>
    <xf numFmtId="0" fontId="35" fillId="0" borderId="101" xfId="0" applyFont="1" applyFill="1" applyBorder="1" applyAlignment="1">
      <alignment/>
    </xf>
    <xf numFmtId="49" fontId="35" fillId="0" borderId="102" xfId="0" applyNumberFormat="1" applyFont="1" applyFill="1" applyBorder="1" applyAlignment="1">
      <alignment/>
    </xf>
    <xf numFmtId="3" fontId="35" fillId="0" borderId="99" xfId="0" applyNumberFormat="1" applyFont="1" applyFill="1" applyBorder="1" applyAlignment="1">
      <alignment horizontal="right"/>
    </xf>
    <xf numFmtId="0" fontId="35" fillId="0" borderId="103" xfId="0" applyFont="1" applyFill="1" applyBorder="1" applyAlignment="1">
      <alignment horizontal="right" vertical="center" wrapText="1"/>
    </xf>
    <xf numFmtId="3" fontId="35" fillId="0" borderId="24" xfId="0" applyNumberFormat="1" applyFont="1" applyFill="1" applyBorder="1" applyAlignment="1">
      <alignment horizontal="right"/>
    </xf>
    <xf numFmtId="3" fontId="35" fillId="0" borderId="33" xfId="0" applyNumberFormat="1" applyFont="1" applyFill="1" applyBorder="1" applyAlignment="1">
      <alignment horizontal="right"/>
    </xf>
    <xf numFmtId="3" fontId="35" fillId="0" borderId="100" xfId="0" applyNumberFormat="1" applyFont="1" applyFill="1" applyBorder="1" applyAlignment="1">
      <alignment horizontal="right"/>
    </xf>
    <xf numFmtId="3" fontId="35" fillId="0" borderId="104" xfId="0" applyNumberFormat="1" applyFont="1" applyFill="1" applyBorder="1" applyAlignment="1">
      <alignment horizontal="right"/>
    </xf>
    <xf numFmtId="3" fontId="35" fillId="0" borderId="105" xfId="0" applyNumberFormat="1" applyFont="1" applyFill="1" applyBorder="1" applyAlignment="1">
      <alignment horizontal="right"/>
    </xf>
    <xf numFmtId="49" fontId="21" fillId="0" borderId="102" xfId="0" applyNumberFormat="1" applyFont="1" applyFill="1" applyBorder="1" applyAlignment="1">
      <alignment vertical="center" wrapText="1"/>
    </xf>
    <xf numFmtId="3" fontId="37" fillId="0" borderId="104" xfId="0" applyNumberFormat="1" applyFont="1" applyFill="1" applyBorder="1" applyAlignment="1">
      <alignment horizontal="right"/>
    </xf>
    <xf numFmtId="3" fontId="21" fillId="0" borderId="104" xfId="0" applyNumberFormat="1" applyFont="1" applyFill="1" applyBorder="1" applyAlignment="1">
      <alignment horizontal="right"/>
    </xf>
    <xf numFmtId="49" fontId="35" fillId="0" borderId="102" xfId="0" applyNumberFormat="1" applyFont="1" applyFill="1" applyBorder="1" applyAlignment="1">
      <alignment vertical="center" wrapText="1"/>
    </xf>
    <xf numFmtId="49" fontId="35" fillId="0" borderId="102" xfId="0" applyNumberFormat="1" applyFont="1" applyFill="1" applyBorder="1" applyAlignment="1">
      <alignment/>
    </xf>
    <xf numFmtId="3" fontId="22" fillId="0" borderId="103" xfId="0" applyNumberFormat="1" applyFont="1" applyFill="1" applyBorder="1" applyAlignment="1">
      <alignment horizontal="right"/>
    </xf>
    <xf numFmtId="3" fontId="37" fillId="0" borderId="105" xfId="0" applyNumberFormat="1" applyFont="1" applyFill="1" applyBorder="1" applyAlignment="1">
      <alignment horizontal="right"/>
    </xf>
    <xf numFmtId="0" fontId="21" fillId="0" borderId="84" xfId="0" applyFont="1" applyFill="1" applyBorder="1" applyAlignment="1">
      <alignment/>
    </xf>
    <xf numFmtId="49" fontId="35" fillId="0" borderId="101" xfId="0" applyNumberFormat="1" applyFont="1" applyFill="1" applyBorder="1" applyAlignment="1">
      <alignment vertical="center" wrapText="1"/>
    </xf>
    <xf numFmtId="49" fontId="35" fillId="0" borderId="106" xfId="0" applyNumberFormat="1" applyFont="1" applyFill="1" applyBorder="1" applyAlignment="1">
      <alignment/>
    </xf>
    <xf numFmtId="4" fontId="21" fillId="0" borderId="99" xfId="0" applyNumberFormat="1" applyFont="1" applyFill="1" applyBorder="1" applyAlignment="1">
      <alignment horizontal="right"/>
    </xf>
    <xf numFmtId="172" fontId="21" fillId="0" borderId="103" xfId="0" applyNumberFormat="1" applyFont="1" applyFill="1" applyBorder="1" applyAlignment="1">
      <alignment horizontal="right"/>
    </xf>
    <xf numFmtId="0" fontId="35" fillId="0" borderId="96" xfId="0" applyFont="1" applyFill="1" applyBorder="1" applyAlignment="1">
      <alignment/>
    </xf>
    <xf numFmtId="49" fontId="35" fillId="0" borderId="97" xfId="0" applyNumberFormat="1" applyFont="1" applyFill="1" applyBorder="1" applyAlignment="1">
      <alignment/>
    </xf>
    <xf numFmtId="3" fontId="21" fillId="0" borderId="98" xfId="0" applyNumberFormat="1" applyFont="1" applyFill="1" applyBorder="1" applyAlignment="1">
      <alignment/>
    </xf>
    <xf numFmtId="3" fontId="35" fillId="0" borderId="93" xfId="0" applyNumberFormat="1" applyFont="1" applyFill="1" applyBorder="1" applyAlignment="1">
      <alignment horizontal="right"/>
    </xf>
    <xf numFmtId="3" fontId="35" fillId="0" borderId="107" xfId="0" applyNumberFormat="1" applyFont="1" applyFill="1" applyBorder="1" applyAlignment="1">
      <alignment horizontal="right"/>
    </xf>
    <xf numFmtId="3" fontId="35" fillId="0" borderId="7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5" fillId="0" borderId="96" xfId="0" applyNumberFormat="1" applyFont="1" applyFill="1" applyBorder="1" applyAlignment="1">
      <alignment vertical="center" wrapText="1"/>
    </xf>
    <xf numFmtId="49" fontId="35" fillId="0" borderId="97" xfId="0" applyNumberFormat="1" applyFont="1" applyFill="1" applyBorder="1" applyAlignment="1">
      <alignment vertical="center" wrapText="1"/>
    </xf>
    <xf numFmtId="0" fontId="21" fillId="0" borderId="98" xfId="0" applyFont="1" applyFill="1" applyBorder="1" applyAlignment="1">
      <alignment/>
    </xf>
    <xf numFmtId="3" fontId="35" fillId="0" borderId="108" xfId="0" applyNumberFormat="1" applyFont="1" applyFill="1" applyBorder="1" applyAlignment="1">
      <alignment horizontal="right"/>
    </xf>
    <xf numFmtId="49" fontId="56" fillId="0" borderId="102" xfId="0" applyNumberFormat="1" applyFont="1" applyFill="1" applyBorder="1" applyAlignment="1">
      <alignment vertical="center" wrapText="1"/>
    </xf>
    <xf numFmtId="3" fontId="35" fillId="0" borderId="73" xfId="0" applyNumberFormat="1" applyFont="1" applyFill="1" applyBorder="1" applyAlignment="1">
      <alignment horizontal="right"/>
    </xf>
    <xf numFmtId="3" fontId="37" fillId="0" borderId="73" xfId="0" applyNumberFormat="1" applyFont="1" applyFill="1" applyBorder="1" applyAlignment="1">
      <alignment horizontal="right"/>
    </xf>
    <xf numFmtId="3" fontId="35" fillId="0" borderId="85" xfId="0" applyNumberFormat="1" applyFont="1" applyFill="1" applyBorder="1" applyAlignment="1">
      <alignment horizontal="right"/>
    </xf>
    <xf numFmtId="49" fontId="35" fillId="0" borderId="101" xfId="0" applyNumberFormat="1" applyFont="1" applyFill="1" applyBorder="1" applyAlignment="1">
      <alignment horizontal="left" wrapText="1"/>
    </xf>
    <xf numFmtId="3" fontId="21" fillId="0" borderId="84" xfId="0" applyNumberFormat="1" applyFont="1" applyFill="1" applyBorder="1" applyAlignment="1">
      <alignment horizontal="center"/>
    </xf>
    <xf numFmtId="3" fontId="21" fillId="0" borderId="84" xfId="0" applyNumberFormat="1" applyFont="1" applyFill="1" applyBorder="1" applyAlignment="1">
      <alignment horizontal="right"/>
    </xf>
    <xf numFmtId="3" fontId="21" fillId="0" borderId="109" xfId="0" applyNumberFormat="1" applyFont="1" applyFill="1" applyBorder="1" applyAlignment="1">
      <alignment horizontal="right"/>
    </xf>
    <xf numFmtId="3" fontId="35" fillId="0" borderId="110" xfId="0" applyNumberFormat="1" applyFont="1" applyFill="1" applyBorder="1" applyAlignment="1">
      <alignment horizontal="right"/>
    </xf>
    <xf numFmtId="49" fontId="21" fillId="0" borderId="103" xfId="0" applyNumberFormat="1" applyFont="1" applyFill="1" applyBorder="1" applyAlignment="1">
      <alignment horizontal="right"/>
    </xf>
    <xf numFmtId="3" fontId="38" fillId="0" borderId="104" xfId="0" applyNumberFormat="1" applyFont="1" applyFill="1" applyBorder="1" applyAlignment="1">
      <alignment horizontal="right"/>
    </xf>
    <xf numFmtId="49" fontId="22" fillId="0" borderId="102" xfId="0" applyNumberFormat="1" applyFont="1" applyFill="1" applyBorder="1" applyAlignment="1">
      <alignment vertical="center" wrapText="1"/>
    </xf>
    <xf numFmtId="0" fontId="37" fillId="0" borderId="111" xfId="0" applyFont="1" applyFill="1" applyBorder="1" applyAlignment="1">
      <alignment/>
    </xf>
    <xf numFmtId="49" fontId="58" fillId="0" borderId="112" xfId="0" applyNumberFormat="1" applyFont="1" applyFill="1" applyBorder="1" applyAlignment="1">
      <alignment/>
    </xf>
    <xf numFmtId="0" fontId="58" fillId="0" borderId="86" xfId="0" applyFont="1" applyFill="1" applyBorder="1" applyAlignment="1">
      <alignment/>
    </xf>
    <xf numFmtId="3" fontId="37" fillId="0" borderId="86" xfId="0" applyNumberFormat="1" applyFont="1" applyFill="1" applyBorder="1" applyAlignment="1">
      <alignment horizontal="center"/>
    </xf>
    <xf numFmtId="3" fontId="37" fillId="0" borderId="86" xfId="0" applyNumberFormat="1" applyFont="1" applyFill="1" applyBorder="1" applyAlignment="1">
      <alignment/>
    </xf>
    <xf numFmtId="3" fontId="35" fillId="0" borderId="87" xfId="0" applyNumberFormat="1" applyFont="1" applyFill="1" applyBorder="1" applyAlignment="1">
      <alignment/>
    </xf>
    <xf numFmtId="3" fontId="37" fillId="0" borderId="113" xfId="0" applyNumberFormat="1" applyFont="1" applyFill="1" applyBorder="1" applyAlignment="1">
      <alignment/>
    </xf>
    <xf numFmtId="3" fontId="35" fillId="0" borderId="114" xfId="0" applyNumberFormat="1" applyFont="1" applyFill="1" applyBorder="1" applyAlignment="1">
      <alignment/>
    </xf>
    <xf numFmtId="3" fontId="35" fillId="0" borderId="115" xfId="0" applyNumberFormat="1" applyFont="1" applyFill="1" applyBorder="1" applyAlignment="1">
      <alignment/>
    </xf>
    <xf numFmtId="3" fontId="35" fillId="0" borderId="116" xfId="0" applyNumberFormat="1" applyFont="1" applyFill="1" applyBorder="1" applyAlignment="1">
      <alignment/>
    </xf>
    <xf numFmtId="3" fontId="35" fillId="0" borderId="88" xfId="0" applyNumberFormat="1" applyFont="1" applyFill="1" applyBorder="1" applyAlignment="1">
      <alignment/>
    </xf>
    <xf numFmtId="2" fontId="28" fillId="0" borderId="31" xfId="0" applyNumberFormat="1" applyFont="1" applyBorder="1" applyAlignment="1">
      <alignment horizontal="center" vertical="top" wrapText="1"/>
    </xf>
    <xf numFmtId="2" fontId="34" fillId="0" borderId="26" xfId="0" applyNumberFormat="1" applyFont="1" applyBorder="1" applyAlignment="1">
      <alignment horizontal="center" vertical="top" wrapText="1"/>
    </xf>
    <xf numFmtId="2" fontId="30" fillId="0" borderId="26" xfId="0" applyNumberFormat="1" applyFont="1" applyBorder="1" applyAlignment="1">
      <alignment horizontal="center" vertical="top" wrapText="1"/>
    </xf>
    <xf numFmtId="2" fontId="30" fillId="0" borderId="26" xfId="0" applyNumberFormat="1" applyFont="1" applyBorder="1" applyAlignment="1">
      <alignment horizontal="center" vertical="top" wrapText="1"/>
    </xf>
    <xf numFmtId="2" fontId="30" fillId="0" borderId="28" xfId="0" applyNumberFormat="1" applyFont="1" applyBorder="1" applyAlignment="1">
      <alignment horizontal="center" vertical="top" wrapText="1"/>
    </xf>
    <xf numFmtId="3" fontId="30" fillId="0" borderId="18" xfId="102" applyNumberFormat="1" applyFont="1" applyFill="1" applyBorder="1" applyAlignment="1">
      <alignment vertical="center"/>
      <protection/>
    </xf>
    <xf numFmtId="3" fontId="30" fillId="0" borderId="28" xfId="102" applyNumberFormat="1" applyFont="1" applyFill="1" applyBorder="1" applyAlignment="1">
      <alignment vertical="center"/>
      <protection/>
    </xf>
    <xf numFmtId="3" fontId="28" fillId="0" borderId="0" xfId="100" applyNumberFormat="1" applyFont="1" applyAlignment="1">
      <alignment/>
      <protection/>
    </xf>
    <xf numFmtId="3" fontId="30" fillId="0" borderId="43" xfId="0" applyNumberFormat="1" applyFont="1" applyBorder="1" applyAlignment="1">
      <alignment horizontal="center" wrapText="1"/>
    </xf>
    <xf numFmtId="3" fontId="28" fillId="0" borderId="26" xfId="100" applyNumberFormat="1" applyFont="1" applyBorder="1" applyAlignment="1">
      <alignment/>
      <protection/>
    </xf>
    <xf numFmtId="3" fontId="30" fillId="0" borderId="26" xfId="100" applyNumberFormat="1" applyFont="1" applyBorder="1" applyAlignment="1">
      <alignment/>
      <protection/>
    </xf>
    <xf numFmtId="3" fontId="29" fillId="0" borderId="26" xfId="100" applyNumberFormat="1" applyFont="1" applyBorder="1" applyAlignment="1">
      <alignment/>
      <protection/>
    </xf>
    <xf numFmtId="3" fontId="29" fillId="0" borderId="0" xfId="100" applyNumberFormat="1" applyFont="1" applyBorder="1" applyAlignment="1">
      <alignment/>
      <protection/>
    </xf>
    <xf numFmtId="0" fontId="28" fillId="0" borderId="0" xfId="100" applyFont="1">
      <alignment/>
      <protection/>
    </xf>
    <xf numFmtId="3" fontId="52" fillId="0" borderId="43" xfId="0" applyNumberFormat="1" applyFont="1" applyBorder="1" applyAlignment="1">
      <alignment horizontal="center" wrapText="1"/>
    </xf>
    <xf numFmtId="0" fontId="28" fillId="0" borderId="33" xfId="100" applyFont="1" applyBorder="1">
      <alignment/>
      <protection/>
    </xf>
    <xf numFmtId="3" fontId="28" fillId="0" borderId="0" xfId="100" applyNumberFormat="1" applyFont="1" applyBorder="1">
      <alignment/>
      <protection/>
    </xf>
    <xf numFmtId="3" fontId="30" fillId="0" borderId="117" xfId="0" applyNumberFormat="1" applyFont="1" applyBorder="1" applyAlignment="1">
      <alignment horizontal="center" wrapText="1"/>
    </xf>
    <xf numFmtId="3" fontId="52" fillId="0" borderId="14" xfId="0" applyNumberFormat="1" applyFont="1" applyBorder="1" applyAlignment="1">
      <alignment horizontal="center" wrapText="1"/>
    </xf>
    <xf numFmtId="3" fontId="30" fillId="0" borderId="26" xfId="100" applyNumberFormat="1" applyFont="1" applyBorder="1">
      <alignment/>
      <protection/>
    </xf>
    <xf numFmtId="3" fontId="30" fillId="0" borderId="28" xfId="100" applyNumberFormat="1" applyFont="1" applyBorder="1">
      <alignment/>
      <protection/>
    </xf>
    <xf numFmtId="3" fontId="29" fillId="0" borderId="26" xfId="100" applyNumberFormat="1" applyFont="1" applyBorder="1">
      <alignment/>
      <protection/>
    </xf>
    <xf numFmtId="3" fontId="34" fillId="0" borderId="26" xfId="100" applyNumberFormat="1" applyFont="1" applyBorder="1">
      <alignment/>
      <protection/>
    </xf>
    <xf numFmtId="3" fontId="28" fillId="0" borderId="26" xfId="100" applyNumberFormat="1" applyFont="1" applyBorder="1">
      <alignment/>
      <protection/>
    </xf>
    <xf numFmtId="0" fontId="50" fillId="0" borderId="20" xfId="119" applyFont="1" applyBorder="1" applyAlignment="1">
      <alignment horizontal="left"/>
      <protection/>
    </xf>
    <xf numFmtId="3" fontId="30" fillId="0" borderId="20" xfId="119" applyNumberFormat="1" applyFont="1" applyBorder="1">
      <alignment/>
      <protection/>
    </xf>
    <xf numFmtId="3" fontId="28" fillId="0" borderId="20" xfId="119" applyNumberFormat="1" applyFont="1" applyBorder="1">
      <alignment/>
      <protection/>
    </xf>
    <xf numFmtId="0" fontId="50" fillId="0" borderId="31" xfId="119" applyFont="1" applyBorder="1">
      <alignment/>
      <protection/>
    </xf>
    <xf numFmtId="0" fontId="50" fillId="0" borderId="15" xfId="119" applyFont="1" applyBorder="1">
      <alignment/>
      <protection/>
    </xf>
    <xf numFmtId="49" fontId="28" fillId="0" borderId="16" xfId="119" applyNumberFormat="1" applyFont="1" applyBorder="1" applyAlignment="1">
      <alignment horizontal="center"/>
      <protection/>
    </xf>
    <xf numFmtId="0" fontId="28" fillId="0" borderId="16" xfId="119" applyFont="1" applyBorder="1" applyAlignment="1">
      <alignment/>
      <protection/>
    </xf>
    <xf numFmtId="0" fontId="50" fillId="0" borderId="16" xfId="119" applyFont="1" applyBorder="1" applyAlignment="1">
      <alignment horizontal="left"/>
      <protection/>
    </xf>
    <xf numFmtId="3" fontId="30" fillId="0" borderId="16" xfId="119" applyNumberFormat="1" applyFont="1" applyBorder="1">
      <alignment/>
      <protection/>
    </xf>
    <xf numFmtId="3" fontId="28" fillId="0" borderId="16" xfId="119" applyNumberFormat="1" applyFont="1" applyBorder="1" applyAlignment="1">
      <alignment horizontal="right"/>
      <protection/>
    </xf>
    <xf numFmtId="0" fontId="50" fillId="0" borderId="26" xfId="119" applyFont="1" applyBorder="1">
      <alignment/>
      <protection/>
    </xf>
    <xf numFmtId="3" fontId="56" fillId="0" borderId="16" xfId="0" applyNumberFormat="1" applyFont="1" applyBorder="1" applyAlignment="1">
      <alignment horizontal="left"/>
    </xf>
    <xf numFmtId="3" fontId="56" fillId="0" borderId="16" xfId="0" applyNumberFormat="1" applyFont="1" applyBorder="1" applyAlignment="1">
      <alignment horizontal="left" wrapText="1"/>
    </xf>
    <xf numFmtId="3" fontId="50" fillId="0" borderId="26" xfId="119" applyNumberFormat="1" applyFont="1" applyBorder="1">
      <alignment/>
      <protection/>
    </xf>
    <xf numFmtId="3" fontId="28" fillId="0" borderId="16" xfId="119" applyNumberFormat="1" applyFont="1" applyBorder="1">
      <alignment/>
      <protection/>
    </xf>
    <xf numFmtId="0" fontId="28" fillId="0" borderId="33" xfId="119" applyFont="1" applyBorder="1" applyAlignment="1">
      <alignment/>
      <protection/>
    </xf>
    <xf numFmtId="3" fontId="30" fillId="0" borderId="29" xfId="119" applyNumberFormat="1" applyFont="1" applyBorder="1">
      <alignment/>
      <protection/>
    </xf>
    <xf numFmtId="0" fontId="52" fillId="0" borderId="15" xfId="119" applyFont="1" applyBorder="1" applyAlignment="1">
      <alignment horizontal="left" vertical="center"/>
      <protection/>
    </xf>
    <xf numFmtId="3" fontId="30" fillId="0" borderId="26" xfId="119" applyNumberFormat="1" applyFont="1" applyBorder="1">
      <alignment/>
      <protection/>
    </xf>
    <xf numFmtId="0" fontId="52" fillId="0" borderId="16" xfId="119" applyFont="1" applyBorder="1" applyAlignment="1">
      <alignment horizontal="left" vertical="center"/>
      <protection/>
    </xf>
    <xf numFmtId="0" fontId="28" fillId="0" borderId="26" xfId="119" applyFont="1" applyBorder="1">
      <alignment/>
      <protection/>
    </xf>
    <xf numFmtId="0" fontId="28" fillId="0" borderId="16" xfId="119" applyFont="1" applyBorder="1" applyAlignment="1">
      <alignment horizontal="right"/>
      <protection/>
    </xf>
    <xf numFmtId="0" fontId="52" fillId="0" borderId="16" xfId="119" applyFont="1" applyBorder="1" applyAlignment="1">
      <alignment horizontal="left"/>
      <protection/>
    </xf>
    <xf numFmtId="3" fontId="62" fillId="0" borderId="16" xfId="0" applyNumberFormat="1" applyFont="1" applyBorder="1" applyAlignment="1">
      <alignment horizontal="left" wrapText="1"/>
    </xf>
    <xf numFmtId="0" fontId="30" fillId="0" borderId="15" xfId="119" applyFont="1" applyBorder="1" applyAlignment="1">
      <alignment horizontal="left" vertical="center"/>
      <protection/>
    </xf>
    <xf numFmtId="3" fontId="30" fillId="0" borderId="16" xfId="119" applyNumberFormat="1" applyFont="1" applyBorder="1" applyAlignment="1">
      <alignment/>
      <protection/>
    </xf>
    <xf numFmtId="3" fontId="30" fillId="0" borderId="26" xfId="119" applyNumberFormat="1" applyFont="1" applyBorder="1" applyAlignment="1">
      <alignment/>
      <protection/>
    </xf>
    <xf numFmtId="0" fontId="30" fillId="0" borderId="16" xfId="119" applyFont="1" applyBorder="1" applyAlignment="1">
      <alignment horizontal="left" vertical="center"/>
      <protection/>
    </xf>
    <xf numFmtId="0" fontId="28" fillId="0" borderId="15" xfId="119" applyFont="1" applyBorder="1">
      <alignment/>
      <protection/>
    </xf>
    <xf numFmtId="0" fontId="30" fillId="0" borderId="16" xfId="119" applyFont="1" applyBorder="1" applyAlignment="1">
      <alignment horizontal="left"/>
      <protection/>
    </xf>
    <xf numFmtId="0" fontId="28" fillId="0" borderId="50" xfId="119" applyFont="1" applyBorder="1">
      <alignment/>
      <protection/>
    </xf>
    <xf numFmtId="0" fontId="30" fillId="0" borderId="44" xfId="119" applyFont="1" applyBorder="1" applyAlignment="1">
      <alignment horizontal="left"/>
      <protection/>
    </xf>
    <xf numFmtId="3" fontId="30" fillId="0" borderId="44" xfId="119" applyNumberFormat="1" applyFont="1" applyBorder="1" applyAlignment="1">
      <alignment/>
      <protection/>
    </xf>
    <xf numFmtId="3" fontId="30" fillId="0" borderId="51" xfId="119" applyNumberFormat="1" applyFont="1" applyBorder="1" applyAlignment="1">
      <alignment/>
      <protection/>
    </xf>
    <xf numFmtId="0" fontId="28" fillId="0" borderId="44" xfId="119" applyFont="1" applyBorder="1" applyAlignment="1">
      <alignment horizontal="right"/>
      <protection/>
    </xf>
    <xf numFmtId="0" fontId="28" fillId="0" borderId="44" xfId="119" applyFont="1" applyBorder="1">
      <alignment/>
      <protection/>
    </xf>
    <xf numFmtId="3" fontId="62" fillId="0" borderId="44" xfId="0" applyNumberFormat="1" applyFont="1" applyBorder="1" applyAlignment="1">
      <alignment horizontal="left" wrapText="1"/>
    </xf>
    <xf numFmtId="0" fontId="28" fillId="0" borderId="17" xfId="119" applyFont="1" applyBorder="1">
      <alignment/>
      <protection/>
    </xf>
    <xf numFmtId="0" fontId="28" fillId="0" borderId="18" xfId="119" applyFont="1" applyBorder="1" applyAlignment="1">
      <alignment horizontal="right"/>
      <protection/>
    </xf>
    <xf numFmtId="0" fontId="28" fillId="0" borderId="18" xfId="119" applyFont="1" applyBorder="1">
      <alignment/>
      <protection/>
    </xf>
    <xf numFmtId="3" fontId="62" fillId="0" borderId="18" xfId="0" applyNumberFormat="1" applyFont="1" applyBorder="1" applyAlignment="1">
      <alignment horizontal="left" wrapText="1"/>
    </xf>
    <xf numFmtId="3" fontId="30" fillId="0" borderId="18" xfId="119" applyNumberFormat="1" applyFont="1" applyBorder="1" applyAlignment="1">
      <alignment/>
      <protection/>
    </xf>
    <xf numFmtId="3" fontId="30" fillId="0" borderId="28" xfId="119" applyNumberFormat="1" applyFont="1" applyBorder="1" applyAlignment="1">
      <alignment/>
      <protection/>
    </xf>
    <xf numFmtId="3" fontId="34" fillId="0" borderId="26" xfId="100" applyNumberFormat="1" applyFont="1" applyFill="1" applyBorder="1">
      <alignment/>
      <protection/>
    </xf>
    <xf numFmtId="0" fontId="30" fillId="0" borderId="26" xfId="100" applyFont="1" applyFill="1" applyBorder="1">
      <alignment/>
      <protection/>
    </xf>
    <xf numFmtId="0" fontId="25" fillId="0" borderId="23" xfId="100" applyFill="1" applyBorder="1" applyAlignment="1">
      <alignment wrapText="1"/>
      <protection/>
    </xf>
    <xf numFmtId="3" fontId="25" fillId="0" borderId="23" xfId="100" applyNumberFormat="1" applyFill="1" applyBorder="1">
      <alignment/>
      <protection/>
    </xf>
    <xf numFmtId="3" fontId="25" fillId="42" borderId="23" xfId="100" applyNumberFormat="1" applyFill="1" applyBorder="1">
      <alignment/>
      <protection/>
    </xf>
    <xf numFmtId="0" fontId="28" fillId="0" borderId="23" xfId="100" applyFont="1" applyFill="1" applyBorder="1">
      <alignment/>
      <protection/>
    </xf>
    <xf numFmtId="3" fontId="52" fillId="0" borderId="14" xfId="0" applyNumberFormat="1" applyFont="1" applyFill="1" applyBorder="1" applyAlignment="1">
      <alignment horizontal="center" wrapText="1"/>
    </xf>
    <xf numFmtId="3" fontId="47" fillId="0" borderId="118" xfId="107" applyNumberFormat="1" applyFont="1" applyBorder="1" applyAlignment="1">
      <alignment vertical="center"/>
      <protection/>
    </xf>
    <xf numFmtId="3" fontId="48" fillId="0" borderId="15" xfId="107" applyNumberFormat="1" applyFont="1" applyBorder="1" applyAlignment="1">
      <alignment vertical="center"/>
      <protection/>
    </xf>
    <xf numFmtId="3" fontId="30" fillId="0" borderId="43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/>
    </xf>
    <xf numFmtId="0" fontId="28" fillId="0" borderId="28" xfId="0" applyFont="1" applyBorder="1" applyAlignment="1">
      <alignment/>
    </xf>
    <xf numFmtId="0" fontId="30" fillId="0" borderId="26" xfId="0" applyFont="1" applyBorder="1" applyAlignment="1">
      <alignment/>
    </xf>
    <xf numFmtId="2" fontId="28" fillId="0" borderId="26" xfId="0" applyNumberFormat="1" applyFont="1" applyBorder="1" applyAlignment="1">
      <alignment horizontal="center"/>
    </xf>
    <xf numFmtId="0" fontId="47" fillId="0" borderId="0" xfId="107" applyFont="1" applyAlignment="1">
      <alignment horizontal="center" vertical="center"/>
      <protection/>
    </xf>
    <xf numFmtId="0" fontId="48" fillId="0" borderId="0" xfId="107" applyFont="1" applyAlignment="1">
      <alignment vertical="center"/>
      <protection/>
    </xf>
    <xf numFmtId="0" fontId="51" fillId="0" borderId="0" xfId="107" applyFont="1" applyAlignment="1">
      <alignment horizontal="center" vertical="center"/>
      <protection/>
    </xf>
    <xf numFmtId="0" fontId="48" fillId="0" borderId="0" xfId="107" applyFont="1" applyAlignment="1">
      <alignment vertical="center" wrapText="1"/>
      <protection/>
    </xf>
    <xf numFmtId="3" fontId="51" fillId="0" borderId="119" xfId="107" applyNumberFormat="1" applyFont="1" applyBorder="1" applyAlignment="1">
      <alignment vertical="center" wrapText="1"/>
      <protection/>
    </xf>
    <xf numFmtId="3" fontId="51" fillId="0" borderId="117" xfId="107" applyNumberFormat="1" applyFont="1" applyBorder="1" applyAlignment="1">
      <alignment vertical="center" wrapText="1"/>
      <protection/>
    </xf>
    <xf numFmtId="3" fontId="51" fillId="0" borderId="13" xfId="107" applyNumberFormat="1" applyFont="1" applyBorder="1" applyAlignment="1">
      <alignment vertical="center" wrapText="1"/>
      <protection/>
    </xf>
    <xf numFmtId="0" fontId="51" fillId="0" borderId="0" xfId="107" applyFont="1" applyAlignment="1">
      <alignment vertical="center" wrapText="1"/>
      <protection/>
    </xf>
    <xf numFmtId="3" fontId="48" fillId="0" borderId="29" xfId="107" applyNumberFormat="1" applyFont="1" applyBorder="1" applyAlignment="1">
      <alignment vertical="center"/>
      <protection/>
    </xf>
    <xf numFmtId="3" fontId="51" fillId="0" borderId="29" xfId="107" applyNumberFormat="1" applyFont="1" applyBorder="1" applyAlignment="1">
      <alignment vertical="center"/>
      <protection/>
    </xf>
    <xf numFmtId="3" fontId="51" fillId="0" borderId="55" xfId="107" applyNumberFormat="1" applyFont="1" applyBorder="1" applyAlignment="1">
      <alignment vertical="center"/>
      <protection/>
    </xf>
    <xf numFmtId="0" fontId="51" fillId="0" borderId="0" xfId="107" applyFont="1" applyAlignment="1">
      <alignment vertical="center"/>
      <protection/>
    </xf>
    <xf numFmtId="3" fontId="48" fillId="0" borderId="55" xfId="107" applyNumberFormat="1" applyFont="1" applyBorder="1" applyAlignment="1">
      <alignment vertical="center"/>
      <protection/>
    </xf>
    <xf numFmtId="3" fontId="48" fillId="0" borderId="0" xfId="107" applyNumberFormat="1" applyFont="1" applyAlignment="1">
      <alignment vertical="center"/>
      <protection/>
    </xf>
    <xf numFmtId="0" fontId="43" fillId="0" borderId="0" xfId="107" applyFont="1" applyAlignment="1">
      <alignment vertical="center"/>
      <protection/>
    </xf>
    <xf numFmtId="3" fontId="48" fillId="0" borderId="15" xfId="108" applyNumberFormat="1" applyFont="1" applyBorder="1" applyAlignment="1">
      <alignment vertical="center" wrapText="1"/>
      <protection/>
    </xf>
    <xf numFmtId="3" fontId="51" fillId="0" borderId="15" xfId="108" applyNumberFormat="1" applyFont="1" applyBorder="1" applyAlignment="1">
      <alignment vertical="center" wrapText="1"/>
      <protection/>
    </xf>
    <xf numFmtId="3" fontId="51" fillId="0" borderId="16" xfId="108" applyNumberFormat="1" applyFont="1" applyBorder="1" applyAlignment="1">
      <alignment vertical="center"/>
      <protection/>
    </xf>
    <xf numFmtId="3" fontId="51" fillId="0" borderId="26" xfId="108" applyNumberFormat="1" applyFont="1" applyBorder="1" applyAlignment="1">
      <alignment vertical="center"/>
      <protection/>
    </xf>
    <xf numFmtId="3" fontId="48" fillId="0" borderId="16" xfId="108" applyNumberFormat="1" applyFont="1" applyBorder="1" applyAlignment="1">
      <alignment vertical="center"/>
      <protection/>
    </xf>
    <xf numFmtId="3" fontId="48" fillId="0" borderId="26" xfId="108" applyNumberFormat="1" applyFont="1" applyBorder="1" applyAlignment="1">
      <alignment vertical="center"/>
      <protection/>
    </xf>
    <xf numFmtId="0" fontId="47" fillId="0" borderId="0" xfId="107" applyFont="1" applyAlignment="1">
      <alignment vertical="center"/>
      <protection/>
    </xf>
    <xf numFmtId="3" fontId="47" fillId="0" borderId="0" xfId="107" applyNumberFormat="1" applyFont="1" applyAlignment="1">
      <alignment vertical="center"/>
      <protection/>
    </xf>
    <xf numFmtId="3" fontId="30" fillId="0" borderId="26" xfId="0" applyNumberFormat="1" applyFont="1" applyBorder="1" applyAlignment="1">
      <alignment horizontal="right"/>
    </xf>
    <xf numFmtId="3" fontId="30" fillId="0" borderId="28" xfId="0" applyNumberFormat="1" applyFont="1" applyBorder="1" applyAlignment="1">
      <alignment horizontal="right"/>
    </xf>
    <xf numFmtId="3" fontId="29" fillId="0" borderId="51" xfId="100" applyNumberFormat="1" applyFont="1" applyBorder="1">
      <alignment/>
      <protection/>
    </xf>
    <xf numFmtId="3" fontId="20" fillId="0" borderId="26" xfId="100" applyNumberFormat="1" applyFont="1" applyBorder="1">
      <alignment/>
      <protection/>
    </xf>
    <xf numFmtId="3" fontId="20" fillId="0" borderId="28" xfId="100" applyNumberFormat="1" applyFont="1" applyBorder="1">
      <alignment/>
      <protection/>
    </xf>
    <xf numFmtId="3" fontId="30" fillId="0" borderId="26" xfId="99" applyNumberFormat="1" applyFont="1" applyBorder="1" applyAlignment="1">
      <alignment horizontal="right"/>
      <protection/>
    </xf>
    <xf numFmtId="3" fontId="30" fillId="0" borderId="28" xfId="99" applyNumberFormat="1" applyFont="1" applyBorder="1" applyAlignment="1">
      <alignment horizontal="right"/>
      <protection/>
    </xf>
    <xf numFmtId="3" fontId="30" fillId="0" borderId="26" xfId="101" applyNumberFormat="1" applyFont="1" applyBorder="1">
      <alignment/>
      <protection/>
    </xf>
    <xf numFmtId="3" fontId="30" fillId="0" borderId="28" xfId="101" applyNumberFormat="1" applyFont="1" applyBorder="1">
      <alignment/>
      <protection/>
    </xf>
    <xf numFmtId="3" fontId="30" fillId="0" borderId="26" xfId="101" applyNumberFormat="1" applyFont="1" applyBorder="1" applyAlignment="1">
      <alignment horizontal="right" vertical="center"/>
      <protection/>
    </xf>
    <xf numFmtId="3" fontId="28" fillId="0" borderId="26" xfId="101" applyNumberFormat="1" applyFont="1" applyBorder="1" applyAlignment="1">
      <alignment horizontal="right" vertical="center"/>
      <protection/>
    </xf>
    <xf numFmtId="3" fontId="30" fillId="0" borderId="28" xfId="101" applyNumberFormat="1" applyFont="1" applyBorder="1" applyAlignment="1">
      <alignment horizontal="right" vertical="center"/>
      <protection/>
    </xf>
    <xf numFmtId="3" fontId="47" fillId="0" borderId="26" xfId="108" applyNumberFormat="1" applyFont="1" applyBorder="1">
      <alignment/>
      <protection/>
    </xf>
    <xf numFmtId="3" fontId="51" fillId="0" borderId="26" xfId="108" applyNumberFormat="1" applyFont="1" applyBorder="1">
      <alignment/>
      <protection/>
    </xf>
    <xf numFmtId="3" fontId="47" fillId="0" borderId="28" xfId="108" applyNumberFormat="1" applyFont="1" applyBorder="1">
      <alignment/>
      <protection/>
    </xf>
    <xf numFmtId="0" fontId="66" fillId="0" borderId="0" xfId="0" applyFont="1" applyFill="1" applyAlignment="1">
      <alignment/>
    </xf>
    <xf numFmtId="0" fontId="47" fillId="0" borderId="16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20" xfId="0" applyFont="1" applyFill="1" applyBorder="1" applyAlignment="1">
      <alignment horizontal="center" vertical="center" wrapText="1"/>
    </xf>
    <xf numFmtId="0" fontId="48" fillId="0" borderId="44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 wrapText="1"/>
    </xf>
    <xf numFmtId="3" fontId="48" fillId="0" borderId="16" xfId="0" applyNumberFormat="1" applyFont="1" applyBorder="1" applyAlignment="1">
      <alignment vertical="center"/>
    </xf>
    <xf numFmtId="3" fontId="47" fillId="0" borderId="16" xfId="0" applyNumberFormat="1" applyFont="1" applyBorder="1" applyAlignment="1">
      <alignment vertical="center"/>
    </xf>
    <xf numFmtId="3" fontId="48" fillId="0" borderId="16" xfId="0" applyNumberFormat="1" applyFont="1" applyFill="1" applyBorder="1" applyAlignment="1">
      <alignment vertical="center"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3" fontId="48" fillId="0" borderId="0" xfId="0" applyNumberFormat="1" applyFont="1" applyFill="1" applyBorder="1" applyAlignment="1">
      <alignment vertical="center"/>
    </xf>
    <xf numFmtId="0" fontId="48" fillId="0" borderId="1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/>
    </xf>
    <xf numFmtId="3" fontId="66" fillId="0" borderId="0" xfId="0" applyNumberFormat="1" applyFont="1" applyFill="1" applyAlignment="1">
      <alignment/>
    </xf>
    <xf numFmtId="0" fontId="47" fillId="0" borderId="16" xfId="0" applyFont="1" applyBorder="1" applyAlignment="1">
      <alignment vertical="center" wrapText="1"/>
    </xf>
    <xf numFmtId="0" fontId="68" fillId="0" borderId="0" xfId="0" applyFont="1" applyAlignment="1">
      <alignment/>
    </xf>
    <xf numFmtId="0" fontId="67" fillId="0" borderId="121" xfId="0" applyFont="1" applyBorder="1" applyAlignment="1">
      <alignment horizontal="left" vertical="center" wrapText="1"/>
    </xf>
    <xf numFmtId="3" fontId="68" fillId="0" borderId="0" xfId="0" applyNumberFormat="1" applyFont="1" applyAlignment="1">
      <alignment/>
    </xf>
    <xf numFmtId="3" fontId="66" fillId="0" borderId="16" xfId="0" applyNumberFormat="1" applyFont="1" applyBorder="1" applyAlignment="1">
      <alignment/>
    </xf>
    <xf numFmtId="3" fontId="66" fillId="0" borderId="29" xfId="0" applyNumberFormat="1" applyFont="1" applyBorder="1" applyAlignment="1">
      <alignment/>
    </xf>
    <xf numFmtId="3" fontId="66" fillId="0" borderId="0" xfId="0" applyNumberFormat="1" applyFont="1" applyBorder="1" applyAlignment="1">
      <alignment/>
    </xf>
    <xf numFmtId="3" fontId="47" fillId="0" borderId="15" xfId="0" applyNumberFormat="1" applyFont="1" applyBorder="1" applyAlignment="1">
      <alignment wrapText="1"/>
    </xf>
    <xf numFmtId="3" fontId="40" fillId="0" borderId="77" xfId="0" applyNumberFormat="1" applyFont="1" applyBorder="1" applyAlignment="1">
      <alignment horizontal="center" vertical="center" wrapText="1"/>
    </xf>
    <xf numFmtId="0" fontId="40" fillId="0" borderId="122" xfId="104" applyFont="1" applyBorder="1" applyAlignment="1">
      <alignment horizontal="center"/>
      <protection/>
    </xf>
    <xf numFmtId="3" fontId="40" fillId="0" borderId="123" xfId="104" applyNumberFormat="1" applyFont="1" applyBorder="1">
      <alignment/>
      <protection/>
    </xf>
    <xf numFmtId="3" fontId="40" fillId="0" borderId="38" xfId="104" applyNumberFormat="1" applyFont="1" applyBorder="1">
      <alignment/>
      <protection/>
    </xf>
    <xf numFmtId="0" fontId="22" fillId="0" borderId="59" xfId="104" applyFont="1" applyBorder="1">
      <alignment/>
      <protection/>
    </xf>
    <xf numFmtId="3" fontId="22" fillId="0" borderId="40" xfId="104" applyNumberFormat="1" applyFont="1" applyBorder="1">
      <alignment/>
      <protection/>
    </xf>
    <xf numFmtId="0" fontId="22" fillId="0" borderId="30" xfId="0" applyFont="1" applyBorder="1" applyAlignment="1">
      <alignment/>
    </xf>
    <xf numFmtId="49" fontId="41" fillId="0" borderId="65" xfId="104" applyNumberFormat="1" applyFont="1" applyBorder="1" applyAlignment="1">
      <alignment wrapText="1"/>
      <protection/>
    </xf>
    <xf numFmtId="3" fontId="20" fillId="0" borderId="36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2" fillId="0" borderId="33" xfId="0" applyNumberFormat="1" applyFont="1" applyBorder="1" applyAlignment="1">
      <alignment horizontal="right" wrapText="1"/>
    </xf>
    <xf numFmtId="3" fontId="20" fillId="0" borderId="33" xfId="0" applyNumberFormat="1" applyFont="1" applyBorder="1" applyAlignment="1">
      <alignment horizontal="right" wrapText="1"/>
    </xf>
    <xf numFmtId="3" fontId="20" fillId="0" borderId="35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20" fillId="0" borderId="30" xfId="0" applyFont="1" applyBorder="1" applyAlignment="1">
      <alignment/>
    </xf>
    <xf numFmtId="49" fontId="22" fillId="0" borderId="124" xfId="104" applyNumberFormat="1" applyFont="1" applyBorder="1" applyAlignment="1">
      <alignment wrapText="1"/>
      <protection/>
    </xf>
    <xf numFmtId="0" fontId="28" fillId="0" borderId="16" xfId="0" applyFont="1" applyBorder="1" applyAlignment="1">
      <alignment/>
    </xf>
    <xf numFmtId="0" fontId="55" fillId="0" borderId="29" xfId="0" applyFont="1" applyBorder="1" applyAlignment="1">
      <alignment wrapText="1"/>
    </xf>
    <xf numFmtId="3" fontId="22" fillId="0" borderId="26" xfId="0" applyNumberFormat="1" applyFont="1" applyBorder="1" applyAlignment="1">
      <alignment/>
    </xf>
    <xf numFmtId="0" fontId="22" fillId="0" borderId="33" xfId="0" applyFont="1" applyBorder="1" applyAlignment="1">
      <alignment/>
    </xf>
    <xf numFmtId="3" fontId="20" fillId="0" borderId="73" xfId="0" applyNumberFormat="1" applyFont="1" applyBorder="1" applyAlignment="1">
      <alignment/>
    </xf>
    <xf numFmtId="3" fontId="22" fillId="0" borderId="73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0" fontId="20" fillId="0" borderId="29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3" fontId="41" fillId="0" borderId="59" xfId="104" applyNumberFormat="1" applyFont="1" applyBorder="1">
      <alignment/>
      <protection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3" fontId="22" fillId="0" borderId="38" xfId="0" applyNumberFormat="1" applyFont="1" applyBorder="1" applyAlignment="1">
      <alignment horizontal="right" vertical="center" wrapText="1"/>
    </xf>
    <xf numFmtId="0" fontId="67" fillId="0" borderId="0" xfId="0" applyFont="1" applyAlignment="1">
      <alignment/>
    </xf>
    <xf numFmtId="0" fontId="48" fillId="0" borderId="0" xfId="0" applyFont="1" applyAlignment="1">
      <alignment horizontal="center"/>
    </xf>
    <xf numFmtId="3" fontId="47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48" fillId="0" borderId="25" xfId="0" applyFont="1" applyBorder="1" applyAlignment="1">
      <alignment/>
    </xf>
    <xf numFmtId="49" fontId="48" fillId="0" borderId="20" xfId="0" applyNumberFormat="1" applyFont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20" xfId="0" applyFont="1" applyBorder="1" applyAlignment="1">
      <alignment horizontal="left"/>
    </xf>
    <xf numFmtId="3" fontId="47" fillId="0" borderId="20" xfId="0" applyNumberFormat="1" applyFont="1" applyBorder="1" applyAlignment="1">
      <alignment/>
    </xf>
    <xf numFmtId="3" fontId="47" fillId="0" borderId="16" xfId="0" applyNumberFormat="1" applyFont="1" applyBorder="1" applyAlignment="1">
      <alignment/>
    </xf>
    <xf numFmtId="3" fontId="48" fillId="0" borderId="20" xfId="0" applyNumberFormat="1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5" xfId="0" applyFont="1" applyBorder="1" applyAlignment="1">
      <alignment/>
    </xf>
    <xf numFmtId="49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/>
    </xf>
    <xf numFmtId="3" fontId="41" fillId="0" borderId="16" xfId="0" applyNumberFormat="1" applyFont="1" applyBorder="1" applyAlignment="1">
      <alignment horizontal="left" wrapText="1"/>
    </xf>
    <xf numFmtId="3" fontId="48" fillId="0" borderId="16" xfId="0" applyNumberFormat="1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16" xfId="0" applyFont="1" applyBorder="1" applyAlignment="1">
      <alignment horizontal="left"/>
    </xf>
    <xf numFmtId="3" fontId="48" fillId="0" borderId="16" xfId="0" applyNumberFormat="1" applyFont="1" applyBorder="1" applyAlignment="1">
      <alignment horizontal="right"/>
    </xf>
    <xf numFmtId="0" fontId="48" fillId="0" borderId="16" xfId="0" applyFont="1" applyBorder="1" applyAlignment="1">
      <alignment wrapText="1"/>
    </xf>
    <xf numFmtId="0" fontId="48" fillId="0" borderId="16" xfId="0" applyFont="1" applyBorder="1" applyAlignment="1">
      <alignment horizontal="right"/>
    </xf>
    <xf numFmtId="49" fontId="48" fillId="0" borderId="16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26" xfId="0" applyNumberFormat="1" applyFont="1" applyBorder="1" applyAlignment="1">
      <alignment/>
    </xf>
    <xf numFmtId="0" fontId="47" fillId="0" borderId="16" xfId="0" applyFont="1" applyBorder="1" applyAlignment="1">
      <alignment horizontal="left"/>
    </xf>
    <xf numFmtId="3" fontId="47" fillId="0" borderId="16" xfId="0" applyNumberFormat="1" applyFont="1" applyBorder="1" applyAlignment="1">
      <alignment/>
    </xf>
    <xf numFmtId="3" fontId="47" fillId="0" borderId="26" xfId="0" applyNumberFormat="1" applyFont="1" applyBorder="1" applyAlignment="1">
      <alignment/>
    </xf>
    <xf numFmtId="3" fontId="40" fillId="0" borderId="16" xfId="0" applyNumberFormat="1" applyFont="1" applyBorder="1" applyAlignment="1">
      <alignment horizontal="left" wrapText="1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3" fontId="41" fillId="0" borderId="125" xfId="0" applyNumberFormat="1" applyFont="1" applyBorder="1" applyAlignment="1">
      <alignment horizontal="left" wrapText="1"/>
    </xf>
    <xf numFmtId="3" fontId="32" fillId="0" borderId="33" xfId="0" applyNumberFormat="1" applyFont="1" applyBorder="1" applyAlignment="1">
      <alignment horizontal="right" vertical="center" wrapText="1"/>
    </xf>
    <xf numFmtId="3" fontId="32" fillId="0" borderId="35" xfId="0" applyNumberFormat="1" applyFont="1" applyBorder="1" applyAlignment="1">
      <alignment/>
    </xf>
    <xf numFmtId="3" fontId="62" fillId="0" borderId="35" xfId="0" applyNumberFormat="1" applyFont="1" applyBorder="1" applyAlignment="1">
      <alignment horizontal="center" vertical="center" wrapText="1"/>
    </xf>
    <xf numFmtId="3" fontId="62" fillId="0" borderId="28" xfId="0" applyNumberFormat="1" applyFont="1" applyBorder="1" applyAlignment="1">
      <alignment horizontal="center" wrapText="1"/>
    </xf>
    <xf numFmtId="2" fontId="28" fillId="0" borderId="21" xfId="0" applyNumberFormat="1" applyFont="1" applyBorder="1" applyAlignment="1">
      <alignment horizontal="center"/>
    </xf>
    <xf numFmtId="2" fontId="28" fillId="0" borderId="43" xfId="0" applyNumberFormat="1" applyFont="1" applyBorder="1" applyAlignment="1">
      <alignment horizontal="center"/>
    </xf>
    <xf numFmtId="2" fontId="30" fillId="0" borderId="126" xfId="0" applyNumberFormat="1" applyFont="1" applyBorder="1" applyAlignment="1">
      <alignment horizontal="center"/>
    </xf>
    <xf numFmtId="2" fontId="30" fillId="0" borderId="28" xfId="0" applyNumberFormat="1" applyFont="1" applyBorder="1" applyAlignment="1">
      <alignment horizontal="center"/>
    </xf>
    <xf numFmtId="0" fontId="42" fillId="0" borderId="29" xfId="0" applyFont="1" applyBorder="1" applyAlignment="1">
      <alignment wrapText="1"/>
    </xf>
    <xf numFmtId="49" fontId="28" fillId="0" borderId="15" xfId="100" applyNumberFormat="1" applyFont="1" applyBorder="1" applyAlignment="1">
      <alignment wrapText="1"/>
      <protection/>
    </xf>
    <xf numFmtId="3" fontId="35" fillId="0" borderId="26" xfId="0" applyNumberFormat="1" applyFont="1" applyBorder="1" applyAlignment="1">
      <alignment/>
    </xf>
    <xf numFmtId="0" fontId="38" fillId="0" borderId="15" xfId="0" applyFont="1" applyBorder="1" applyAlignment="1">
      <alignment wrapText="1"/>
    </xf>
    <xf numFmtId="3" fontId="35" fillId="0" borderId="18" xfId="0" applyNumberFormat="1" applyFont="1" applyBorder="1" applyAlignment="1">
      <alignment/>
    </xf>
    <xf numFmtId="3" fontId="35" fillId="0" borderId="28" xfId="0" applyNumberFormat="1" applyFont="1" applyBorder="1" applyAlignment="1">
      <alignment/>
    </xf>
    <xf numFmtId="3" fontId="48" fillId="0" borderId="0" xfId="108" applyNumberFormat="1" applyFont="1" applyBorder="1" applyAlignment="1">
      <alignment wrapText="1"/>
      <protection/>
    </xf>
    <xf numFmtId="3" fontId="47" fillId="0" borderId="13" xfId="108" applyNumberFormat="1" applyFont="1" applyBorder="1" applyAlignment="1">
      <alignment horizontal="center" wrapText="1"/>
      <protection/>
    </xf>
    <xf numFmtId="3" fontId="47" fillId="0" borderId="36" xfId="108" applyNumberFormat="1" applyFont="1" applyBorder="1" applyAlignment="1">
      <alignment horizontal="center"/>
      <protection/>
    </xf>
    <xf numFmtId="3" fontId="47" fillId="0" borderId="43" xfId="107" applyNumberFormat="1" applyFont="1" applyBorder="1" applyAlignment="1">
      <alignment/>
      <protection/>
    </xf>
    <xf numFmtId="3" fontId="47" fillId="0" borderId="15" xfId="108" applyNumberFormat="1" applyFont="1" applyBorder="1" applyAlignment="1">
      <alignment wrapText="1"/>
      <protection/>
    </xf>
    <xf numFmtId="3" fontId="59" fillId="0" borderId="15" xfId="108" applyNumberFormat="1" applyFont="1" applyBorder="1" applyAlignment="1">
      <alignment wrapText="1"/>
      <protection/>
    </xf>
    <xf numFmtId="3" fontId="59" fillId="0" borderId="33" xfId="108" applyNumberFormat="1" applyFont="1" applyBorder="1">
      <alignment/>
      <protection/>
    </xf>
    <xf numFmtId="3" fontId="59" fillId="0" borderId="26" xfId="108" applyNumberFormat="1" applyFont="1" applyBorder="1">
      <alignment/>
      <protection/>
    </xf>
    <xf numFmtId="3" fontId="48" fillId="0" borderId="15" xfId="108" applyNumberFormat="1" applyFont="1" applyBorder="1" applyAlignment="1">
      <alignment wrapText="1"/>
      <protection/>
    </xf>
    <xf numFmtId="3" fontId="48" fillId="0" borderId="33" xfId="108" applyNumberFormat="1" applyFont="1" applyBorder="1">
      <alignment/>
      <protection/>
    </xf>
    <xf numFmtId="3" fontId="48" fillId="0" borderId="26" xfId="108" applyNumberFormat="1" applyFont="1" applyBorder="1">
      <alignment/>
      <protection/>
    </xf>
    <xf numFmtId="3" fontId="51" fillId="0" borderId="15" xfId="108" applyNumberFormat="1" applyFont="1" applyBorder="1" applyAlignment="1">
      <alignment wrapText="1"/>
      <protection/>
    </xf>
    <xf numFmtId="3" fontId="47" fillId="0" borderId="17" xfId="108" applyNumberFormat="1" applyFont="1" applyBorder="1" applyAlignment="1">
      <alignment wrapText="1"/>
      <protection/>
    </xf>
    <xf numFmtId="3" fontId="48" fillId="0" borderId="0" xfId="108" applyNumberFormat="1" applyFont="1" applyAlignment="1">
      <alignment wrapText="1"/>
      <protection/>
    </xf>
    <xf numFmtId="0" fontId="20" fillId="0" borderId="30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41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30" xfId="0" applyFont="1" applyBorder="1" applyAlignment="1">
      <alignment/>
    </xf>
    <xf numFmtId="0" fontId="20" fillId="0" borderId="29" xfId="0" applyFont="1" applyBorder="1" applyAlignment="1">
      <alignment/>
    </xf>
    <xf numFmtId="49" fontId="20" fillId="0" borderId="15" xfId="0" applyNumberFormat="1" applyFont="1" applyBorder="1" applyAlignment="1">
      <alignment horizontal="left" wrapText="1"/>
    </xf>
    <xf numFmtId="49" fontId="20" fillId="0" borderId="16" xfId="0" applyNumberFormat="1" applyFont="1" applyBorder="1" applyAlignment="1">
      <alignment horizontal="left" wrapText="1"/>
    </xf>
    <xf numFmtId="0" fontId="20" fillId="0" borderId="15" xfId="0" applyFont="1" applyBorder="1" applyAlignment="1">
      <alignment/>
    </xf>
    <xf numFmtId="0" fontId="0" fillId="0" borderId="16" xfId="0" applyBorder="1" applyAlignment="1">
      <alignment/>
    </xf>
    <xf numFmtId="49" fontId="20" fillId="0" borderId="30" xfId="0" applyNumberFormat="1" applyFont="1" applyBorder="1" applyAlignment="1">
      <alignment horizontal="left" wrapText="1"/>
    </xf>
    <xf numFmtId="49" fontId="20" fillId="0" borderId="29" xfId="0" applyNumberFormat="1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4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118" xfId="0" applyFont="1" applyBorder="1" applyAlignment="1">
      <alignment horizontal="center"/>
    </xf>
    <xf numFmtId="0" fontId="22" fillId="0" borderId="30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40" fillId="0" borderId="0" xfId="104" applyFont="1" applyBorder="1" applyAlignment="1">
      <alignment horizontal="center"/>
      <protection/>
    </xf>
    <xf numFmtId="0" fontId="40" fillId="0" borderId="77" xfId="104" applyFont="1" applyBorder="1" applyAlignment="1">
      <alignment horizontal="center"/>
      <protection/>
    </xf>
    <xf numFmtId="0" fontId="40" fillId="0" borderId="76" xfId="104" applyFont="1" applyBorder="1" applyAlignment="1">
      <alignment horizontal="center"/>
      <protection/>
    </xf>
    <xf numFmtId="0" fontId="40" fillId="0" borderId="127" xfId="104" applyFont="1" applyBorder="1" applyAlignment="1">
      <alignment horizontal="center"/>
      <protection/>
    </xf>
    <xf numFmtId="0" fontId="40" fillId="0" borderId="128" xfId="104" applyFont="1" applyBorder="1" applyAlignment="1">
      <alignment horizontal="center"/>
      <protection/>
    </xf>
    <xf numFmtId="0" fontId="40" fillId="0" borderId="83" xfId="104" applyFont="1" applyBorder="1" applyAlignment="1">
      <alignment horizontal="center"/>
      <protection/>
    </xf>
    <xf numFmtId="0" fontId="40" fillId="0" borderId="129" xfId="104" applyFont="1" applyBorder="1" applyAlignment="1">
      <alignment horizontal="center"/>
      <protection/>
    </xf>
    <xf numFmtId="0" fontId="40" fillId="0" borderId="82" xfId="104" applyFont="1" applyBorder="1" applyAlignment="1">
      <alignment horizontal="center"/>
      <protection/>
    </xf>
    <xf numFmtId="0" fontId="3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/>
    </xf>
    <xf numFmtId="0" fontId="32" fillId="0" borderId="0" xfId="0" applyFont="1" applyAlignment="1">
      <alignment horizontal="center" shrinkToFit="1"/>
    </xf>
    <xf numFmtId="0" fontId="32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2" fillId="0" borderId="119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19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47" fillId="0" borderId="0" xfId="0" applyFont="1" applyBorder="1" applyAlignment="1">
      <alignment horizontal="center"/>
    </xf>
    <xf numFmtId="0" fontId="47" fillId="0" borderId="12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3" fontId="47" fillId="0" borderId="35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6" xfId="0" applyFont="1" applyBorder="1" applyAlignment="1">
      <alignment horizontal="left"/>
    </xf>
    <xf numFmtId="0" fontId="47" fillId="0" borderId="82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/>
    </xf>
    <xf numFmtId="0" fontId="52" fillId="0" borderId="15" xfId="119" applyFont="1" applyBorder="1" applyAlignment="1">
      <alignment horizontal="left" vertical="center"/>
      <protection/>
    </xf>
    <xf numFmtId="0" fontId="30" fillId="0" borderId="15" xfId="119" applyFont="1" applyBorder="1" applyAlignment="1">
      <alignment horizontal="left" vertical="center"/>
      <protection/>
    </xf>
    <xf numFmtId="0" fontId="30" fillId="0" borderId="18" xfId="119" applyFont="1" applyBorder="1" applyAlignment="1">
      <alignment horizontal="center" vertical="center"/>
      <protection/>
    </xf>
    <xf numFmtId="3" fontId="30" fillId="0" borderId="18" xfId="119" applyNumberFormat="1" applyFont="1" applyBorder="1" applyAlignment="1">
      <alignment horizontal="center" vertical="center" wrapText="1"/>
      <protection/>
    </xf>
    <xf numFmtId="0" fontId="30" fillId="0" borderId="18" xfId="119" applyFont="1" applyBorder="1" applyAlignment="1">
      <alignment horizontal="center" vertical="center" wrapText="1"/>
      <protection/>
    </xf>
    <xf numFmtId="0" fontId="52" fillId="0" borderId="25" xfId="119" applyFont="1" applyBorder="1" applyAlignment="1">
      <alignment horizontal="left" vertical="center"/>
      <protection/>
    </xf>
    <xf numFmtId="0" fontId="30" fillId="0" borderId="82" xfId="119" applyFont="1" applyBorder="1" applyAlignment="1">
      <alignment horizontal="center" vertical="center"/>
      <protection/>
    </xf>
    <xf numFmtId="0" fontId="30" fillId="0" borderId="43" xfId="119" applyFont="1" applyBorder="1" applyAlignment="1">
      <alignment horizontal="center"/>
      <protection/>
    </xf>
    <xf numFmtId="0" fontId="52" fillId="0" borderId="28" xfId="119" applyFont="1" applyBorder="1" applyAlignment="1">
      <alignment horizontal="center" vertical="center" wrapText="1"/>
      <protection/>
    </xf>
    <xf numFmtId="0" fontId="30" fillId="0" borderId="0" xfId="98" applyFont="1" applyFill="1" applyBorder="1" applyAlignment="1">
      <alignment/>
      <protection/>
    </xf>
    <xf numFmtId="0" fontId="47" fillId="0" borderId="0" xfId="98" applyFont="1" applyFill="1" applyBorder="1" applyAlignment="1">
      <alignment horizontal="center"/>
      <protection/>
    </xf>
    <xf numFmtId="0" fontId="51" fillId="0" borderId="0" xfId="98" applyFont="1" applyFill="1" applyBorder="1" applyAlignment="1">
      <alignment horizontal="center"/>
      <protection/>
    </xf>
    <xf numFmtId="0" fontId="30" fillId="0" borderId="128" xfId="119" applyFont="1" applyBorder="1" applyAlignment="1">
      <alignment horizontal="center" vertical="center"/>
      <protection/>
    </xf>
    <xf numFmtId="0" fontId="30" fillId="0" borderId="14" xfId="119" applyFont="1" applyBorder="1" applyAlignment="1">
      <alignment horizontal="center"/>
      <protection/>
    </xf>
    <xf numFmtId="0" fontId="68" fillId="0" borderId="44" xfId="0" applyFont="1" applyBorder="1" applyAlignment="1">
      <alignment wrapText="1"/>
    </xf>
    <xf numFmtId="0" fontId="68" fillId="0" borderId="121" xfId="0" applyFont="1" applyBorder="1" applyAlignment="1">
      <alignment wrapText="1"/>
    </xf>
    <xf numFmtId="0" fontId="67" fillId="0" borderId="20" xfId="0" applyFont="1" applyBorder="1" applyAlignment="1">
      <alignment wrapText="1"/>
    </xf>
    <xf numFmtId="0" fontId="66" fillId="0" borderId="44" xfId="0" applyFont="1" applyBorder="1" applyAlignment="1">
      <alignment wrapText="1"/>
    </xf>
    <xf numFmtId="0" fontId="66" fillId="0" borderId="121" xfId="0" applyFont="1" applyBorder="1" applyAlignment="1">
      <alignment wrapText="1"/>
    </xf>
    <xf numFmtId="3" fontId="48" fillId="0" borderId="44" xfId="0" applyNumberFormat="1" applyFont="1" applyBorder="1" applyAlignment="1">
      <alignment vertical="center" wrapText="1"/>
    </xf>
    <xf numFmtId="0" fontId="67" fillId="0" borderId="121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66" fillId="0" borderId="20" xfId="0" applyFont="1" applyBorder="1" applyAlignment="1">
      <alignment wrapText="1"/>
    </xf>
    <xf numFmtId="0" fontId="48" fillId="0" borderId="16" xfId="0" applyFont="1" applyBorder="1" applyAlignment="1">
      <alignment horizontal="left" vertical="center" wrapText="1"/>
    </xf>
    <xf numFmtId="0" fontId="67" fillId="0" borderId="16" xfId="0" applyFont="1" applyBorder="1" applyAlignment="1">
      <alignment wrapText="1"/>
    </xf>
    <xf numFmtId="0" fontId="67" fillId="0" borderId="121" xfId="0" applyFont="1" applyBorder="1" applyAlignment="1">
      <alignment wrapText="1"/>
    </xf>
    <xf numFmtId="0" fontId="48" fillId="0" borderId="44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left" vertical="center" wrapText="1"/>
    </xf>
    <xf numFmtId="0" fontId="47" fillId="0" borderId="121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121" xfId="0" applyFont="1" applyBorder="1" applyAlignment="1">
      <alignment horizontal="left" vertical="center" wrapText="1"/>
    </xf>
    <xf numFmtId="0" fontId="66" fillId="0" borderId="121" xfId="0" applyFont="1" applyBorder="1" applyAlignment="1">
      <alignment horizontal="left" vertical="center" wrapText="1"/>
    </xf>
    <xf numFmtId="0" fontId="48" fillId="0" borderId="121" xfId="0" applyFont="1" applyBorder="1" applyAlignment="1">
      <alignment horizontal="left" vertical="center" wrapText="1"/>
    </xf>
    <xf numFmtId="0" fontId="48" fillId="0" borderId="44" xfId="0" applyFont="1" applyFill="1" applyBorder="1" applyAlignment="1">
      <alignment horizontal="left" vertical="center" wrapText="1"/>
    </xf>
    <xf numFmtId="0" fontId="48" fillId="0" borderId="121" xfId="0" applyFont="1" applyFill="1" applyBorder="1" applyAlignment="1">
      <alignment horizontal="left" vertical="center" wrapText="1"/>
    </xf>
    <xf numFmtId="3" fontId="48" fillId="0" borderId="44" xfId="0" applyNumberFormat="1" applyFont="1" applyFill="1" applyBorder="1" applyAlignment="1">
      <alignment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54" fillId="0" borderId="14" xfId="102" applyFont="1" applyFill="1" applyBorder="1" applyAlignment="1">
      <alignment horizontal="center" vertical="center" wrapText="1"/>
      <protection/>
    </xf>
    <xf numFmtId="0" fontId="54" fillId="0" borderId="16" xfId="102" applyFont="1" applyFill="1" applyBorder="1" applyAlignment="1">
      <alignment horizontal="center" vertical="center" wrapText="1"/>
      <protection/>
    </xf>
    <xf numFmtId="0" fontId="54" fillId="0" borderId="43" xfId="102" applyFont="1" applyFill="1" applyBorder="1" applyAlignment="1">
      <alignment horizontal="center" vertical="center" wrapText="1"/>
      <protection/>
    </xf>
    <xf numFmtId="0" fontId="54" fillId="0" borderId="26" xfId="102" applyFont="1" applyFill="1" applyBorder="1" applyAlignment="1">
      <alignment horizontal="center" vertical="center" wrapText="1"/>
      <protection/>
    </xf>
    <xf numFmtId="0" fontId="30" fillId="0" borderId="0" xfId="102" applyFont="1" applyFill="1" applyBorder="1" applyAlignment="1">
      <alignment horizontal="center" vertical="center"/>
      <protection/>
    </xf>
    <xf numFmtId="0" fontId="54" fillId="0" borderId="13" xfId="102" applyFont="1" applyFill="1" applyBorder="1" applyAlignment="1">
      <alignment horizontal="center" vertical="center" wrapText="1"/>
      <protection/>
    </xf>
    <xf numFmtId="0" fontId="54" fillId="0" borderId="15" xfId="102" applyFont="1" applyFill="1" applyBorder="1" applyAlignment="1">
      <alignment horizontal="center" vertical="center" wrapText="1"/>
      <protection/>
    </xf>
    <xf numFmtId="0" fontId="54" fillId="0" borderId="14" xfId="102" applyFont="1" applyFill="1" applyBorder="1" applyAlignment="1">
      <alignment horizontal="center" vertical="center"/>
      <protection/>
    </xf>
    <xf numFmtId="0" fontId="52" fillId="0" borderId="0" xfId="102" applyFont="1" applyFill="1" applyBorder="1" applyAlignment="1">
      <alignment horizontal="center" vertical="center"/>
      <protection/>
    </xf>
    <xf numFmtId="0" fontId="32" fillId="0" borderId="0" xfId="100" applyFont="1" applyFill="1" applyAlignment="1">
      <alignment horizontal="center" vertical="center"/>
      <protection/>
    </xf>
    <xf numFmtId="0" fontId="32" fillId="0" borderId="0" xfId="100" applyFont="1" applyFill="1" applyAlignment="1">
      <alignment horizontal="center"/>
      <protection/>
    </xf>
    <xf numFmtId="0" fontId="32" fillId="0" borderId="0" xfId="100" applyFont="1" applyFill="1" applyBorder="1" applyAlignment="1">
      <alignment horizontal="center" vertical="center"/>
      <protection/>
    </xf>
    <xf numFmtId="0" fontId="32" fillId="0" borderId="0" xfId="100" applyFont="1" applyFill="1" applyBorder="1" applyAlignment="1">
      <alignment horizontal="center"/>
      <protection/>
    </xf>
    <xf numFmtId="0" fontId="20" fillId="0" borderId="0" xfId="0" applyFont="1" applyAlignment="1">
      <alignment horizontal="center" wrapText="1"/>
    </xf>
    <xf numFmtId="0" fontId="32" fillId="0" borderId="0" xfId="100" applyFont="1" applyBorder="1" applyAlignment="1">
      <alignment horizontal="center"/>
      <protection/>
    </xf>
    <xf numFmtId="0" fontId="32" fillId="0" borderId="0" xfId="100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37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12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30" xfId="0" applyFont="1" applyBorder="1" applyAlignment="1">
      <alignment horizontal="center" vertical="center"/>
    </xf>
    <xf numFmtId="0" fontId="29" fillId="0" borderId="0" xfId="99" applyFont="1" applyFill="1" applyBorder="1" applyAlignment="1">
      <alignment horizontal="center" vertical="center"/>
      <protection/>
    </xf>
    <xf numFmtId="0" fontId="30" fillId="0" borderId="0" xfId="99" applyFont="1" applyBorder="1" applyAlignment="1">
      <alignment horizontal="center" vertical="center"/>
      <protection/>
    </xf>
    <xf numFmtId="0" fontId="45" fillId="0" borderId="15" xfId="99" applyFont="1" applyBorder="1" applyAlignment="1">
      <alignment horizontal="left"/>
      <protection/>
    </xf>
    <xf numFmtId="0" fontId="45" fillId="0" borderId="16" xfId="99" applyFont="1" applyBorder="1" applyAlignment="1">
      <alignment horizontal="left"/>
      <protection/>
    </xf>
    <xf numFmtId="0" fontId="30" fillId="0" borderId="13" xfId="99" applyFont="1" applyBorder="1" applyAlignment="1">
      <alignment horizontal="center" vertical="center" wrapText="1"/>
      <protection/>
    </xf>
    <xf numFmtId="0" fontId="30" fillId="0" borderId="14" xfId="99" applyFont="1" applyBorder="1" applyAlignment="1">
      <alignment horizontal="center" vertical="center" wrapText="1"/>
      <protection/>
    </xf>
    <xf numFmtId="0" fontId="30" fillId="0" borderId="36" xfId="101" applyFont="1" applyBorder="1" applyAlignment="1">
      <alignment horizontal="center"/>
      <protection/>
    </xf>
    <xf numFmtId="0" fontId="30" fillId="0" borderId="32" xfId="101" applyFont="1" applyBorder="1" applyAlignment="1">
      <alignment horizontal="center"/>
      <protection/>
    </xf>
    <xf numFmtId="0" fontId="30" fillId="0" borderId="117" xfId="101" applyFont="1" applyBorder="1" applyAlignment="1">
      <alignment horizontal="center"/>
      <protection/>
    </xf>
    <xf numFmtId="0" fontId="30" fillId="0" borderId="48" xfId="101" applyFont="1" applyBorder="1" applyAlignment="1">
      <alignment horizontal="center"/>
      <protection/>
    </xf>
    <xf numFmtId="0" fontId="30" fillId="0" borderId="119" xfId="101" applyFont="1" applyBorder="1" applyAlignment="1">
      <alignment horizontal="center"/>
      <protection/>
    </xf>
    <xf numFmtId="0" fontId="30" fillId="0" borderId="0" xfId="101" applyFont="1" applyAlignment="1">
      <alignment horizontal="center"/>
      <protection/>
    </xf>
    <xf numFmtId="0" fontId="30" fillId="0" borderId="36" xfId="101" applyFont="1" applyBorder="1" applyAlignment="1">
      <alignment horizontal="center" vertical="center"/>
      <protection/>
    </xf>
    <xf numFmtId="0" fontId="30" fillId="0" borderId="32" xfId="101" applyFont="1" applyBorder="1" applyAlignment="1">
      <alignment horizontal="center" vertical="center"/>
      <protection/>
    </xf>
    <xf numFmtId="0" fontId="30" fillId="0" borderId="117" xfId="101" applyFont="1" applyBorder="1" applyAlignment="1">
      <alignment horizontal="center" vertical="center"/>
      <protection/>
    </xf>
    <xf numFmtId="0" fontId="30" fillId="0" borderId="48" xfId="101" applyFont="1" applyBorder="1" applyAlignment="1">
      <alignment horizontal="center" vertical="center"/>
      <protection/>
    </xf>
    <xf numFmtId="0" fontId="30" fillId="0" borderId="119" xfId="101" applyFont="1" applyBorder="1" applyAlignment="1">
      <alignment horizontal="center" vertical="center"/>
      <protection/>
    </xf>
    <xf numFmtId="0" fontId="47" fillId="0" borderId="119" xfId="107" applyFont="1" applyBorder="1" applyAlignment="1">
      <alignment horizontal="center" vertical="center" wrapText="1"/>
      <protection/>
    </xf>
    <xf numFmtId="0" fontId="47" fillId="0" borderId="131" xfId="107" applyFont="1" applyBorder="1" applyAlignment="1">
      <alignment horizontal="center" vertical="center" wrapText="1"/>
      <protection/>
    </xf>
    <xf numFmtId="0" fontId="47" fillId="0" borderId="36" xfId="107" applyFont="1" applyBorder="1" applyAlignment="1">
      <alignment horizontal="center" vertical="center" wrapText="1"/>
      <protection/>
    </xf>
    <xf numFmtId="0" fontId="47" fillId="0" borderId="32" xfId="107" applyFont="1" applyBorder="1" applyAlignment="1">
      <alignment horizontal="center" vertical="center" wrapText="1"/>
      <protection/>
    </xf>
    <xf numFmtId="0" fontId="47" fillId="0" borderId="117" xfId="107" applyFont="1" applyBorder="1" applyAlignment="1">
      <alignment horizontal="center" vertical="center" wrapText="1"/>
      <protection/>
    </xf>
    <xf numFmtId="0" fontId="47" fillId="0" borderId="13" xfId="107" applyFont="1" applyBorder="1" applyAlignment="1">
      <alignment horizontal="center" vertical="center" wrapText="1"/>
      <protection/>
    </xf>
    <xf numFmtId="0" fontId="47" fillId="0" borderId="50" xfId="107" applyFont="1" applyBorder="1" applyAlignment="1">
      <alignment horizontal="center" vertical="center" wrapText="1"/>
      <protection/>
    </xf>
    <xf numFmtId="0" fontId="47" fillId="0" borderId="77" xfId="107" applyFont="1" applyBorder="1" applyAlignment="1">
      <alignment horizontal="center" vertical="center"/>
      <protection/>
    </xf>
    <xf numFmtId="0" fontId="47" fillId="0" borderId="76" xfId="107" applyFont="1" applyBorder="1" applyAlignment="1">
      <alignment horizontal="center" vertical="center"/>
      <protection/>
    </xf>
    <xf numFmtId="0" fontId="47" fillId="0" borderId="129" xfId="107" applyFont="1" applyBorder="1" applyAlignment="1">
      <alignment horizontal="center" vertical="center"/>
      <protection/>
    </xf>
    <xf numFmtId="0" fontId="47" fillId="0" borderId="0" xfId="107" applyFont="1" applyAlignment="1">
      <alignment horizontal="center" vertical="center"/>
      <protection/>
    </xf>
    <xf numFmtId="0" fontId="51" fillId="0" borderId="0" xfId="107" applyFont="1" applyAlignment="1">
      <alignment horizontal="center" vertical="center"/>
      <protection/>
    </xf>
    <xf numFmtId="3" fontId="47" fillId="0" borderId="76" xfId="107" applyNumberFormat="1" applyFont="1" applyBorder="1" applyAlignment="1">
      <alignment horizontal="center" vertical="center"/>
      <protection/>
    </xf>
    <xf numFmtId="3" fontId="47" fillId="0" borderId="129" xfId="107" applyNumberFormat="1" applyFont="1" applyBorder="1" applyAlignment="1">
      <alignment horizontal="center" vertical="center"/>
      <protection/>
    </xf>
    <xf numFmtId="3" fontId="47" fillId="0" borderId="122" xfId="107" applyNumberFormat="1" applyFont="1" applyBorder="1" applyAlignment="1">
      <alignment horizontal="center" vertical="center" wrapText="1"/>
      <protection/>
    </xf>
    <xf numFmtId="3" fontId="47" fillId="0" borderId="59" xfId="107" applyNumberFormat="1" applyFont="1" applyBorder="1" applyAlignment="1">
      <alignment horizontal="center" vertical="center" wrapText="1"/>
      <protection/>
    </xf>
    <xf numFmtId="3" fontId="47" fillId="0" borderId="68" xfId="107" applyNumberFormat="1" applyFont="1" applyBorder="1" applyAlignment="1">
      <alignment horizontal="center" vertical="center" wrapText="1"/>
      <protection/>
    </xf>
    <xf numFmtId="3" fontId="47" fillId="0" borderId="119" xfId="107" applyNumberFormat="1" applyFont="1" applyBorder="1" applyAlignment="1">
      <alignment horizontal="center" vertical="center" wrapText="1"/>
      <protection/>
    </xf>
    <xf numFmtId="3" fontId="47" fillId="0" borderId="118" xfId="107" applyNumberFormat="1" applyFont="1" applyBorder="1" applyAlignment="1">
      <alignment horizontal="center" vertical="center" wrapText="1"/>
      <protection/>
    </xf>
    <xf numFmtId="3" fontId="47" fillId="0" borderId="14" xfId="107" applyNumberFormat="1" applyFont="1" applyBorder="1" applyAlignment="1">
      <alignment horizontal="center" vertical="center" wrapText="1"/>
      <protection/>
    </xf>
    <xf numFmtId="3" fontId="47" fillId="0" borderId="43" xfId="107" applyNumberFormat="1" applyFont="1" applyBorder="1" applyAlignment="1">
      <alignment horizontal="center" vertical="center" wrapText="1"/>
      <protection/>
    </xf>
    <xf numFmtId="3" fontId="51" fillId="0" borderId="0" xfId="107" applyNumberFormat="1" applyFont="1" applyBorder="1" applyAlignment="1">
      <alignment horizontal="center" vertical="center"/>
      <protection/>
    </xf>
    <xf numFmtId="3" fontId="47" fillId="0" borderId="13" xfId="107" applyNumberFormat="1" applyFont="1" applyBorder="1" applyAlignment="1">
      <alignment horizontal="center" vertical="center" wrapText="1"/>
      <protection/>
    </xf>
    <xf numFmtId="3" fontId="47" fillId="0" borderId="17" xfId="107" applyNumberFormat="1" applyFont="1" applyBorder="1" applyAlignment="1">
      <alignment horizontal="center" vertical="center" wrapText="1"/>
      <protection/>
    </xf>
    <xf numFmtId="3" fontId="48" fillId="0" borderId="0" xfId="107" applyNumberFormat="1" applyFont="1" applyBorder="1" applyAlignment="1">
      <alignment horizontal="left" vertical="center" wrapText="1"/>
      <protection/>
    </xf>
    <xf numFmtId="0" fontId="47" fillId="0" borderId="132" xfId="107" applyFont="1" applyBorder="1" applyAlignment="1">
      <alignment horizontal="center" vertical="center" wrapText="1"/>
      <protection/>
    </xf>
    <xf numFmtId="0" fontId="47" fillId="0" borderId="19" xfId="107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center"/>
    </xf>
    <xf numFmtId="0" fontId="21" fillId="0" borderId="133" xfId="0" applyFont="1" applyFill="1" applyBorder="1" applyAlignment="1">
      <alignment horizontal="center" vertical="center" wrapText="1"/>
    </xf>
    <xf numFmtId="49" fontId="35" fillId="0" borderId="134" xfId="0" applyNumberFormat="1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horizontal="center"/>
    </xf>
    <xf numFmtId="0" fontId="22" fillId="0" borderId="84" xfId="0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 wrapText="1"/>
    </xf>
    <xf numFmtId="0" fontId="32" fillId="0" borderId="135" xfId="0" applyFont="1" applyFill="1" applyBorder="1" applyAlignment="1">
      <alignment horizontal="center"/>
    </xf>
    <xf numFmtId="0" fontId="32" fillId="0" borderId="136" xfId="0" applyFont="1" applyFill="1" applyBorder="1" applyAlignment="1">
      <alignment horizontal="center"/>
    </xf>
    <xf numFmtId="3" fontId="47" fillId="0" borderId="0" xfId="108" applyNumberFormat="1" applyFont="1" applyBorder="1" applyAlignment="1">
      <alignment horizontal="center"/>
      <protection/>
    </xf>
  </cellXfs>
  <cellStyles count="10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Followed Hyperlink" xfId="94"/>
    <cellStyle name="Linked Cell" xfId="95"/>
    <cellStyle name="Magyarázó szöveg" xfId="96"/>
    <cellStyle name="Neutral" xfId="97"/>
    <cellStyle name="Normál_9702KV1_2011 ktv. táblák" xfId="98"/>
    <cellStyle name="Normál_Adósságszolgálat 2012 Brigi" xfId="99"/>
    <cellStyle name="Normál_Beruh.felú-átadott-átvett" xfId="100"/>
    <cellStyle name="Normál_Brigitől kisebbségek_Munkafüzet1" xfId="101"/>
    <cellStyle name="Normál_Intézményi előir.dec. tábla" xfId="102"/>
    <cellStyle name="Normál_Közös Hivatal szakfeladatosa" xfId="103"/>
    <cellStyle name="Normál_KTGVET98" xfId="104"/>
    <cellStyle name="Normál_Kuny Domokos ktgvetés  2013.01.16.-3" xfId="105"/>
    <cellStyle name="Normál_Munkafüzet1" xfId="106"/>
    <cellStyle name="Normál_Munkafüzet1_1" xfId="107"/>
    <cellStyle name="Normál_Munkafüzet3" xfId="108"/>
    <cellStyle name="Normál_Táblák-1" xfId="109"/>
    <cellStyle name="Note" xfId="110"/>
    <cellStyle name="Output" xfId="111"/>
    <cellStyle name="Összesen" xfId="112"/>
    <cellStyle name="Currency" xfId="113"/>
    <cellStyle name="Currency [0]" xfId="114"/>
    <cellStyle name="Rossz" xfId="115"/>
    <cellStyle name="Semleges" xfId="116"/>
    <cellStyle name="Számítás" xfId="117"/>
    <cellStyle name="Percent" xfId="118"/>
    <cellStyle name="TableStyleLight1" xfId="119"/>
    <cellStyle name="Title" xfId="120"/>
    <cellStyle name="Total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view="pageBreakPreview" zoomScale="90" zoomScaleNormal="90" zoomScaleSheetLayoutView="90" workbookViewId="0" topLeftCell="C1">
      <selection activeCell="J31" sqref="J31"/>
    </sheetView>
  </sheetViews>
  <sheetFormatPr defaultColWidth="9.00390625" defaultRowHeight="12.75"/>
  <cols>
    <col min="1" max="1" width="6.125" style="2" customWidth="1"/>
    <col min="2" max="2" width="73.25390625" style="2" customWidth="1"/>
    <col min="3" max="4" width="11.375" style="88" customWidth="1"/>
    <col min="5" max="5" width="12.875" style="88" customWidth="1"/>
    <col min="6" max="6" width="6.125" style="2" customWidth="1"/>
    <col min="7" max="7" width="64.375" style="2" customWidth="1"/>
    <col min="8" max="8" width="11.375" style="88" customWidth="1"/>
    <col min="9" max="9" width="10.75390625" style="2" customWidth="1"/>
    <col min="10" max="10" width="12.00390625" style="2" customWidth="1"/>
    <col min="11" max="11" width="2.125" style="2" hidden="1" customWidth="1"/>
    <col min="12" max="16384" width="9.125" style="2" customWidth="1"/>
  </cols>
  <sheetData>
    <row r="1" ht="12.75">
      <c r="A1" s="114"/>
    </row>
    <row r="2" spans="1:8" ht="19.5" customHeight="1">
      <c r="A2" s="1040" t="s">
        <v>24</v>
      </c>
      <c r="B2" s="1040"/>
      <c r="C2" s="1040"/>
      <c r="D2" s="1040"/>
      <c r="E2" s="1040"/>
      <c r="F2" s="1040"/>
      <c r="G2" s="1040"/>
      <c r="H2" s="1040"/>
    </row>
    <row r="3" spans="6:7" ht="13.5" thickBot="1">
      <c r="F3" s="88"/>
      <c r="G3" s="88"/>
    </row>
    <row r="4" spans="1:10" ht="13.5" customHeight="1">
      <c r="A4" s="1041" t="s">
        <v>369</v>
      </c>
      <c r="B4" s="1042"/>
      <c r="C4" s="1042"/>
      <c r="D4" s="247"/>
      <c r="E4" s="247"/>
      <c r="F4" s="1043" t="s">
        <v>370</v>
      </c>
      <c r="G4" s="1044"/>
      <c r="H4" s="1044"/>
      <c r="I4" s="578"/>
      <c r="J4" s="263"/>
    </row>
    <row r="5" spans="1:10" ht="14.25" customHeight="1" thickBot="1">
      <c r="A5" s="1045" t="s">
        <v>776</v>
      </c>
      <c r="B5" s="1046"/>
      <c r="C5" s="155" t="s">
        <v>4</v>
      </c>
      <c r="D5" s="155" t="s">
        <v>816</v>
      </c>
      <c r="E5" s="155" t="s">
        <v>895</v>
      </c>
      <c r="F5" s="1045" t="s">
        <v>776</v>
      </c>
      <c r="G5" s="1046"/>
      <c r="H5" s="253" t="s">
        <v>777</v>
      </c>
      <c r="I5" s="579" t="s">
        <v>816</v>
      </c>
      <c r="J5" s="252" t="s">
        <v>895</v>
      </c>
    </row>
    <row r="6" spans="1:10" ht="13.5" customHeight="1">
      <c r="A6" s="159" t="s">
        <v>705</v>
      </c>
      <c r="B6" s="160"/>
      <c r="C6" s="936">
        <f>SUM(C7:C9)</f>
        <v>1107179</v>
      </c>
      <c r="D6" s="573">
        <f>SUM(D7:D9)</f>
        <v>1130568</v>
      </c>
      <c r="E6" s="573">
        <f>SUM(E7:E9)</f>
        <v>1164464</v>
      </c>
      <c r="F6" s="162" t="s">
        <v>677</v>
      </c>
      <c r="G6" s="163"/>
      <c r="H6" s="254">
        <f>'2. sz. melléklet'!F5</f>
        <v>1161453</v>
      </c>
      <c r="I6" s="580">
        <f>'2. sz. melléklet'!G5</f>
        <v>1189660</v>
      </c>
      <c r="J6" s="953">
        <f>'2. sz. melléklet'!H5</f>
        <v>1197396</v>
      </c>
    </row>
    <row r="7" spans="1:10" ht="13.5" customHeight="1">
      <c r="A7" s="121"/>
      <c r="B7" s="196" t="s">
        <v>845</v>
      </c>
      <c r="C7" s="937">
        <f>'2. sz. melléklet'!B6</f>
        <v>1107179</v>
      </c>
      <c r="D7" s="547">
        <f>'2. sz. melléklet'!C6</f>
        <v>1122387</v>
      </c>
      <c r="E7" s="547">
        <f>'2. sz. melléklet'!D6</f>
        <v>1130285</v>
      </c>
      <c r="F7" s="118"/>
      <c r="G7" s="119"/>
      <c r="H7" s="255"/>
      <c r="I7" s="581"/>
      <c r="J7" s="264"/>
    </row>
    <row r="8" spans="1:10" ht="13.5" customHeight="1">
      <c r="A8" s="121"/>
      <c r="B8" s="935" t="s">
        <v>917</v>
      </c>
      <c r="C8" s="256"/>
      <c r="D8" s="547"/>
      <c r="E8" s="547">
        <f>'2. sz. melléklet'!D7</f>
        <v>4841</v>
      </c>
      <c r="F8" s="118"/>
      <c r="G8" s="119"/>
      <c r="H8" s="255"/>
      <c r="I8" s="581"/>
      <c r="J8" s="264"/>
    </row>
    <row r="9" spans="1:10" ht="12.75" customHeight="1">
      <c r="A9" s="125"/>
      <c r="B9" s="197" t="s">
        <v>856</v>
      </c>
      <c r="C9" s="938"/>
      <c r="D9" s="547">
        <f>'2. sz. melléklet'!C8</f>
        <v>8181</v>
      </c>
      <c r="E9" s="547">
        <f>'2. sz. melléklet'!D8</f>
        <v>29338</v>
      </c>
      <c r="F9" s="121"/>
      <c r="G9" s="119"/>
      <c r="H9" s="256"/>
      <c r="I9" s="581"/>
      <c r="J9" s="264"/>
    </row>
    <row r="10" spans="1:11" ht="13.5" customHeight="1">
      <c r="A10" s="126" t="s">
        <v>707</v>
      </c>
      <c r="B10" s="127"/>
      <c r="C10" s="257">
        <f>SUM(C11:C12)</f>
        <v>421160</v>
      </c>
      <c r="D10" s="545">
        <f>SUM(D11:D12)</f>
        <v>414045</v>
      </c>
      <c r="E10" s="545">
        <f>SUM(E11:E12)</f>
        <v>498282</v>
      </c>
      <c r="F10" s="118" t="s">
        <v>317</v>
      </c>
      <c r="G10" s="119"/>
      <c r="H10" s="257">
        <f>'2. sz. melléklet'!F6</f>
        <v>308445</v>
      </c>
      <c r="I10" s="550">
        <f>'2. sz. melléklet'!G6</f>
        <v>315780</v>
      </c>
      <c r="J10" s="545">
        <f>'2. sz. melléklet'!H6</f>
        <v>316596</v>
      </c>
      <c r="K10" s="951">
        <f>'2. sz. melléklet'!I6</f>
        <v>0</v>
      </c>
    </row>
    <row r="11" spans="1:10" ht="12.75">
      <c r="A11" s="128"/>
      <c r="B11" s="197" t="s">
        <v>708</v>
      </c>
      <c r="C11" s="256">
        <f>'2. sz. melléklet'!B10</f>
        <v>107209</v>
      </c>
      <c r="D11" s="547">
        <f>'2. sz. melléklet'!C10</f>
        <v>10000</v>
      </c>
      <c r="E11" s="547">
        <f>'2. sz. melléklet'!D10</f>
        <v>10000</v>
      </c>
      <c r="F11" s="121"/>
      <c r="G11" s="119"/>
      <c r="H11" s="256"/>
      <c r="I11" s="581"/>
      <c r="J11" s="264"/>
    </row>
    <row r="12" spans="1:10" ht="12.75">
      <c r="A12" s="121"/>
      <c r="B12" s="197" t="s">
        <v>709</v>
      </c>
      <c r="C12" s="256">
        <f>'2. sz. melléklet'!B11</f>
        <v>313951</v>
      </c>
      <c r="D12" s="547">
        <f>'2. sz. melléklet'!C11</f>
        <v>404045</v>
      </c>
      <c r="E12" s="547">
        <f>'2. sz. melléklet'!D11</f>
        <v>488282</v>
      </c>
      <c r="F12" s="118"/>
      <c r="G12" s="119"/>
      <c r="H12" s="255"/>
      <c r="I12" s="581"/>
      <c r="J12" s="264"/>
    </row>
    <row r="13" spans="1:10" ht="12.75">
      <c r="A13" s="121"/>
      <c r="B13" s="197"/>
      <c r="C13" s="256"/>
      <c r="D13" s="547"/>
      <c r="E13" s="547"/>
      <c r="F13" s="118" t="s">
        <v>679</v>
      </c>
      <c r="G13" s="119"/>
      <c r="H13" s="257">
        <f>'2. sz. melléklet'!F9</f>
        <v>1723449</v>
      </c>
      <c r="I13" s="550">
        <f>'2. sz. melléklet'!G9</f>
        <v>1676588</v>
      </c>
      <c r="J13" s="545">
        <f>'2. sz. melléklet'!H9</f>
        <v>1839860</v>
      </c>
    </row>
    <row r="14" spans="1:10" ht="12.75">
      <c r="A14" s="115" t="s">
        <v>710</v>
      </c>
      <c r="B14" s="122"/>
      <c r="C14" s="257">
        <f>SUM(C15:C17)</f>
        <v>1606819</v>
      </c>
      <c r="D14" s="545">
        <f>SUM(D15:D16)</f>
        <v>1512784</v>
      </c>
      <c r="E14" s="545">
        <f>SUM(E15:E16)</f>
        <v>1462851</v>
      </c>
      <c r="F14" s="121"/>
      <c r="G14" s="119"/>
      <c r="H14" s="251"/>
      <c r="I14" s="581"/>
      <c r="J14" s="264"/>
    </row>
    <row r="15" spans="1:10" ht="12.75">
      <c r="A15" s="123"/>
      <c r="B15" s="197" t="s">
        <v>708</v>
      </c>
      <c r="C15" s="260">
        <f>'2. sz. melléklet'!B47</f>
        <v>2290</v>
      </c>
      <c r="D15" s="549">
        <f>'2. sz. melléklet'!C47</f>
        <v>380</v>
      </c>
      <c r="E15" s="549">
        <f>'2. sz. melléklet'!D47</f>
        <v>380</v>
      </c>
      <c r="F15" s="116"/>
      <c r="G15" s="117"/>
      <c r="H15" s="258"/>
      <c r="I15" s="581"/>
      <c r="J15" s="264"/>
    </row>
    <row r="16" spans="1:10" ht="12.75">
      <c r="A16" s="123"/>
      <c r="B16" s="197" t="s">
        <v>709</v>
      </c>
      <c r="C16" s="260">
        <f>'2. sz. melléklet'!B48</f>
        <v>1604529</v>
      </c>
      <c r="D16" s="549">
        <f>'2. sz. melléklet'!C48</f>
        <v>1512404</v>
      </c>
      <c r="E16" s="549">
        <f>'2. sz. melléklet'!D48</f>
        <v>1462471</v>
      </c>
      <c r="F16" s="116" t="s">
        <v>686</v>
      </c>
      <c r="G16" s="119"/>
      <c r="H16" s="582">
        <f>'2. sz. melléklet'!F10</f>
        <v>62251</v>
      </c>
      <c r="I16" s="582">
        <f>'2. sz. melléklet'!G10</f>
        <v>69166</v>
      </c>
      <c r="J16" s="546">
        <f>'2. sz. melléklet'!H10</f>
        <v>72284</v>
      </c>
    </row>
    <row r="17" spans="1:10" ht="12.75">
      <c r="A17" s="1026" t="s">
        <v>883</v>
      </c>
      <c r="B17" s="1027"/>
      <c r="C17" s="260"/>
      <c r="D17" s="545">
        <f>'2. sz. melléklet'!C50</f>
        <v>1</v>
      </c>
      <c r="E17" s="545">
        <f>'2. sz. melléklet'!D50</f>
        <v>2908</v>
      </c>
      <c r="F17" s="121"/>
      <c r="G17" s="119"/>
      <c r="H17" s="251"/>
      <c r="I17" s="581"/>
      <c r="J17" s="264"/>
    </row>
    <row r="18" spans="1:10" ht="12.75">
      <c r="A18" s="934"/>
      <c r="B18" s="197" t="s">
        <v>856</v>
      </c>
      <c r="C18" s="260"/>
      <c r="D18" s="549">
        <f>'2. sz. melléklet'!C51</f>
        <v>1</v>
      </c>
      <c r="E18" s="549">
        <f>'2. sz. melléklet'!D51</f>
        <v>1</v>
      </c>
      <c r="F18" s="121"/>
      <c r="G18" s="119"/>
      <c r="H18" s="251"/>
      <c r="I18" s="581"/>
      <c r="J18" s="264"/>
    </row>
    <row r="19" spans="1:10" ht="12.75">
      <c r="A19" s="484"/>
      <c r="B19" s="943" t="s">
        <v>918</v>
      </c>
      <c r="C19" s="260"/>
      <c r="D19" s="549"/>
      <c r="E19" s="549">
        <f>'2. sz. melléklet'!D52</f>
        <v>2907</v>
      </c>
      <c r="F19" s="121"/>
      <c r="G19" s="119"/>
      <c r="H19" s="251"/>
      <c r="I19" s="581"/>
      <c r="J19" s="264"/>
    </row>
    <row r="20" spans="1:10" ht="12.75">
      <c r="A20" s="115" t="s">
        <v>374</v>
      </c>
      <c r="B20" s="120"/>
      <c r="C20" s="257">
        <f>SUM(C21:C24)</f>
        <v>1918951</v>
      </c>
      <c r="D20" s="545">
        <f>SUM(D21:D24)</f>
        <v>1918981</v>
      </c>
      <c r="E20" s="545">
        <f>SUM(E21:E24)</f>
        <v>1918981</v>
      </c>
      <c r="F20" s="116"/>
      <c r="G20" s="117"/>
      <c r="H20" s="258"/>
      <c r="I20" s="581"/>
      <c r="J20" s="264"/>
    </row>
    <row r="21" spans="1:10" ht="12.75">
      <c r="A21" s="121"/>
      <c r="B21" s="119" t="s">
        <v>756</v>
      </c>
      <c r="C21" s="260">
        <f>'2. sz. melléklet'!B13</f>
        <v>430000</v>
      </c>
      <c r="D21" s="549">
        <f>'2. sz. melléklet'!C13</f>
        <v>430000</v>
      </c>
      <c r="E21" s="549">
        <f>'2. sz. melléklet'!D13</f>
        <v>430000</v>
      </c>
      <c r="F21" s="116" t="s">
        <v>185</v>
      </c>
      <c r="G21" s="117"/>
      <c r="H21" s="258">
        <f>SUM(H22+H23+H24+H28)</f>
        <v>1111548</v>
      </c>
      <c r="I21" s="582">
        <f>SUM(I22+I23+I24+I28)</f>
        <v>1216557</v>
      </c>
      <c r="J21" s="546">
        <f>SUM(J22+J23+J24+J28)</f>
        <v>1187887</v>
      </c>
    </row>
    <row r="22" spans="1:10" ht="12.75">
      <c r="A22" s="123"/>
      <c r="B22" s="131" t="s">
        <v>689</v>
      </c>
      <c r="C22" s="260">
        <f>'2. sz. melléklet'!B14</f>
        <v>1468951</v>
      </c>
      <c r="D22" s="549">
        <f>'2. sz. melléklet'!C14</f>
        <v>1468951</v>
      </c>
      <c r="E22" s="549">
        <f>'2. sz. melléklet'!D14</f>
        <v>1468951</v>
      </c>
      <c r="F22" s="121"/>
      <c r="G22" s="251" t="s">
        <v>683</v>
      </c>
      <c r="H22" s="949">
        <f>'2. sz. melléklet'!F12</f>
        <v>42220</v>
      </c>
      <c r="I22" s="949">
        <f>'2. sz. melléklet'!G12</f>
        <v>40220</v>
      </c>
      <c r="J22" s="954">
        <f>'2. sz. melléklet'!H12</f>
        <v>40220</v>
      </c>
    </row>
    <row r="23" spans="1:10" ht="12.75">
      <c r="A23" s="121"/>
      <c r="B23" s="129" t="s">
        <v>35</v>
      </c>
      <c r="C23" s="260">
        <f>'2. sz. melléklet'!B15</f>
        <v>19500</v>
      </c>
      <c r="D23" s="549">
        <f>'2. sz. melléklet'!C15</f>
        <v>19500</v>
      </c>
      <c r="E23" s="549">
        <f>'2. sz. melléklet'!D15</f>
        <v>19500</v>
      </c>
      <c r="F23" s="121"/>
      <c r="G23" s="119" t="s">
        <v>684</v>
      </c>
      <c r="H23" s="256">
        <f>'2. sz. melléklet'!F13</f>
        <v>867928</v>
      </c>
      <c r="I23" s="583">
        <f>'2. sz. melléklet'!G13</f>
        <v>1092659</v>
      </c>
      <c r="J23" s="547">
        <f>'2. sz. melléklet'!H13</f>
        <v>1105148</v>
      </c>
    </row>
    <row r="24" spans="1:10" ht="14.25" customHeight="1">
      <c r="A24" s="126"/>
      <c r="B24" s="129" t="s">
        <v>606</v>
      </c>
      <c r="C24" s="260">
        <f>'2. sz. melléklet'!B16</f>
        <v>500</v>
      </c>
      <c r="D24" s="549">
        <f>'2. sz. melléklet'!C16</f>
        <v>530</v>
      </c>
      <c r="E24" s="549">
        <f>'2. sz. melléklet'!D16</f>
        <v>530</v>
      </c>
      <c r="F24" s="121"/>
      <c r="G24" s="117" t="s">
        <v>801</v>
      </c>
      <c r="H24" s="256">
        <f>SUM(H25:H27)</f>
        <v>193800</v>
      </c>
      <c r="I24" s="583">
        <f>SUM(I25:I27)</f>
        <v>79045</v>
      </c>
      <c r="J24" s="547">
        <f>SUM(J25:J27)</f>
        <v>27498</v>
      </c>
    </row>
    <row r="25" spans="1:10" ht="12.75">
      <c r="A25" s="126"/>
      <c r="B25" s="129"/>
      <c r="C25" s="260"/>
      <c r="D25" s="549"/>
      <c r="E25" s="549"/>
      <c r="F25" s="121"/>
      <c r="G25" s="135" t="s">
        <v>685</v>
      </c>
      <c r="H25" s="259">
        <f>'2. sz. melléklet'!F15</f>
        <v>15000</v>
      </c>
      <c r="I25" s="584">
        <f>'2. sz. melléklet'!G15</f>
        <v>12274</v>
      </c>
      <c r="J25" s="548">
        <f>'2. sz. melléklet'!H15</f>
        <v>6086</v>
      </c>
    </row>
    <row r="26" spans="1:10" ht="12.75">
      <c r="A26" s="116" t="s">
        <v>763</v>
      </c>
      <c r="B26" s="122"/>
      <c r="C26" s="257">
        <f>SUM(C27:C34)</f>
        <v>1224609</v>
      </c>
      <c r="D26" s="545">
        <f>SUM(D27:D34)</f>
        <v>1243608</v>
      </c>
      <c r="E26" s="545">
        <f>SUM(E27:E34)</f>
        <v>1249257</v>
      </c>
      <c r="F26" s="121"/>
      <c r="G26" s="164" t="s">
        <v>32</v>
      </c>
      <c r="H26" s="259">
        <f>'2. sz. melléklet'!F16</f>
        <v>100000</v>
      </c>
      <c r="I26" s="584">
        <f>'2. sz. melléklet'!G16</f>
        <v>42344</v>
      </c>
      <c r="J26" s="548">
        <f>'2. sz. melléklet'!H16</f>
        <v>7373</v>
      </c>
    </row>
    <row r="27" spans="1:10" ht="12.75">
      <c r="A27" s="121"/>
      <c r="B27" s="119" t="s">
        <v>238</v>
      </c>
      <c r="C27" s="260">
        <f>'2. sz. melléklet'!B18</f>
        <v>523842</v>
      </c>
      <c r="D27" s="549">
        <f>'2. sz. melléklet'!C18</f>
        <v>521842</v>
      </c>
      <c r="E27" s="549">
        <f>'2. sz. melléklet'!D18</f>
        <v>520520</v>
      </c>
      <c r="F27" s="121"/>
      <c r="G27" s="157" t="s">
        <v>695</v>
      </c>
      <c r="H27" s="259">
        <f>'2. sz. melléklet'!F17</f>
        <v>78800</v>
      </c>
      <c r="I27" s="584">
        <f>'2. sz. melléklet'!G17</f>
        <v>24427</v>
      </c>
      <c r="J27" s="548">
        <f>'2. sz. melléklet'!H17</f>
        <v>14039</v>
      </c>
    </row>
    <row r="28" spans="1:10" ht="12.75">
      <c r="A28" s="121"/>
      <c r="B28" s="119" t="s">
        <v>690</v>
      </c>
      <c r="C28" s="260">
        <f>'2. sz. melléklet'!B19</f>
        <v>90640</v>
      </c>
      <c r="D28" s="549">
        <f>'2. sz. melléklet'!C19</f>
        <v>107115</v>
      </c>
      <c r="E28" s="549">
        <f>'2. sz. melléklet'!D19</f>
        <v>109239</v>
      </c>
      <c r="F28" s="121"/>
      <c r="G28" s="117" t="s">
        <v>33</v>
      </c>
      <c r="H28" s="260">
        <f>'2. sz. melléklet'!F18</f>
        <v>7600</v>
      </c>
      <c r="I28" s="566">
        <f>'2. sz. melléklet'!G18</f>
        <v>4633</v>
      </c>
      <c r="J28" s="549">
        <f>'2. sz. melléklet'!H18</f>
        <v>15021</v>
      </c>
    </row>
    <row r="29" spans="1:10" ht="12.75">
      <c r="A29" s="121"/>
      <c r="B29" s="119" t="s">
        <v>37</v>
      </c>
      <c r="C29" s="260">
        <f>'2. sz. melléklet'!B20</f>
        <v>32100</v>
      </c>
      <c r="D29" s="549">
        <f>'2. sz. melléklet'!C20</f>
        <v>32464</v>
      </c>
      <c r="E29" s="549">
        <f>'2. sz. melléklet'!D20</f>
        <v>33064</v>
      </c>
      <c r="F29" s="165"/>
      <c r="G29" s="119"/>
      <c r="H29" s="261"/>
      <c r="I29" s="581"/>
      <c r="J29" s="264"/>
    </row>
    <row r="30" spans="1:10" ht="12.75" customHeight="1">
      <c r="A30" s="115"/>
      <c r="B30" s="117" t="s">
        <v>691</v>
      </c>
      <c r="C30" s="260">
        <f>'2. sz. melléklet'!B21</f>
        <v>101169</v>
      </c>
      <c r="D30" s="549">
        <f>'2. sz. melléklet'!C21</f>
        <v>101169</v>
      </c>
      <c r="E30" s="549">
        <f>'2. sz. melléklet'!D21</f>
        <v>101169</v>
      </c>
      <c r="F30" s="116"/>
      <c r="G30" s="119"/>
      <c r="H30" s="258"/>
      <c r="I30" s="581"/>
      <c r="J30" s="264"/>
    </row>
    <row r="31" spans="1:10" ht="12.75">
      <c r="A31" s="121"/>
      <c r="B31" s="117" t="s">
        <v>765</v>
      </c>
      <c r="C31" s="260">
        <f>'2. sz. melléklet'!B22</f>
        <v>92312</v>
      </c>
      <c r="D31" s="549">
        <f>'2. sz. melléklet'!C22</f>
        <v>92312</v>
      </c>
      <c r="E31" s="549">
        <f>'2. sz. melléklet'!D22</f>
        <v>94111</v>
      </c>
      <c r="F31" s="116" t="s">
        <v>186</v>
      </c>
      <c r="G31" s="119"/>
      <c r="H31" s="257">
        <f>'2. sz. melléklet'!F46</f>
        <v>2245365</v>
      </c>
      <c r="I31" s="550">
        <f>'2. sz. melléklet'!G46</f>
        <v>2171950</v>
      </c>
      <c r="J31" s="545">
        <f>'2. sz. melléklet'!H46</f>
        <v>2233463</v>
      </c>
    </row>
    <row r="32" spans="1:10" ht="12.75">
      <c r="A32" s="123"/>
      <c r="B32" s="122" t="s">
        <v>154</v>
      </c>
      <c r="C32" s="260">
        <f>'2. sz. melléklet'!B23</f>
        <v>237476</v>
      </c>
      <c r="D32" s="549">
        <f>'2. sz. melléklet'!C23</f>
        <v>241352</v>
      </c>
      <c r="E32" s="549">
        <f>'2. sz. melléklet'!D23</f>
        <v>243593</v>
      </c>
      <c r="F32" s="121"/>
      <c r="G32" s="119"/>
      <c r="H32" s="256"/>
      <c r="I32" s="581"/>
      <c r="J32" s="264"/>
    </row>
    <row r="33" spans="1:10" ht="12.75">
      <c r="A33" s="121"/>
      <c r="B33" s="156" t="s">
        <v>316</v>
      </c>
      <c r="C33" s="260">
        <f>'2. sz. melléklet'!B24</f>
        <v>16766</v>
      </c>
      <c r="D33" s="549">
        <f>'2. sz. melléklet'!C24</f>
        <v>16876</v>
      </c>
      <c r="E33" s="549">
        <f>'2. sz. melléklet'!D24</f>
        <v>17000</v>
      </c>
      <c r="F33" s="116"/>
      <c r="G33" s="119"/>
      <c r="H33" s="257"/>
      <c r="I33" s="581"/>
      <c r="J33" s="264"/>
    </row>
    <row r="34" spans="1:10" ht="12.75">
      <c r="A34" s="121"/>
      <c r="B34" s="156" t="s">
        <v>137</v>
      </c>
      <c r="C34" s="260">
        <f>'2. sz. melléklet'!B25</f>
        <v>130304</v>
      </c>
      <c r="D34" s="549">
        <f>'2. sz. melléklet'!C25</f>
        <v>130478</v>
      </c>
      <c r="E34" s="549">
        <f>'2. sz. melléklet'!D25</f>
        <v>130561</v>
      </c>
      <c r="F34" s="116" t="s">
        <v>187</v>
      </c>
      <c r="G34" s="119"/>
      <c r="H34" s="258">
        <f>'2. sz. melléklet'!F48</f>
        <v>253927</v>
      </c>
      <c r="I34" s="582">
        <f>'2. sz. melléklet'!G48</f>
        <v>263763</v>
      </c>
      <c r="J34" s="546">
        <f>'2. sz. melléklet'!H48</f>
        <v>247194</v>
      </c>
    </row>
    <row r="35" spans="1:10" ht="13.5" customHeight="1">
      <c r="A35" s="123"/>
      <c r="B35" s="122"/>
      <c r="C35" s="260"/>
      <c r="D35" s="549"/>
      <c r="E35" s="549"/>
      <c r="F35" s="121"/>
      <c r="G35" s="119"/>
      <c r="H35" s="261"/>
      <c r="I35" s="581"/>
      <c r="J35" s="264"/>
    </row>
    <row r="36" spans="1:10" ht="12.75">
      <c r="A36" s="118" t="s">
        <v>767</v>
      </c>
      <c r="B36" s="131"/>
      <c r="C36" s="257">
        <f>SUM(C37)</f>
        <v>191090</v>
      </c>
      <c r="D36" s="545">
        <f>SUM(D37)</f>
        <v>194088</v>
      </c>
      <c r="E36" s="545">
        <f>SUM(E37:E39)</f>
        <v>162348</v>
      </c>
      <c r="F36" s="116"/>
      <c r="G36" s="119"/>
      <c r="H36" s="552"/>
      <c r="I36" s="581"/>
      <c r="J36" s="264"/>
    </row>
    <row r="37" spans="1:10" ht="12.75">
      <c r="A37" s="118"/>
      <c r="B37" s="119" t="s">
        <v>768</v>
      </c>
      <c r="C37" s="260">
        <f>'2. sz. melléklet'!B54</f>
        <v>191090</v>
      </c>
      <c r="D37" s="549">
        <f>'2. sz. melléklet'!C54</f>
        <v>194088</v>
      </c>
      <c r="E37" s="549">
        <f>'2. sz. melléklet'!D54</f>
        <v>162088</v>
      </c>
      <c r="F37" s="116" t="s">
        <v>698</v>
      </c>
      <c r="G37" s="551"/>
      <c r="H37" s="130">
        <f>SUM(H39:H41)</f>
        <v>440707</v>
      </c>
      <c r="I37" s="550">
        <f>SUM(I39:I41)</f>
        <v>426746</v>
      </c>
      <c r="J37" s="545">
        <f>SUM(J39:J41)</f>
        <v>302792</v>
      </c>
    </row>
    <row r="38" spans="1:10" ht="12.75">
      <c r="A38" s="945"/>
      <c r="B38" s="946" t="s">
        <v>919</v>
      </c>
      <c r="C38" s="260"/>
      <c r="D38" s="549"/>
      <c r="E38" s="549">
        <f>'2. sz. melléklet'!D55</f>
        <v>10</v>
      </c>
      <c r="F38" s="116"/>
      <c r="G38" s="551"/>
      <c r="H38" s="130"/>
      <c r="I38" s="550"/>
      <c r="J38" s="545"/>
    </row>
    <row r="39" spans="1:10" ht="12.75">
      <c r="A39" s="945"/>
      <c r="B39" s="947" t="s">
        <v>920</v>
      </c>
      <c r="C39" s="260"/>
      <c r="D39" s="549"/>
      <c r="E39" s="549">
        <f>'2. sz. melléklet'!D56</f>
        <v>250</v>
      </c>
      <c r="F39" s="116"/>
      <c r="G39" s="119" t="s">
        <v>699</v>
      </c>
      <c r="H39" s="553">
        <f>'2. sz. melléklet'!F54</f>
        <v>193590</v>
      </c>
      <c r="I39" s="585">
        <f>'2. sz. melléklet'!G54</f>
        <v>209216</v>
      </c>
      <c r="J39" s="954">
        <f>'2. sz. melléklet'!H54</f>
        <v>232626</v>
      </c>
    </row>
    <row r="40" spans="1:10" ht="12.75">
      <c r="A40" s="118" t="s">
        <v>881</v>
      </c>
      <c r="B40" s="119"/>
      <c r="C40" s="260"/>
      <c r="D40" s="545">
        <f>SUM(D41:D42)</f>
        <v>99560</v>
      </c>
      <c r="E40" s="545">
        <f>SUM(E41:E42)</f>
        <v>102908</v>
      </c>
      <c r="F40" s="116"/>
      <c r="G40" s="122" t="s">
        <v>683</v>
      </c>
      <c r="H40" s="260"/>
      <c r="I40" s="585">
        <f>'2. sz. melléklet'!G55</f>
        <v>14150</v>
      </c>
      <c r="J40" s="954">
        <f>'2. sz. melléklet'!H55</f>
        <v>29786</v>
      </c>
    </row>
    <row r="41" spans="1:10" ht="13.5" customHeight="1">
      <c r="A41" s="118"/>
      <c r="B41" s="119" t="s">
        <v>683</v>
      </c>
      <c r="C41" s="260"/>
      <c r="D41" s="549">
        <f>'2. sz. melléklet'!C30</f>
        <v>96209</v>
      </c>
      <c r="E41" s="549">
        <f>'2. sz. melléklet'!D30</f>
        <v>96209</v>
      </c>
      <c r="F41" s="116"/>
      <c r="G41" s="950" t="s">
        <v>355</v>
      </c>
      <c r="H41" s="132">
        <f>SUM(H42:H43)</f>
        <v>247117</v>
      </c>
      <c r="I41" s="566">
        <f>SUM(I42:I43)</f>
        <v>203380</v>
      </c>
      <c r="J41" s="549">
        <f>SUM(J42:J43)</f>
        <v>40380</v>
      </c>
    </row>
    <row r="42" spans="1:10" ht="27" customHeight="1">
      <c r="A42" s="118"/>
      <c r="B42" s="131" t="s">
        <v>709</v>
      </c>
      <c r="C42" s="260"/>
      <c r="D42" s="549">
        <f>'2. sz. melléklet'!C31</f>
        <v>3351</v>
      </c>
      <c r="E42" s="549">
        <f>'2. sz. melléklet'!D31</f>
        <v>6699</v>
      </c>
      <c r="F42" s="121"/>
      <c r="G42" s="948" t="s">
        <v>1003</v>
      </c>
      <c r="H42" s="259">
        <f>'2. sz. melléklet'!F58</f>
        <v>77075</v>
      </c>
      <c r="I42" s="584">
        <f>'2. sz. melléklet'!G58</f>
        <v>33338</v>
      </c>
      <c r="J42" s="548">
        <f>'2. sz. melléklet'!H58</f>
        <v>31474</v>
      </c>
    </row>
    <row r="43" spans="1:10" ht="12.75" customHeight="1">
      <c r="A43" s="118"/>
      <c r="B43" s="131"/>
      <c r="C43" s="260"/>
      <c r="D43" s="549"/>
      <c r="E43" s="549"/>
      <c r="F43" s="121"/>
      <c r="G43" s="135" t="s">
        <v>700</v>
      </c>
      <c r="H43" s="259">
        <f>'2. sz. melléklet'!F59</f>
        <v>170042</v>
      </c>
      <c r="I43" s="584">
        <f>'2. sz. melléklet'!G59</f>
        <v>170042</v>
      </c>
      <c r="J43" s="548">
        <f>'2. sz. melléklet'!H59</f>
        <v>8906</v>
      </c>
    </row>
    <row r="44" spans="1:10" ht="12.75" customHeight="1">
      <c r="A44" s="116" t="s">
        <v>769</v>
      </c>
      <c r="B44" s="117"/>
      <c r="C44" s="257">
        <f>SUM(C45)</f>
        <v>28075</v>
      </c>
      <c r="D44" s="545">
        <f>SUM(D45:D47)</f>
        <v>44635</v>
      </c>
      <c r="E44" s="545">
        <f>SUM(E45:E47)</f>
        <v>63533</v>
      </c>
      <c r="F44" s="121"/>
      <c r="G44" s="122"/>
      <c r="H44" s="260"/>
      <c r="I44" s="566"/>
      <c r="J44" s="549"/>
    </row>
    <row r="45" spans="1:10" ht="30.75" customHeight="1">
      <c r="A45" s="153"/>
      <c r="B45" s="244" t="s">
        <v>682</v>
      </c>
      <c r="C45" s="260">
        <f>'2. sz. melléklet'!B58</f>
        <v>28075</v>
      </c>
      <c r="D45" s="549">
        <f>'2. sz. melléklet'!C58</f>
        <v>28075</v>
      </c>
      <c r="E45" s="549">
        <f>'2. sz. melléklet'!D58</f>
        <v>28075</v>
      </c>
      <c r="F45" s="116"/>
      <c r="G45" s="246"/>
      <c r="H45" s="259"/>
      <c r="I45" s="584"/>
      <c r="J45" s="548"/>
    </row>
    <row r="46" spans="1:10" ht="12.75" customHeight="1">
      <c r="A46" s="118"/>
      <c r="B46" s="119" t="s">
        <v>683</v>
      </c>
      <c r="C46" s="260"/>
      <c r="D46" s="549">
        <v>15060</v>
      </c>
      <c r="E46" s="549">
        <f>'2. sz. melléklet'!D59</f>
        <v>30696</v>
      </c>
      <c r="F46" s="116"/>
      <c r="G46" s="135"/>
      <c r="H46" s="259"/>
      <c r="I46" s="584"/>
      <c r="J46" s="548"/>
    </row>
    <row r="47" spans="1:10" ht="12.75" customHeight="1">
      <c r="A47" s="245"/>
      <c r="B47" s="119" t="s">
        <v>709</v>
      </c>
      <c r="C47" s="256"/>
      <c r="D47" s="547">
        <v>1500</v>
      </c>
      <c r="E47" s="549">
        <f>'2. sz. melléklet'!D60</f>
        <v>4762</v>
      </c>
      <c r="F47" s="121"/>
      <c r="G47" s="117"/>
      <c r="H47" s="260"/>
      <c r="I47" s="581"/>
      <c r="J47" s="264"/>
    </row>
    <row r="48" spans="1:10" ht="12.75" customHeight="1">
      <c r="A48" s="245"/>
      <c r="B48" s="243"/>
      <c r="C48" s="256"/>
      <c r="D48" s="547"/>
      <c r="E48" s="547"/>
      <c r="F48" s="121"/>
      <c r="G48" s="117"/>
      <c r="H48" s="260"/>
      <c r="I48" s="581"/>
      <c r="J48" s="264"/>
    </row>
    <row r="49" spans="1:10" ht="18.75" customHeight="1">
      <c r="A49" s="158" t="s">
        <v>143</v>
      </c>
      <c r="B49" s="133"/>
      <c r="C49" s="939">
        <f>SUM(C6+C10+C14+C20+C26+C36+C44)</f>
        <v>6497883</v>
      </c>
      <c r="D49" s="574">
        <f>SUM(D6+D10+D14+D20+D26+D36+D44+D17+D40)</f>
        <v>6558270</v>
      </c>
      <c r="E49" s="574">
        <f>SUM(E6+E10+E14+E20+E26+E36+E44+E17+E40)</f>
        <v>6625532</v>
      </c>
      <c r="F49" s="118" t="s">
        <v>144</v>
      </c>
      <c r="G49" s="124"/>
      <c r="H49" s="255">
        <f>SUM(H6+H10+H13+H16+H21+H31+H34+H37)</f>
        <v>7307145</v>
      </c>
      <c r="I49" s="586">
        <f>SUM(I6+I10+I13+I16+I21+I31+I34+I37)</f>
        <v>7330210</v>
      </c>
      <c r="J49" s="955">
        <f>SUM(J6+J10+J13+J16+J21+J31+J34+J37)</f>
        <v>7397472</v>
      </c>
    </row>
    <row r="50" spans="1:10" ht="12.75" customHeight="1">
      <c r="A50" s="121"/>
      <c r="B50" s="119"/>
      <c r="C50" s="256"/>
      <c r="D50" s="547"/>
      <c r="E50" s="547"/>
      <c r="F50" s="121"/>
      <c r="G50" s="119"/>
      <c r="H50" s="261"/>
      <c r="I50" s="581"/>
      <c r="J50" s="264"/>
    </row>
    <row r="51" spans="1:10" ht="12.75" customHeight="1">
      <c r="A51" s="134" t="s">
        <v>188</v>
      </c>
      <c r="B51" s="127"/>
      <c r="C51" s="257"/>
      <c r="D51" s="545"/>
      <c r="E51" s="545"/>
      <c r="F51" s="1026" t="s">
        <v>892</v>
      </c>
      <c r="G51" s="1027"/>
      <c r="H51" s="260"/>
      <c r="I51" s="550">
        <f>SUM(I52:I53)</f>
        <v>90687</v>
      </c>
      <c r="J51" s="545">
        <f>SUM(J52:J54)</f>
        <v>257081</v>
      </c>
    </row>
    <row r="52" spans="1:11" ht="12.75" customHeight="1">
      <c r="A52" s="134"/>
      <c r="B52" s="127"/>
      <c r="C52" s="257"/>
      <c r="D52" s="545"/>
      <c r="E52" s="545"/>
      <c r="F52" s="1047" t="s">
        <v>889</v>
      </c>
      <c r="G52" s="1048"/>
      <c r="H52" s="260"/>
      <c r="I52" s="566">
        <f>'2. sz. melléklet'!G68</f>
        <v>35131</v>
      </c>
      <c r="J52" s="549">
        <f>'2. sz. melléklet'!H68</f>
        <v>35131</v>
      </c>
      <c r="K52" s="952">
        <f>'2. sz. melléklet'!I68</f>
        <v>0</v>
      </c>
    </row>
    <row r="53" spans="1:11" ht="12.75" customHeight="1">
      <c r="A53" s="1032" t="s">
        <v>806</v>
      </c>
      <c r="B53" s="1033"/>
      <c r="C53" s="940"/>
      <c r="D53" s="575"/>
      <c r="E53" s="575"/>
      <c r="F53" s="1047" t="s">
        <v>890</v>
      </c>
      <c r="G53" s="1048"/>
      <c r="H53" s="258"/>
      <c r="I53" s="566">
        <f>'2. sz. melléklet'!G69</f>
        <v>55556</v>
      </c>
      <c r="J53" s="549">
        <f>'2. sz. melléklet'!H69</f>
        <v>55556</v>
      </c>
      <c r="K53" s="952">
        <f>'2. sz. melléklet'!I69</f>
        <v>0</v>
      </c>
    </row>
    <row r="54" spans="1:10" ht="12.75" customHeight="1">
      <c r="A54" s="199" t="s">
        <v>807</v>
      </c>
      <c r="B54" s="198"/>
      <c r="C54" s="941">
        <f>SUM(C55:C55)</f>
        <v>709262</v>
      </c>
      <c r="D54" s="576">
        <f>SUM(D55:D55)</f>
        <v>709262</v>
      </c>
      <c r="E54" s="576">
        <f>SUM(E55:E56)</f>
        <v>875656</v>
      </c>
      <c r="F54" s="1028" t="s">
        <v>1001</v>
      </c>
      <c r="G54" s="1029"/>
      <c r="H54" s="258"/>
      <c r="I54" s="566"/>
      <c r="J54" s="549">
        <f>'2. sz. melléklet'!H70</f>
        <v>166394</v>
      </c>
    </row>
    <row r="55" spans="1:10" ht="12.75" customHeight="1">
      <c r="A55" s="115"/>
      <c r="B55" s="200" t="s">
        <v>808</v>
      </c>
      <c r="C55" s="940">
        <f>'2. sz. melléklet'!B70</f>
        <v>709262</v>
      </c>
      <c r="D55" s="575">
        <f>'2. sz. melléklet'!C70</f>
        <v>709262</v>
      </c>
      <c r="E55" s="575">
        <f>'2. sz. melléklet'!D70</f>
        <v>709262</v>
      </c>
      <c r="F55" s="1026" t="s">
        <v>916</v>
      </c>
      <c r="G55" s="1027"/>
      <c r="H55" s="258"/>
      <c r="I55" s="566"/>
      <c r="J55" s="545">
        <f>'2. sz. melléklet'!H35</f>
        <v>560500</v>
      </c>
    </row>
    <row r="56" spans="1:10" ht="13.5" customHeight="1">
      <c r="A56" s="199"/>
      <c r="B56" s="961" t="s">
        <v>1001</v>
      </c>
      <c r="C56" s="940"/>
      <c r="D56" s="575"/>
      <c r="E56" s="962">
        <f>'2. sz. melléklet'!D71</f>
        <v>166394</v>
      </c>
      <c r="F56" s="484"/>
      <c r="G56" s="957"/>
      <c r="H56" s="258"/>
      <c r="I56" s="566"/>
      <c r="J56" s="545"/>
    </row>
    <row r="57" spans="1:10" ht="12.75" customHeight="1">
      <c r="A57" s="1032" t="s">
        <v>921</v>
      </c>
      <c r="B57" s="1033"/>
      <c r="C57" s="940"/>
      <c r="D57" s="575"/>
      <c r="E57" s="576">
        <f>'2. sz. melléklet'!D35</f>
        <v>560500</v>
      </c>
      <c r="F57" s="1026" t="s">
        <v>877</v>
      </c>
      <c r="G57" s="1027"/>
      <c r="H57" s="258"/>
      <c r="I57" s="550">
        <f>'2. sz. melléklet'!G33</f>
        <v>200000</v>
      </c>
      <c r="J57" s="545">
        <f>'2. sz. melléklet'!H33</f>
        <v>420000</v>
      </c>
    </row>
    <row r="58" spans="1:10" ht="12.75" customHeight="1">
      <c r="A58" s="1032" t="s">
        <v>771</v>
      </c>
      <c r="B58" s="1033"/>
      <c r="C58" s="941">
        <v>100000</v>
      </c>
      <c r="D58" s="576">
        <v>153365</v>
      </c>
      <c r="E58" s="576">
        <v>153365</v>
      </c>
      <c r="F58" s="116"/>
      <c r="G58" s="124"/>
      <c r="H58" s="258"/>
      <c r="I58" s="581"/>
      <c r="J58" s="264"/>
    </row>
    <row r="59" spans="1:10" ht="12.75" customHeight="1">
      <c r="A59" s="153"/>
      <c r="B59" s="161"/>
      <c r="C59" s="940"/>
      <c r="D59" s="575"/>
      <c r="E59" s="575"/>
      <c r="F59" s="48"/>
      <c r="G59" s="124"/>
      <c r="H59" s="258"/>
      <c r="I59" s="581"/>
      <c r="J59" s="264"/>
    </row>
    <row r="60" spans="1:10" ht="12.75" customHeight="1">
      <c r="A60" s="1034" t="s">
        <v>142</v>
      </c>
      <c r="B60" s="1035"/>
      <c r="C60" s="941">
        <f>'2. sz. melléklet'!B37</f>
        <v>1656216</v>
      </c>
      <c r="D60" s="576">
        <f>'2. sz. melléklet'!C37</f>
        <v>1677686</v>
      </c>
      <c r="E60" s="576">
        <f>'2. sz. melléklet'!D37</f>
        <v>1701357</v>
      </c>
      <c r="F60" s="118" t="s">
        <v>354</v>
      </c>
      <c r="G60" s="124"/>
      <c r="H60" s="258">
        <f>'2. sz. melléklet'!F34</f>
        <v>1656216</v>
      </c>
      <c r="I60" s="582">
        <f>'2. sz. melléklet'!G34</f>
        <v>1677686</v>
      </c>
      <c r="J60" s="546">
        <f>'2. sz. melléklet'!H34</f>
        <v>1701357</v>
      </c>
    </row>
    <row r="61" spans="1:10" ht="12.75" customHeight="1">
      <c r="A61" s="478"/>
      <c r="B61" s="479"/>
      <c r="C61" s="941"/>
      <c r="D61" s="576"/>
      <c r="E61" s="576"/>
      <c r="F61" s="118"/>
      <c r="G61" s="124"/>
      <c r="H61" s="258"/>
      <c r="I61" s="582"/>
      <c r="J61" s="546"/>
    </row>
    <row r="62" spans="1:10" ht="15" customHeight="1">
      <c r="A62" s="1038" t="s">
        <v>884</v>
      </c>
      <c r="B62" s="1039"/>
      <c r="C62" s="256"/>
      <c r="D62" s="576">
        <f>'2. sz. melléklet'!C36</f>
        <v>200000</v>
      </c>
      <c r="E62" s="576">
        <f>'2. sz. melléklet'!D36</f>
        <v>420000</v>
      </c>
      <c r="F62" s="48"/>
      <c r="G62" s="124"/>
      <c r="H62" s="258"/>
      <c r="I62" s="581"/>
      <c r="J62" s="264"/>
    </row>
    <row r="63" spans="1:10" ht="15" customHeight="1">
      <c r="A63" s="1036" t="s">
        <v>145</v>
      </c>
      <c r="B63" s="1037"/>
      <c r="C63" s="939">
        <f>SUM(C53+C54+C57+C58+C60)</f>
        <v>2465478</v>
      </c>
      <c r="D63" s="574">
        <f>SUM(D53+D54+D57+D58+D60+D62)</f>
        <v>2740313</v>
      </c>
      <c r="E63" s="574">
        <f>SUM(E53+E54+E57+E58+E60+E62)</f>
        <v>3710878</v>
      </c>
      <c r="F63" s="118" t="s">
        <v>146</v>
      </c>
      <c r="G63" s="136"/>
      <c r="H63" s="257">
        <f>SUM(H60:H62)</f>
        <v>1656216</v>
      </c>
      <c r="I63" s="550">
        <f>(I51+I57+I60)</f>
        <v>1968373</v>
      </c>
      <c r="J63" s="545">
        <f>(J51+J57+J60+J55)</f>
        <v>2938938</v>
      </c>
    </row>
    <row r="64" spans="1:10" ht="12.75" customHeight="1">
      <c r="A64" s="1030"/>
      <c r="B64" s="1031"/>
      <c r="C64" s="260"/>
      <c r="D64" s="549"/>
      <c r="E64" s="549"/>
      <c r="F64" s="118"/>
      <c r="G64" s="119"/>
      <c r="H64" s="256"/>
      <c r="I64" s="581"/>
      <c r="J64" s="264"/>
    </row>
    <row r="65" spans="1:10" ht="19.5" customHeight="1" thickBot="1">
      <c r="A65" s="137" t="s">
        <v>774</v>
      </c>
      <c r="B65" s="138"/>
      <c r="C65" s="942">
        <f>SUM(C49+C63)</f>
        <v>8963361</v>
      </c>
      <c r="D65" s="577">
        <f>SUM(D49+D63)</f>
        <v>9298583</v>
      </c>
      <c r="E65" s="577">
        <f>SUM(E49+E63)</f>
        <v>10336410</v>
      </c>
      <c r="F65" s="139" t="s">
        <v>703</v>
      </c>
      <c r="G65" s="140"/>
      <c r="H65" s="262">
        <f>SUM(H49,H63)</f>
        <v>8963361</v>
      </c>
      <c r="I65" s="587">
        <f>SUM(I49,I63)</f>
        <v>9298583</v>
      </c>
      <c r="J65" s="956">
        <f>SUM(J49,J63)</f>
        <v>10336410</v>
      </c>
    </row>
    <row r="66" ht="15" customHeight="1"/>
    <row r="67" ht="15" customHeight="1"/>
    <row r="68" ht="15" customHeight="1"/>
    <row r="69" ht="27" customHeight="1">
      <c r="F69" s="141"/>
    </row>
    <row r="70" ht="15" customHeight="1"/>
    <row r="71" ht="15" customHeight="1"/>
    <row r="72" ht="15" customHeight="1"/>
    <row r="73" ht="15" customHeight="1"/>
    <row r="74" spans="1:5" ht="15" customHeight="1">
      <c r="A74" s="141"/>
      <c r="B74" s="142"/>
      <c r="C74" s="143"/>
      <c r="D74" s="143"/>
      <c r="E74" s="143"/>
    </row>
    <row r="75" ht="15" customHeight="1"/>
    <row r="76" ht="12.75" customHeight="1"/>
  </sheetData>
  <sheetProtection/>
  <mergeCells count="19">
    <mergeCell ref="A2:H2"/>
    <mergeCell ref="A4:C4"/>
    <mergeCell ref="F4:H4"/>
    <mergeCell ref="A53:B53"/>
    <mergeCell ref="A5:B5"/>
    <mergeCell ref="A17:B17"/>
    <mergeCell ref="F53:G53"/>
    <mergeCell ref="F52:G52"/>
    <mergeCell ref="F51:G51"/>
    <mergeCell ref="F5:G5"/>
    <mergeCell ref="F55:G55"/>
    <mergeCell ref="F54:G54"/>
    <mergeCell ref="F57:G57"/>
    <mergeCell ref="A64:B64"/>
    <mergeCell ref="A57:B57"/>
    <mergeCell ref="A58:B58"/>
    <mergeCell ref="A60:B60"/>
    <mergeCell ref="A63:B63"/>
    <mergeCell ref="A62:B62"/>
  </mergeCells>
  <printOptions horizontalCentered="1"/>
  <pageMargins left="0.7874015748031497" right="0.7874015748031497" top="0.35433070866141736" bottom="0.2755905511811024" header="0.2362204724409449" footer="0.15748031496062992"/>
  <pageSetup fitToHeight="1" fitToWidth="1" horizontalDpi="600" verticalDpi="600" orientation="landscape" paperSize="9" scale="59" r:id="rId1"/>
  <headerFooter alignWithMargins="0">
    <oddHeader>&amp;L1. melléklet a 21/2015.(X.2.) önkormányzati rendelethez
1. melléklet az 1/2015.(I.30.)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SheetLayoutView="100" workbookViewId="0" topLeftCell="B37">
      <selection activeCell="B57" sqref="B57"/>
    </sheetView>
  </sheetViews>
  <sheetFormatPr defaultColWidth="9.00390625" defaultRowHeight="12.75"/>
  <cols>
    <col min="1" max="1" width="0" style="375" hidden="1" customWidth="1"/>
    <col min="2" max="2" width="82.00390625" style="377" customWidth="1"/>
    <col min="3" max="3" width="12.25390625" style="378" customWidth="1"/>
    <col min="4" max="4" width="12.25390625" style="379" hidden="1" customWidth="1"/>
    <col min="5" max="5" width="10.625" style="380" customWidth="1"/>
    <col min="6" max="6" width="10.625" style="380" hidden="1" customWidth="1"/>
    <col min="7" max="7" width="10.625" style="380" customWidth="1"/>
    <col min="8" max="8" width="9.125" style="421" customWidth="1"/>
    <col min="9" max="16384" width="9.125" style="376" customWidth="1"/>
  </cols>
  <sheetData>
    <row r="1" spans="2:7" ht="15.75">
      <c r="B1" s="1146" t="s">
        <v>27</v>
      </c>
      <c r="C1" s="1146"/>
      <c r="D1" s="1146"/>
      <c r="E1" s="1146"/>
      <c r="F1" s="1146"/>
      <c r="G1" s="1146"/>
    </row>
    <row r="2" spans="2:7" ht="14.25" customHeight="1">
      <c r="B2" s="1147" t="s">
        <v>16</v>
      </c>
      <c r="C2" s="1147"/>
      <c r="D2" s="1147"/>
      <c r="E2" s="1147"/>
      <c r="F2" s="1147"/>
      <c r="G2" s="1147"/>
    </row>
    <row r="3" spans="2:7" ht="13.5" thickBot="1">
      <c r="B3" s="850"/>
      <c r="C3" s="851"/>
      <c r="D3" s="852"/>
      <c r="E3" s="853"/>
      <c r="F3" s="853"/>
      <c r="G3" s="853"/>
    </row>
    <row r="4" spans="1:7" ht="27" customHeight="1">
      <c r="A4" s="397" t="s">
        <v>40</v>
      </c>
      <c r="B4" s="382" t="s">
        <v>776</v>
      </c>
      <c r="C4" s="383" t="s">
        <v>4</v>
      </c>
      <c r="D4" s="386" t="s">
        <v>829</v>
      </c>
      <c r="E4" s="854" t="s">
        <v>816</v>
      </c>
      <c r="F4" s="854" t="s">
        <v>923</v>
      </c>
      <c r="G4" s="310" t="s">
        <v>895</v>
      </c>
    </row>
    <row r="5" spans="2:7" ht="12.75">
      <c r="B5" s="225"/>
      <c r="C5" s="388"/>
      <c r="D5" s="390"/>
      <c r="E5" s="630"/>
      <c r="F5" s="630"/>
      <c r="G5" s="391"/>
    </row>
    <row r="6" spans="2:7" ht="12.75">
      <c r="B6" s="392" t="s">
        <v>5</v>
      </c>
      <c r="C6" s="393">
        <f>SUM(C8,C17)</f>
        <v>234263</v>
      </c>
      <c r="D6" s="394">
        <f>SUM(D8,D17)</f>
        <v>5636</v>
      </c>
      <c r="E6" s="631">
        <f>SUM(E8,E17)</f>
        <v>239899</v>
      </c>
      <c r="F6" s="631">
        <f>SUM(F8,F17)</f>
        <v>-12187</v>
      </c>
      <c r="G6" s="395">
        <f>SUM(G8,G17)</f>
        <v>227712</v>
      </c>
    </row>
    <row r="7" spans="2:7" ht="12.75">
      <c r="B7" s="225"/>
      <c r="C7" s="388"/>
      <c r="D7" s="390"/>
      <c r="E7" s="632"/>
      <c r="F7" s="632"/>
      <c r="G7" s="398"/>
    </row>
    <row r="8" spans="1:8" s="387" customFormat="1" ht="12.75">
      <c r="A8" s="381"/>
      <c r="B8" s="392" t="s">
        <v>11</v>
      </c>
      <c r="C8" s="393">
        <f>SUM(C9:C11)</f>
        <v>24440</v>
      </c>
      <c r="D8" s="394">
        <f>SUM(D9:D14)</f>
        <v>24625</v>
      </c>
      <c r="E8" s="631">
        <f>SUM(E9:E14)</f>
        <v>49065</v>
      </c>
      <c r="F8" s="631">
        <f>SUM(F9:F15)</f>
        <v>773</v>
      </c>
      <c r="G8" s="395">
        <f>SUM(G9:G15)</f>
        <v>49838</v>
      </c>
      <c r="H8" s="424"/>
    </row>
    <row r="9" spans="1:7" ht="12.75">
      <c r="A9" s="397" t="s">
        <v>49</v>
      </c>
      <c r="B9" s="225" t="s">
        <v>634</v>
      </c>
      <c r="C9" s="388">
        <v>6820</v>
      </c>
      <c r="D9" s="390"/>
      <c r="E9" s="632">
        <f aca="true" t="shared" si="0" ref="E9:E14">C9+D9</f>
        <v>6820</v>
      </c>
      <c r="F9" s="632"/>
      <c r="G9" s="398">
        <f>E9+F9</f>
        <v>6820</v>
      </c>
    </row>
    <row r="10" spans="1:7" ht="12.75">
      <c r="A10" s="397" t="s">
        <v>49</v>
      </c>
      <c r="B10" s="225" t="s">
        <v>96</v>
      </c>
      <c r="C10" s="388">
        <v>10000</v>
      </c>
      <c r="D10" s="390"/>
      <c r="E10" s="632">
        <f t="shared" si="0"/>
        <v>10000</v>
      </c>
      <c r="F10" s="632">
        <v>-229</v>
      </c>
      <c r="G10" s="398">
        <f aca="true" t="shared" si="1" ref="G10:G15">E10+F10</f>
        <v>9771</v>
      </c>
    </row>
    <row r="11" spans="1:7" ht="12.75">
      <c r="A11" s="397" t="s">
        <v>121</v>
      </c>
      <c r="B11" s="225" t="s">
        <v>123</v>
      </c>
      <c r="C11" s="388">
        <v>7620</v>
      </c>
      <c r="D11" s="390"/>
      <c r="E11" s="632">
        <f t="shared" si="0"/>
        <v>7620</v>
      </c>
      <c r="F11" s="632"/>
      <c r="G11" s="398">
        <f t="shared" si="1"/>
        <v>7620</v>
      </c>
    </row>
    <row r="12" spans="1:7" ht="12.75">
      <c r="A12" s="397"/>
      <c r="B12" s="225" t="s">
        <v>842</v>
      </c>
      <c r="C12" s="388"/>
      <c r="D12" s="390">
        <v>15000</v>
      </c>
      <c r="E12" s="632">
        <f t="shared" si="0"/>
        <v>15000</v>
      </c>
      <c r="F12" s="632"/>
      <c r="G12" s="398">
        <f t="shared" si="1"/>
        <v>15000</v>
      </c>
    </row>
    <row r="13" spans="1:7" ht="25.5">
      <c r="A13" s="397"/>
      <c r="B13" s="225" t="s">
        <v>843</v>
      </c>
      <c r="C13" s="388"/>
      <c r="D13" s="390">
        <v>5000</v>
      </c>
      <c r="E13" s="632">
        <f t="shared" si="0"/>
        <v>5000</v>
      </c>
      <c r="F13" s="632">
        <v>-498</v>
      </c>
      <c r="G13" s="398">
        <f t="shared" si="1"/>
        <v>4502</v>
      </c>
    </row>
    <row r="14" spans="1:7" ht="38.25">
      <c r="A14" s="397"/>
      <c r="B14" s="225" t="s">
        <v>844</v>
      </c>
      <c r="C14" s="388"/>
      <c r="D14" s="390">
        <v>4625</v>
      </c>
      <c r="E14" s="632">
        <f t="shared" si="0"/>
        <v>4625</v>
      </c>
      <c r="F14" s="632"/>
      <c r="G14" s="398">
        <f t="shared" si="1"/>
        <v>4625</v>
      </c>
    </row>
    <row r="15" spans="1:7" ht="12.75">
      <c r="A15" s="397"/>
      <c r="B15" s="225" t="s">
        <v>945</v>
      </c>
      <c r="C15" s="388"/>
      <c r="D15" s="390"/>
      <c r="E15" s="632"/>
      <c r="F15" s="632">
        <v>1500</v>
      </c>
      <c r="G15" s="398">
        <f t="shared" si="1"/>
        <v>1500</v>
      </c>
    </row>
    <row r="16" spans="2:7" ht="12.75">
      <c r="B16" s="225"/>
      <c r="C16" s="388"/>
      <c r="D16" s="390"/>
      <c r="E16" s="632"/>
      <c r="F16" s="632"/>
      <c r="G16" s="398"/>
    </row>
    <row r="17" spans="2:7" ht="12.75">
      <c r="B17" s="392" t="s">
        <v>48</v>
      </c>
      <c r="C17" s="393">
        <f>SUM(C18:C57)</f>
        <v>209823</v>
      </c>
      <c r="D17" s="394">
        <f>SUM(D18:D57)</f>
        <v>-18989</v>
      </c>
      <c r="E17" s="631">
        <f>SUM(E18:E57)</f>
        <v>190834</v>
      </c>
      <c r="F17" s="631">
        <f>SUM(F18:F57)</f>
        <v>-12960</v>
      </c>
      <c r="G17" s="395">
        <f>SUM(G18:G57)</f>
        <v>177874</v>
      </c>
    </row>
    <row r="18" spans="1:7" ht="12.75">
      <c r="A18" s="397" t="s">
        <v>17</v>
      </c>
      <c r="B18" s="225" t="s">
        <v>80</v>
      </c>
      <c r="C18" s="388">
        <v>1016</v>
      </c>
      <c r="D18" s="390"/>
      <c r="E18" s="632">
        <f>C18+D18</f>
        <v>1016</v>
      </c>
      <c r="F18" s="632"/>
      <c r="G18" s="398">
        <f>E18+F18</f>
        <v>1016</v>
      </c>
    </row>
    <row r="19" spans="1:7" ht="12.75">
      <c r="A19" s="397" t="s">
        <v>49</v>
      </c>
      <c r="B19" s="225" t="s">
        <v>635</v>
      </c>
      <c r="C19" s="388">
        <v>6300</v>
      </c>
      <c r="D19" s="390"/>
      <c r="E19" s="632">
        <f aca="true" t="shared" si="2" ref="E19:E54">C19+D19</f>
        <v>6300</v>
      </c>
      <c r="F19" s="632"/>
      <c r="G19" s="398">
        <f aca="true" t="shared" si="3" ref="G19:G56">E19+F19</f>
        <v>6300</v>
      </c>
    </row>
    <row r="20" spans="1:7" ht="12.75" customHeight="1">
      <c r="A20" s="397" t="s">
        <v>49</v>
      </c>
      <c r="B20" s="225" t="s">
        <v>82</v>
      </c>
      <c r="C20" s="388">
        <v>4953</v>
      </c>
      <c r="D20" s="390"/>
      <c r="E20" s="632">
        <f t="shared" si="2"/>
        <v>4953</v>
      </c>
      <c r="F20" s="632">
        <v>913</v>
      </c>
      <c r="G20" s="398">
        <f t="shared" si="3"/>
        <v>5866</v>
      </c>
    </row>
    <row r="21" spans="1:7" ht="12.75">
      <c r="A21" s="397" t="s">
        <v>49</v>
      </c>
      <c r="B21" s="225" t="s">
        <v>647</v>
      </c>
      <c r="C21" s="388">
        <v>16000</v>
      </c>
      <c r="D21" s="390"/>
      <c r="E21" s="632">
        <f t="shared" si="2"/>
        <v>16000</v>
      </c>
      <c r="F21" s="632">
        <f>-2195-1397</f>
        <v>-3592</v>
      </c>
      <c r="G21" s="398">
        <f t="shared" si="3"/>
        <v>12408</v>
      </c>
    </row>
    <row r="22" spans="1:7" ht="12.75">
      <c r="A22" s="397" t="s">
        <v>49</v>
      </c>
      <c r="B22" s="225" t="s">
        <v>88</v>
      </c>
      <c r="C22" s="388">
        <v>6350</v>
      </c>
      <c r="D22" s="390"/>
      <c r="E22" s="632">
        <f t="shared" si="2"/>
        <v>6350</v>
      </c>
      <c r="F22" s="632">
        <v>-96</v>
      </c>
      <c r="G22" s="398">
        <f t="shared" si="3"/>
        <v>6254</v>
      </c>
    </row>
    <row r="23" spans="1:7" ht="12.75">
      <c r="A23" s="397" t="s">
        <v>49</v>
      </c>
      <c r="B23" s="225" t="s">
        <v>94</v>
      </c>
      <c r="C23" s="388">
        <v>5000</v>
      </c>
      <c r="D23" s="390">
        <v>-675</v>
      </c>
      <c r="E23" s="632">
        <f t="shared" si="2"/>
        <v>4325</v>
      </c>
      <c r="F23" s="632">
        <f>-1500-24</f>
        <v>-1524</v>
      </c>
      <c r="G23" s="398">
        <f t="shared" si="3"/>
        <v>2801</v>
      </c>
    </row>
    <row r="24" spans="1:7" ht="12.75">
      <c r="A24" s="397" t="s">
        <v>49</v>
      </c>
      <c r="B24" s="225" t="s">
        <v>95</v>
      </c>
      <c r="C24" s="388">
        <v>10000</v>
      </c>
      <c r="D24" s="390"/>
      <c r="E24" s="632">
        <f t="shared" si="2"/>
        <v>10000</v>
      </c>
      <c r="F24" s="632"/>
      <c r="G24" s="398">
        <f t="shared" si="3"/>
        <v>10000</v>
      </c>
    </row>
    <row r="25" spans="1:7" ht="12.75">
      <c r="A25" s="397" t="s">
        <v>49</v>
      </c>
      <c r="B25" s="225" t="s">
        <v>97</v>
      </c>
      <c r="C25" s="388">
        <v>5000</v>
      </c>
      <c r="D25" s="390">
        <v>-5000</v>
      </c>
      <c r="E25" s="632">
        <f t="shared" si="2"/>
        <v>0</v>
      </c>
      <c r="F25" s="632"/>
      <c r="G25" s="398">
        <f t="shared" si="3"/>
        <v>0</v>
      </c>
    </row>
    <row r="26" spans="1:7" ht="12.75">
      <c r="A26" s="397" t="s">
        <v>49</v>
      </c>
      <c r="B26" s="225" t="s">
        <v>643</v>
      </c>
      <c r="C26" s="388">
        <v>850</v>
      </c>
      <c r="D26" s="390"/>
      <c r="E26" s="632">
        <f t="shared" si="2"/>
        <v>850</v>
      </c>
      <c r="F26" s="632"/>
      <c r="G26" s="398">
        <f t="shared" si="3"/>
        <v>850</v>
      </c>
    </row>
    <row r="27" spans="1:7" ht="12.75">
      <c r="A27" s="397" t="s">
        <v>49</v>
      </c>
      <c r="B27" s="225" t="s">
        <v>98</v>
      </c>
      <c r="C27" s="388">
        <v>421</v>
      </c>
      <c r="D27" s="390"/>
      <c r="E27" s="632">
        <f t="shared" si="2"/>
        <v>421</v>
      </c>
      <c r="F27" s="632"/>
      <c r="G27" s="398">
        <f t="shared" si="3"/>
        <v>421</v>
      </c>
    </row>
    <row r="28" spans="1:7" ht="12.75">
      <c r="A28" s="397" t="s">
        <v>49</v>
      </c>
      <c r="B28" s="225" t="s">
        <v>90</v>
      </c>
      <c r="C28" s="388">
        <v>10000</v>
      </c>
      <c r="D28" s="390">
        <v>-5000</v>
      </c>
      <c r="E28" s="632">
        <f t="shared" si="2"/>
        <v>5000</v>
      </c>
      <c r="F28" s="632">
        <f>-197-913-2703</f>
        <v>-3813</v>
      </c>
      <c r="G28" s="398">
        <f t="shared" si="3"/>
        <v>1187</v>
      </c>
    </row>
    <row r="29" spans="1:7" ht="25.5">
      <c r="A29" s="397" t="s">
        <v>57</v>
      </c>
      <c r="B29" s="225" t="s">
        <v>636</v>
      </c>
      <c r="C29" s="388">
        <v>10000</v>
      </c>
      <c r="D29" s="390"/>
      <c r="E29" s="632">
        <f t="shared" si="2"/>
        <v>10000</v>
      </c>
      <c r="F29" s="632"/>
      <c r="G29" s="398">
        <f t="shared" si="3"/>
        <v>10000</v>
      </c>
    </row>
    <row r="30" spans="1:7" ht="12.75">
      <c r="A30" s="397" t="s">
        <v>57</v>
      </c>
      <c r="B30" s="225" t="s">
        <v>111</v>
      </c>
      <c r="C30" s="388"/>
      <c r="D30" s="390"/>
      <c r="E30" s="632">
        <f t="shared" si="2"/>
        <v>0</v>
      </c>
      <c r="F30" s="632"/>
      <c r="G30" s="398">
        <f t="shared" si="3"/>
        <v>0</v>
      </c>
    </row>
    <row r="31" spans="1:7" ht="12.75">
      <c r="A31" s="397" t="s">
        <v>57</v>
      </c>
      <c r="B31" s="225" t="s">
        <v>629</v>
      </c>
      <c r="C31" s="388">
        <v>9000</v>
      </c>
      <c r="D31" s="390"/>
      <c r="E31" s="632">
        <f t="shared" si="2"/>
        <v>9000</v>
      </c>
      <c r="F31" s="632"/>
      <c r="G31" s="398">
        <f t="shared" si="3"/>
        <v>9000</v>
      </c>
    </row>
    <row r="32" spans="1:7" ht="12.75">
      <c r="A32" s="397" t="s">
        <v>57</v>
      </c>
      <c r="B32" s="225" t="s">
        <v>112</v>
      </c>
      <c r="C32" s="388">
        <v>6350</v>
      </c>
      <c r="D32" s="390"/>
      <c r="E32" s="632">
        <f t="shared" si="2"/>
        <v>6350</v>
      </c>
      <c r="F32" s="632"/>
      <c r="G32" s="398">
        <f t="shared" si="3"/>
        <v>6350</v>
      </c>
    </row>
    <row r="33" spans="1:7" ht="12.75">
      <c r="A33" s="397" t="s">
        <v>57</v>
      </c>
      <c r="B33" s="225" t="s">
        <v>113</v>
      </c>
      <c r="C33" s="388"/>
      <c r="D33" s="390"/>
      <c r="E33" s="632">
        <f t="shared" si="2"/>
        <v>0</v>
      </c>
      <c r="F33" s="632"/>
      <c r="G33" s="398">
        <f t="shared" si="3"/>
        <v>0</v>
      </c>
    </row>
    <row r="34" spans="1:7" ht="12.75">
      <c r="A34" s="397" t="s">
        <v>57</v>
      </c>
      <c r="B34" s="225" t="s">
        <v>89</v>
      </c>
      <c r="C34" s="388">
        <v>17969</v>
      </c>
      <c r="D34" s="390"/>
      <c r="E34" s="632">
        <f t="shared" si="2"/>
        <v>17969</v>
      </c>
      <c r="F34" s="632"/>
      <c r="G34" s="398">
        <f t="shared" si="3"/>
        <v>17969</v>
      </c>
    </row>
    <row r="35" spans="1:7" ht="12.75">
      <c r="A35" s="397" t="s">
        <v>57</v>
      </c>
      <c r="B35" s="225" t="s">
        <v>114</v>
      </c>
      <c r="C35" s="388">
        <v>1000</v>
      </c>
      <c r="D35" s="390"/>
      <c r="E35" s="632">
        <f t="shared" si="2"/>
        <v>1000</v>
      </c>
      <c r="F35" s="632"/>
      <c r="G35" s="398">
        <f t="shared" si="3"/>
        <v>1000</v>
      </c>
    </row>
    <row r="36" spans="1:7" ht="12.75">
      <c r="A36" s="397" t="s">
        <v>57</v>
      </c>
      <c r="B36" s="225" t="s">
        <v>115</v>
      </c>
      <c r="C36" s="388">
        <v>6350</v>
      </c>
      <c r="D36" s="390"/>
      <c r="E36" s="632">
        <f t="shared" si="2"/>
        <v>6350</v>
      </c>
      <c r="F36" s="632"/>
      <c r="G36" s="398">
        <f t="shared" si="3"/>
        <v>6350</v>
      </c>
    </row>
    <row r="37" spans="1:7" ht="25.5">
      <c r="A37" s="397" t="s">
        <v>57</v>
      </c>
      <c r="B37" s="225" t="s">
        <v>637</v>
      </c>
      <c r="C37" s="388">
        <v>3810</v>
      </c>
      <c r="D37" s="390"/>
      <c r="E37" s="632">
        <f t="shared" si="2"/>
        <v>3810</v>
      </c>
      <c r="F37" s="632"/>
      <c r="G37" s="398">
        <f t="shared" si="3"/>
        <v>3810</v>
      </c>
    </row>
    <row r="38" spans="1:7" ht="25.5">
      <c r="A38" s="397" t="s">
        <v>57</v>
      </c>
      <c r="B38" s="225" t="s">
        <v>116</v>
      </c>
      <c r="C38" s="388">
        <v>8890</v>
      </c>
      <c r="D38" s="390"/>
      <c r="E38" s="632">
        <f t="shared" si="2"/>
        <v>8890</v>
      </c>
      <c r="F38" s="632"/>
      <c r="G38" s="398">
        <f t="shared" si="3"/>
        <v>8890</v>
      </c>
    </row>
    <row r="39" spans="1:7" ht="12.75">
      <c r="A39" s="397" t="s">
        <v>117</v>
      </c>
      <c r="B39" s="225" t="s">
        <v>638</v>
      </c>
      <c r="C39" s="388">
        <v>17145</v>
      </c>
      <c r="D39" s="390">
        <v>6346</v>
      </c>
      <c r="E39" s="632">
        <f t="shared" si="2"/>
        <v>23491</v>
      </c>
      <c r="F39" s="632"/>
      <c r="G39" s="398">
        <f t="shared" si="3"/>
        <v>23491</v>
      </c>
    </row>
    <row r="40" spans="1:7" ht="12.75">
      <c r="A40" s="397" t="s">
        <v>117</v>
      </c>
      <c r="B40" s="225" t="s">
        <v>118</v>
      </c>
      <c r="C40" s="388">
        <v>9500</v>
      </c>
      <c r="D40" s="390">
        <v>-6346</v>
      </c>
      <c r="E40" s="632">
        <f t="shared" si="2"/>
        <v>3154</v>
      </c>
      <c r="F40" s="632">
        <v>-3000</v>
      </c>
      <c r="G40" s="398">
        <f t="shared" si="3"/>
        <v>154</v>
      </c>
    </row>
    <row r="41" spans="1:7" ht="12.75">
      <c r="A41" s="397" t="s">
        <v>69</v>
      </c>
      <c r="B41" s="225" t="s">
        <v>119</v>
      </c>
      <c r="C41" s="388">
        <v>1219</v>
      </c>
      <c r="D41" s="390"/>
      <c r="E41" s="632">
        <f t="shared" si="2"/>
        <v>1219</v>
      </c>
      <c r="F41" s="632"/>
      <c r="G41" s="398">
        <f t="shared" si="3"/>
        <v>1219</v>
      </c>
    </row>
    <row r="42" spans="1:7" ht="12.75">
      <c r="A42" s="397" t="s">
        <v>69</v>
      </c>
      <c r="B42" s="225" t="s">
        <v>120</v>
      </c>
      <c r="C42" s="388">
        <v>5080</v>
      </c>
      <c r="D42" s="390"/>
      <c r="E42" s="632">
        <f t="shared" si="2"/>
        <v>5080</v>
      </c>
      <c r="F42" s="632">
        <v>-2000</v>
      </c>
      <c r="G42" s="398">
        <f t="shared" si="3"/>
        <v>3080</v>
      </c>
    </row>
    <row r="43" spans="1:7" ht="12.75">
      <c r="A43" s="397" t="s">
        <v>121</v>
      </c>
      <c r="B43" s="225" t="s">
        <v>122</v>
      </c>
      <c r="C43" s="388">
        <v>1905</v>
      </c>
      <c r="D43" s="390"/>
      <c r="E43" s="632">
        <f t="shared" si="2"/>
        <v>1905</v>
      </c>
      <c r="F43" s="632"/>
      <c r="G43" s="398">
        <f t="shared" si="3"/>
        <v>1905</v>
      </c>
    </row>
    <row r="44" spans="1:7" ht="51">
      <c r="A44" s="397" t="s">
        <v>121</v>
      </c>
      <c r="B44" s="225" t="s">
        <v>1004</v>
      </c>
      <c r="C44" s="388">
        <v>12700</v>
      </c>
      <c r="D44" s="390">
        <v>-9520</v>
      </c>
      <c r="E44" s="632">
        <f t="shared" si="2"/>
        <v>3180</v>
      </c>
      <c r="F44" s="632"/>
      <c r="G44" s="398">
        <f t="shared" si="3"/>
        <v>3180</v>
      </c>
    </row>
    <row r="45" spans="1:7" ht="12.75">
      <c r="A45" s="397" t="s">
        <v>150</v>
      </c>
      <c r="B45" s="225" t="s">
        <v>1005</v>
      </c>
      <c r="C45" s="388">
        <v>3445</v>
      </c>
      <c r="D45" s="390"/>
      <c r="E45" s="632">
        <f t="shared" si="2"/>
        <v>3445</v>
      </c>
      <c r="F45" s="632">
        <v>-3000</v>
      </c>
      <c r="G45" s="398">
        <f t="shared" si="3"/>
        <v>445</v>
      </c>
    </row>
    <row r="46" spans="1:7" ht="12.75">
      <c r="A46" s="397" t="s">
        <v>49</v>
      </c>
      <c r="B46" s="225" t="s">
        <v>639</v>
      </c>
      <c r="C46" s="388">
        <v>5000</v>
      </c>
      <c r="D46" s="390"/>
      <c r="E46" s="632">
        <f t="shared" si="2"/>
        <v>5000</v>
      </c>
      <c r="F46" s="632"/>
      <c r="G46" s="398">
        <f t="shared" si="3"/>
        <v>5000</v>
      </c>
    </row>
    <row r="47" spans="1:7" ht="12.75">
      <c r="A47" s="397" t="s">
        <v>49</v>
      </c>
      <c r="B47" s="225" t="s">
        <v>124</v>
      </c>
      <c r="C47" s="388">
        <v>5000</v>
      </c>
      <c r="D47" s="390"/>
      <c r="E47" s="632">
        <f t="shared" si="2"/>
        <v>5000</v>
      </c>
      <c r="F47" s="632">
        <v>-445</v>
      </c>
      <c r="G47" s="398">
        <f t="shared" si="3"/>
        <v>4555</v>
      </c>
    </row>
    <row r="48" spans="1:7" ht="12.75">
      <c r="A48" s="397" t="s">
        <v>49</v>
      </c>
      <c r="B48" s="225" t="s">
        <v>125</v>
      </c>
      <c r="C48" s="388">
        <v>1650</v>
      </c>
      <c r="D48" s="390"/>
      <c r="E48" s="632">
        <f t="shared" si="2"/>
        <v>1650</v>
      </c>
      <c r="F48" s="632"/>
      <c r="G48" s="398">
        <f t="shared" si="3"/>
        <v>1650</v>
      </c>
    </row>
    <row r="49" spans="1:7" ht="12.75" customHeight="1">
      <c r="A49" s="397" t="s">
        <v>49</v>
      </c>
      <c r="B49" s="225" t="s">
        <v>640</v>
      </c>
      <c r="C49" s="388">
        <v>3000</v>
      </c>
      <c r="D49" s="390"/>
      <c r="E49" s="632">
        <f t="shared" si="2"/>
        <v>3000</v>
      </c>
      <c r="F49" s="632"/>
      <c r="G49" s="398">
        <f t="shared" si="3"/>
        <v>3000</v>
      </c>
    </row>
    <row r="50" spans="1:7" ht="12.75">
      <c r="A50" s="397" t="s">
        <v>69</v>
      </c>
      <c r="B50" s="225" t="s">
        <v>641</v>
      </c>
      <c r="C50" s="388">
        <v>4154</v>
      </c>
      <c r="D50" s="390"/>
      <c r="E50" s="632">
        <f t="shared" si="2"/>
        <v>4154</v>
      </c>
      <c r="F50" s="632"/>
      <c r="G50" s="398">
        <f t="shared" si="3"/>
        <v>4154</v>
      </c>
    </row>
    <row r="51" spans="1:7" ht="12.75">
      <c r="A51" s="397" t="s">
        <v>117</v>
      </c>
      <c r="B51" s="225" t="s">
        <v>126</v>
      </c>
      <c r="C51" s="388">
        <v>3239</v>
      </c>
      <c r="D51" s="390"/>
      <c r="E51" s="632">
        <f t="shared" si="2"/>
        <v>3239</v>
      </c>
      <c r="F51" s="632"/>
      <c r="G51" s="398">
        <f t="shared" si="3"/>
        <v>3239</v>
      </c>
    </row>
    <row r="52" spans="1:7" ht="12.75">
      <c r="A52" s="397" t="s">
        <v>117</v>
      </c>
      <c r="B52" s="225" t="s">
        <v>127</v>
      </c>
      <c r="C52" s="388">
        <v>736</v>
      </c>
      <c r="D52" s="390"/>
      <c r="E52" s="632">
        <f t="shared" si="2"/>
        <v>736</v>
      </c>
      <c r="F52" s="632"/>
      <c r="G52" s="398">
        <f t="shared" si="3"/>
        <v>736</v>
      </c>
    </row>
    <row r="53" spans="1:7" ht="12.75">
      <c r="A53" s="397"/>
      <c r="B53" s="225" t="s">
        <v>834</v>
      </c>
      <c r="C53" s="388"/>
      <c r="D53" s="390">
        <v>1206</v>
      </c>
      <c r="E53" s="632">
        <f t="shared" si="2"/>
        <v>1206</v>
      </c>
      <c r="F53" s="632"/>
      <c r="G53" s="398">
        <f t="shared" si="3"/>
        <v>1206</v>
      </c>
    </row>
    <row r="54" spans="1:7" ht="12.75">
      <c r="A54" s="397" t="s">
        <v>57</v>
      </c>
      <c r="B54" s="225" t="s">
        <v>128</v>
      </c>
      <c r="C54" s="388">
        <v>6791</v>
      </c>
      <c r="D54" s="390"/>
      <c r="E54" s="632">
        <f t="shared" si="2"/>
        <v>6791</v>
      </c>
      <c r="F54" s="632"/>
      <c r="G54" s="398">
        <f t="shared" si="3"/>
        <v>6791</v>
      </c>
    </row>
    <row r="55" spans="1:7" ht="12.75">
      <c r="A55" s="397"/>
      <c r="B55" s="225" t="s">
        <v>946</v>
      </c>
      <c r="C55" s="388"/>
      <c r="D55" s="390"/>
      <c r="E55" s="632"/>
      <c r="F55" s="632">
        <v>474</v>
      </c>
      <c r="G55" s="398">
        <f t="shared" si="3"/>
        <v>474</v>
      </c>
    </row>
    <row r="56" spans="1:7" ht="12.75">
      <c r="A56" s="397"/>
      <c r="B56" s="225" t="s">
        <v>1006</v>
      </c>
      <c r="C56" s="388"/>
      <c r="D56" s="390"/>
      <c r="E56" s="632"/>
      <c r="F56" s="632">
        <v>3123</v>
      </c>
      <c r="G56" s="398">
        <f t="shared" si="3"/>
        <v>3123</v>
      </c>
    </row>
    <row r="57" spans="1:7" ht="12.75">
      <c r="A57" s="397"/>
      <c r="B57" s="225"/>
      <c r="C57" s="388"/>
      <c r="D57" s="390"/>
      <c r="E57" s="632"/>
      <c r="F57" s="632"/>
      <c r="G57" s="398"/>
    </row>
    <row r="58" spans="1:8" s="387" customFormat="1" ht="12.75">
      <c r="A58" s="381"/>
      <c r="B58" s="392" t="s">
        <v>13</v>
      </c>
      <c r="C58" s="393">
        <f>SUM(C59:C66)</f>
        <v>19664</v>
      </c>
      <c r="D58" s="394">
        <f>SUM(D59:D67)</f>
        <v>4200</v>
      </c>
      <c r="E58" s="631">
        <f>SUM(E59:E67)</f>
        <v>23864</v>
      </c>
      <c r="F58" s="631">
        <f>SUM(F59:F67)</f>
        <v>-4382</v>
      </c>
      <c r="G58" s="395">
        <f>SUM(G59:G67)</f>
        <v>19482</v>
      </c>
      <c r="H58" s="424"/>
    </row>
    <row r="59" spans="1:8" s="399" customFormat="1" ht="12.75">
      <c r="A59" s="397"/>
      <c r="B59" s="225" t="s">
        <v>621</v>
      </c>
      <c r="C59" s="388">
        <v>2654</v>
      </c>
      <c r="D59" s="390"/>
      <c r="E59" s="632">
        <f>C59+D59</f>
        <v>2654</v>
      </c>
      <c r="F59" s="632">
        <v>118</v>
      </c>
      <c r="G59" s="398">
        <f>E59+F59</f>
        <v>2772</v>
      </c>
      <c r="H59" s="425"/>
    </row>
    <row r="60" spans="1:8" s="399" customFormat="1" ht="12.75">
      <c r="A60" s="397"/>
      <c r="B60" s="225" t="s">
        <v>652</v>
      </c>
      <c r="C60" s="388">
        <v>1700</v>
      </c>
      <c r="D60" s="390"/>
      <c r="E60" s="632">
        <f aca="true" t="shared" si="4" ref="E60:E67">C60+D60</f>
        <v>1700</v>
      </c>
      <c r="F60" s="632"/>
      <c r="G60" s="398">
        <f aca="true" t="shared" si="5" ref="G60:G67">E60+F60</f>
        <v>1700</v>
      </c>
      <c r="H60" s="425"/>
    </row>
    <row r="61" spans="1:8" s="399" customFormat="1" ht="25.5">
      <c r="A61" s="397"/>
      <c r="B61" s="225" t="s">
        <v>622</v>
      </c>
      <c r="C61" s="388">
        <f>6140+700</f>
        <v>6840</v>
      </c>
      <c r="D61" s="390">
        <v>-800</v>
      </c>
      <c r="E61" s="632">
        <f t="shared" si="4"/>
        <v>6040</v>
      </c>
      <c r="F61" s="632">
        <f>-3500-1000</f>
        <v>-4500</v>
      </c>
      <c r="G61" s="398">
        <f t="shared" si="5"/>
        <v>1540</v>
      </c>
      <c r="H61" s="425"/>
    </row>
    <row r="62" spans="1:8" s="399" customFormat="1" ht="27" customHeight="1">
      <c r="A62" s="397"/>
      <c r="B62" s="225" t="s">
        <v>809</v>
      </c>
      <c r="C62" s="388">
        <v>2700</v>
      </c>
      <c r="D62" s="390"/>
      <c r="E62" s="632">
        <f t="shared" si="4"/>
        <v>2700</v>
      </c>
      <c r="F62" s="632"/>
      <c r="G62" s="398">
        <f t="shared" si="5"/>
        <v>2700</v>
      </c>
      <c r="H62" s="425"/>
    </row>
    <row r="63" spans="1:8" s="399" customFormat="1" ht="25.5">
      <c r="A63" s="397"/>
      <c r="B63" s="225" t="s">
        <v>653</v>
      </c>
      <c r="C63" s="388">
        <v>3070</v>
      </c>
      <c r="D63" s="390"/>
      <c r="E63" s="632">
        <f t="shared" si="4"/>
        <v>3070</v>
      </c>
      <c r="F63" s="632"/>
      <c r="G63" s="398">
        <f t="shared" si="5"/>
        <v>3070</v>
      </c>
      <c r="H63" s="425"/>
    </row>
    <row r="64" spans="1:8" s="399" customFormat="1" ht="25.5">
      <c r="A64" s="397"/>
      <c r="B64" s="225" t="s">
        <v>623</v>
      </c>
      <c r="C64" s="388">
        <v>1000</v>
      </c>
      <c r="D64" s="390"/>
      <c r="E64" s="632">
        <f t="shared" si="4"/>
        <v>1000</v>
      </c>
      <c r="F64" s="632"/>
      <c r="G64" s="398">
        <f t="shared" si="5"/>
        <v>1000</v>
      </c>
      <c r="H64" s="425"/>
    </row>
    <row r="65" spans="1:8" s="399" customFormat="1" ht="25.5">
      <c r="A65" s="397"/>
      <c r="B65" s="225" t="s">
        <v>947</v>
      </c>
      <c r="C65" s="388">
        <v>1000</v>
      </c>
      <c r="D65" s="390"/>
      <c r="E65" s="632">
        <f t="shared" si="4"/>
        <v>1000</v>
      </c>
      <c r="F65" s="632"/>
      <c r="G65" s="398">
        <f t="shared" si="5"/>
        <v>1000</v>
      </c>
      <c r="H65" s="425"/>
    </row>
    <row r="66" spans="1:8" s="399" customFormat="1" ht="12.75">
      <c r="A66" s="397"/>
      <c r="B66" s="225" t="s">
        <v>642</v>
      </c>
      <c r="C66" s="388">
        <v>700</v>
      </c>
      <c r="D66" s="390"/>
      <c r="E66" s="632">
        <f t="shared" si="4"/>
        <v>700</v>
      </c>
      <c r="F66" s="632"/>
      <c r="G66" s="398">
        <f t="shared" si="5"/>
        <v>700</v>
      </c>
      <c r="H66" s="425"/>
    </row>
    <row r="67" spans="1:8" s="399" customFormat="1" ht="12.75">
      <c r="A67" s="397"/>
      <c r="B67" s="225" t="s">
        <v>658</v>
      </c>
      <c r="C67" s="388"/>
      <c r="D67" s="390">
        <v>5000</v>
      </c>
      <c r="E67" s="632">
        <f t="shared" si="4"/>
        <v>5000</v>
      </c>
      <c r="F67" s="632"/>
      <c r="G67" s="398">
        <f t="shared" si="5"/>
        <v>5000</v>
      </c>
      <c r="H67" s="425"/>
    </row>
    <row r="68" spans="2:7" ht="12.75">
      <c r="B68" s="225"/>
      <c r="C68" s="388"/>
      <c r="D68" s="390"/>
      <c r="E68" s="632"/>
      <c r="F68" s="632"/>
      <c r="G68" s="398"/>
    </row>
    <row r="69" spans="1:8" s="413" customFormat="1" ht="13.5" thickBot="1">
      <c r="A69" s="411"/>
      <c r="B69" s="407" t="s">
        <v>15</v>
      </c>
      <c r="C69" s="408">
        <f>SUM(C6,C58)</f>
        <v>253927</v>
      </c>
      <c r="D69" s="409">
        <f>SUM(D6,D58)</f>
        <v>9836</v>
      </c>
      <c r="E69" s="635">
        <f>SUM(E6,E58)</f>
        <v>263763</v>
      </c>
      <c r="F69" s="635">
        <f>SUM(F6,F58)</f>
        <v>-16569</v>
      </c>
      <c r="G69" s="410">
        <f>SUM(G6,G58)</f>
        <v>247194</v>
      </c>
      <c r="H69" s="426"/>
    </row>
    <row r="70" spans="2:7" ht="12.75">
      <c r="B70" s="427"/>
      <c r="C70" s="422"/>
      <c r="D70" s="423"/>
      <c r="E70" s="418"/>
      <c r="F70" s="418"/>
      <c r="G70" s="418"/>
    </row>
    <row r="71" spans="1:2" ht="12.75" hidden="1">
      <c r="A71" s="397" t="s">
        <v>17</v>
      </c>
      <c r="B71" s="415">
        <f aca="true" t="shared" si="6" ref="B71:B78">SUMIF($A$8:$C$54,A71,$C$8:$C$54)</f>
        <v>1016</v>
      </c>
    </row>
    <row r="72" spans="1:2" ht="12.75" hidden="1">
      <c r="A72" s="397" t="s">
        <v>81</v>
      </c>
      <c r="B72" s="415">
        <f t="shared" si="6"/>
        <v>0</v>
      </c>
    </row>
    <row r="73" spans="1:2" ht="12.75" hidden="1">
      <c r="A73" s="397" t="s">
        <v>49</v>
      </c>
      <c r="B73" s="415">
        <f t="shared" si="6"/>
        <v>96344</v>
      </c>
    </row>
    <row r="74" spans="1:2" ht="12.75" hidden="1">
      <c r="A74" s="397" t="s">
        <v>57</v>
      </c>
      <c r="B74" s="415">
        <f t="shared" si="6"/>
        <v>70160</v>
      </c>
    </row>
    <row r="75" spans="1:2" ht="12.75" hidden="1">
      <c r="A75" s="397" t="s">
        <v>117</v>
      </c>
      <c r="B75" s="415">
        <f t="shared" si="6"/>
        <v>30620</v>
      </c>
    </row>
    <row r="76" spans="1:2" ht="12.75" hidden="1">
      <c r="A76" s="397" t="s">
        <v>69</v>
      </c>
      <c r="B76" s="415">
        <f t="shared" si="6"/>
        <v>10453</v>
      </c>
    </row>
    <row r="77" spans="1:2" ht="12.75" hidden="1">
      <c r="A77" s="397" t="s">
        <v>121</v>
      </c>
      <c r="B77" s="415">
        <f t="shared" si="6"/>
        <v>22225</v>
      </c>
    </row>
    <row r="78" spans="1:2" ht="12.75" hidden="1">
      <c r="A78" s="397" t="s">
        <v>150</v>
      </c>
      <c r="B78" s="415">
        <f t="shared" si="6"/>
        <v>3445</v>
      </c>
    </row>
    <row r="79" ht="12.75" hidden="1">
      <c r="B79" s="415">
        <f>SUM(B71:B78)</f>
        <v>234263</v>
      </c>
    </row>
  </sheetData>
  <sheetProtection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6" r:id="rId1"/>
  <headerFooter alignWithMargins="0">
    <oddHeader>&amp;L9. melléklet a 21/2015.(X.2.) önkormányzati rendelethez9. melléklet az 1/2015.(I.30.) önkormányzati rendelethez</oddHeader>
  </headerFooter>
  <rowBreaks count="1" manualBreakCount="1">
    <brk id="51" min="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zoomScaleSheetLayoutView="100" workbookViewId="0" topLeftCell="A22">
      <selection activeCell="A42" sqref="A42"/>
    </sheetView>
  </sheetViews>
  <sheetFormatPr defaultColWidth="9.00390625" defaultRowHeight="12.75"/>
  <cols>
    <col min="1" max="1" width="59.375" style="0" customWidth="1"/>
    <col min="2" max="2" width="8.875" style="0" customWidth="1"/>
    <col min="3" max="3" width="9.75390625" style="0" customWidth="1"/>
    <col min="4" max="4" width="8.625" style="0" customWidth="1"/>
    <col min="5" max="5" width="10.25390625" style="0" customWidth="1"/>
    <col min="6" max="6" width="10.75390625" style="0" customWidth="1"/>
    <col min="7" max="7" width="9.625" style="186" customWidth="1"/>
  </cols>
  <sheetData>
    <row r="1" spans="1:6" ht="14.25" customHeight="1">
      <c r="A1" s="1148" t="s">
        <v>29</v>
      </c>
      <c r="B1" s="1148"/>
      <c r="C1" s="1148"/>
      <c r="D1" s="1148"/>
      <c r="E1" s="1148"/>
      <c r="F1" s="250"/>
    </row>
    <row r="2" spans="1:6" ht="14.25" customHeight="1">
      <c r="A2" s="1148" t="s">
        <v>775</v>
      </c>
      <c r="B2" s="1148"/>
      <c r="C2" s="1148"/>
      <c r="D2" s="1148"/>
      <c r="E2" s="1148"/>
      <c r="F2" s="250"/>
    </row>
    <row r="3" spans="1:4" ht="14.25" customHeight="1" thickBot="1">
      <c r="A3" s="1"/>
      <c r="B3" s="2"/>
      <c r="C3" s="2"/>
      <c r="D3" s="2"/>
    </row>
    <row r="4" spans="1:7" ht="63.75">
      <c r="A4" s="3" t="s">
        <v>776</v>
      </c>
      <c r="B4" s="4" t="s">
        <v>777</v>
      </c>
      <c r="C4" s="307" t="s">
        <v>816</v>
      </c>
      <c r="D4" s="307" t="s">
        <v>895</v>
      </c>
      <c r="E4" s="304" t="s">
        <v>778</v>
      </c>
      <c r="F4" s="639" t="s">
        <v>817</v>
      </c>
      <c r="G4" s="857" t="s">
        <v>896</v>
      </c>
    </row>
    <row r="5" spans="1:7" ht="14.25" customHeight="1">
      <c r="A5" s="7" t="s">
        <v>781</v>
      </c>
      <c r="B5" s="8">
        <v>1000</v>
      </c>
      <c r="C5" s="8">
        <v>1000</v>
      </c>
      <c r="D5" s="8">
        <v>1800</v>
      </c>
      <c r="E5" s="8"/>
      <c r="F5" s="636"/>
      <c r="G5" s="858"/>
    </row>
    <row r="6" spans="1:7" ht="14.25" customHeight="1">
      <c r="A6" s="7" t="s">
        <v>575</v>
      </c>
      <c r="B6" s="8">
        <v>2000</v>
      </c>
      <c r="C6" s="8">
        <v>2000</v>
      </c>
      <c r="D6" s="8">
        <v>2000</v>
      </c>
      <c r="E6" s="8"/>
      <c r="F6" s="636"/>
      <c r="G6" s="858"/>
    </row>
    <row r="7" spans="1:7" ht="14.25" customHeight="1">
      <c r="A7" s="7" t="s">
        <v>782</v>
      </c>
      <c r="B7" s="8">
        <v>300</v>
      </c>
      <c r="C7" s="8">
        <v>300</v>
      </c>
      <c r="D7" s="8">
        <v>300</v>
      </c>
      <c r="E7" s="8"/>
      <c r="F7" s="636"/>
      <c r="G7" s="858"/>
    </row>
    <row r="8" spans="1:7" ht="14.25" customHeight="1">
      <c r="A8" s="5" t="s">
        <v>779</v>
      </c>
      <c r="B8" s="8"/>
      <c r="C8" s="8"/>
      <c r="D8" s="8"/>
      <c r="E8" s="8">
        <v>6300</v>
      </c>
      <c r="F8" s="636">
        <v>4486</v>
      </c>
      <c r="G8" s="858">
        <v>6798</v>
      </c>
    </row>
    <row r="9" spans="1:7" ht="14.25" customHeight="1">
      <c r="A9" s="7" t="s">
        <v>800</v>
      </c>
      <c r="B9" s="8"/>
      <c r="C9" s="8"/>
      <c r="D9" s="8"/>
      <c r="E9" s="8">
        <v>2250</v>
      </c>
      <c r="F9" s="636">
        <v>4262</v>
      </c>
      <c r="G9" s="858">
        <v>1958</v>
      </c>
    </row>
    <row r="10" spans="1:7" ht="14.25" customHeight="1">
      <c r="A10" s="7" t="s">
        <v>790</v>
      </c>
      <c r="B10" s="8"/>
      <c r="C10" s="8"/>
      <c r="D10" s="8"/>
      <c r="E10" s="8">
        <v>900</v>
      </c>
      <c r="F10" s="636">
        <v>702</v>
      </c>
      <c r="G10" s="858">
        <v>702</v>
      </c>
    </row>
    <row r="11" spans="1:7" ht="14.25" customHeight="1">
      <c r="A11" s="7" t="s">
        <v>780</v>
      </c>
      <c r="B11" s="8"/>
      <c r="C11" s="8"/>
      <c r="D11" s="8"/>
      <c r="E11" s="8">
        <v>1175</v>
      </c>
      <c r="F11" s="636">
        <v>7650</v>
      </c>
      <c r="G11" s="858">
        <v>9047</v>
      </c>
    </row>
    <row r="12" spans="1:7" ht="14.25" customHeight="1">
      <c r="A12" s="7" t="s">
        <v>791</v>
      </c>
      <c r="B12" s="8"/>
      <c r="C12" s="8"/>
      <c r="D12" s="8"/>
      <c r="E12" s="8">
        <v>2076</v>
      </c>
      <c r="F12" s="636">
        <v>1868</v>
      </c>
      <c r="G12" s="858">
        <v>2616</v>
      </c>
    </row>
    <row r="13" spans="1:7" ht="14.25" customHeight="1">
      <c r="A13" s="7" t="s">
        <v>580</v>
      </c>
      <c r="B13" s="8">
        <v>100</v>
      </c>
      <c r="C13" s="8">
        <v>100</v>
      </c>
      <c r="D13" s="8">
        <v>100</v>
      </c>
      <c r="E13" s="8"/>
      <c r="F13" s="636"/>
      <c r="G13" s="858"/>
    </row>
    <row r="14" spans="1:7" ht="14.25" customHeight="1">
      <c r="A14" s="7" t="s">
        <v>576</v>
      </c>
      <c r="B14" s="8"/>
      <c r="C14" s="8"/>
      <c r="D14" s="8"/>
      <c r="E14" s="8"/>
      <c r="F14" s="636"/>
      <c r="G14" s="858"/>
    </row>
    <row r="15" spans="1:7" ht="14.25" customHeight="1">
      <c r="A15" s="7" t="s">
        <v>91</v>
      </c>
      <c r="B15" s="8">
        <v>15000</v>
      </c>
      <c r="C15" s="8">
        <v>19455</v>
      </c>
      <c r="D15" s="8">
        <v>11902</v>
      </c>
      <c r="E15" s="8"/>
      <c r="F15" s="636"/>
      <c r="G15" s="858"/>
    </row>
    <row r="16" spans="1:7" ht="27" customHeight="1">
      <c r="A16" s="7" t="s">
        <v>577</v>
      </c>
      <c r="B16" s="8">
        <v>10000</v>
      </c>
      <c r="C16" s="8">
        <v>2000</v>
      </c>
      <c r="D16" s="8">
        <v>2000</v>
      </c>
      <c r="E16" s="8"/>
      <c r="F16" s="636"/>
      <c r="G16" s="858"/>
    </row>
    <row r="17" spans="1:7" ht="14.25" customHeight="1">
      <c r="A17" s="7" t="s">
        <v>578</v>
      </c>
      <c r="B17" s="8">
        <v>2500</v>
      </c>
      <c r="C17" s="8">
        <v>2500</v>
      </c>
      <c r="D17" s="8">
        <v>2500</v>
      </c>
      <c r="E17" s="8"/>
      <c r="F17" s="636"/>
      <c r="G17" s="858"/>
    </row>
    <row r="18" spans="1:7" ht="14.25" customHeight="1">
      <c r="A18" s="7" t="s">
        <v>579</v>
      </c>
      <c r="B18" s="8">
        <v>5700</v>
      </c>
      <c r="C18" s="8">
        <v>7980</v>
      </c>
      <c r="D18" s="8">
        <v>7980</v>
      </c>
      <c r="E18" s="8"/>
      <c r="F18" s="636"/>
      <c r="G18" s="858"/>
    </row>
    <row r="19" spans="1:7" s="11" customFormat="1" ht="29.25" customHeight="1">
      <c r="A19" s="9" t="s">
        <v>783</v>
      </c>
      <c r="B19" s="10">
        <f aca="true" t="shared" si="0" ref="B19:G19">SUM(B5:B18)</f>
        <v>36600</v>
      </c>
      <c r="C19" s="10">
        <f t="shared" si="0"/>
        <v>35335</v>
      </c>
      <c r="D19" s="10">
        <f t="shared" si="0"/>
        <v>28582</v>
      </c>
      <c r="E19" s="10">
        <f t="shared" si="0"/>
        <v>12701</v>
      </c>
      <c r="F19" s="637">
        <f t="shared" si="0"/>
        <v>18968</v>
      </c>
      <c r="G19" s="885">
        <f t="shared" si="0"/>
        <v>21121</v>
      </c>
    </row>
    <row r="20" spans="1:7" ht="14.25" customHeight="1">
      <c r="A20" s="12"/>
      <c r="B20" s="13"/>
      <c r="C20" s="13"/>
      <c r="D20" s="13"/>
      <c r="E20" s="8"/>
      <c r="F20" s="636"/>
      <c r="G20" s="858"/>
    </row>
    <row r="21" spans="1:7" ht="14.25" customHeight="1">
      <c r="A21" s="7" t="s">
        <v>784</v>
      </c>
      <c r="B21" s="8">
        <v>4000</v>
      </c>
      <c r="C21" s="8">
        <v>4000</v>
      </c>
      <c r="D21" s="8">
        <v>4000</v>
      </c>
      <c r="E21" s="8"/>
      <c r="F21" s="636"/>
      <c r="G21" s="858"/>
    </row>
    <row r="22" spans="1:7" ht="14.25" customHeight="1">
      <c r="A22" s="7" t="s">
        <v>785</v>
      </c>
      <c r="B22" s="8">
        <v>1000</v>
      </c>
      <c r="C22" s="8">
        <v>1000</v>
      </c>
      <c r="D22" s="8">
        <v>1601</v>
      </c>
      <c r="E22" s="8"/>
      <c r="F22" s="636"/>
      <c r="G22" s="858"/>
    </row>
    <row r="23" spans="1:7" ht="14.25" customHeight="1">
      <c r="A23" s="7" t="s">
        <v>786</v>
      </c>
      <c r="B23" s="8">
        <v>500</v>
      </c>
      <c r="C23" s="8">
        <v>573</v>
      </c>
      <c r="D23" s="8">
        <v>646</v>
      </c>
      <c r="E23" s="8"/>
      <c r="F23" s="636"/>
      <c r="G23" s="858"/>
    </row>
    <row r="24" spans="1:7" ht="14.25" customHeight="1">
      <c r="A24" s="7" t="s">
        <v>787</v>
      </c>
      <c r="B24" s="8">
        <v>3374</v>
      </c>
      <c r="C24" s="8">
        <v>3638</v>
      </c>
      <c r="D24" s="8">
        <v>7638</v>
      </c>
      <c r="E24" s="8"/>
      <c r="F24" s="636"/>
      <c r="G24" s="858"/>
    </row>
    <row r="25" spans="1:7" s="11" customFormat="1" ht="14.25" customHeight="1">
      <c r="A25" s="9" t="s">
        <v>788</v>
      </c>
      <c r="B25" s="10">
        <f aca="true" t="shared" si="1" ref="B25:G25">SUM(B21+B22+B23+B24)</f>
        <v>8874</v>
      </c>
      <c r="C25" s="10">
        <f t="shared" si="1"/>
        <v>9211</v>
      </c>
      <c r="D25" s="10">
        <f t="shared" si="1"/>
        <v>13885</v>
      </c>
      <c r="E25" s="10">
        <f t="shared" si="1"/>
        <v>0</v>
      </c>
      <c r="F25" s="637">
        <f t="shared" si="1"/>
        <v>0</v>
      </c>
      <c r="G25" s="885">
        <f t="shared" si="1"/>
        <v>0</v>
      </c>
    </row>
    <row r="26" spans="1:7" ht="14.25" customHeight="1">
      <c r="A26" s="7"/>
      <c r="B26" s="8"/>
      <c r="C26" s="8"/>
      <c r="D26" s="8"/>
      <c r="E26" s="8"/>
      <c r="F26" s="636"/>
      <c r="G26" s="858"/>
    </row>
    <row r="27" spans="1:7" s="11" customFormat="1" ht="14.25" customHeight="1">
      <c r="A27" s="9" t="s">
        <v>789</v>
      </c>
      <c r="B27" s="10">
        <f aca="true" t="shared" si="2" ref="B27:G27">SUM(B19+B25)</f>
        <v>45474</v>
      </c>
      <c r="C27" s="10">
        <f t="shared" si="2"/>
        <v>44546</v>
      </c>
      <c r="D27" s="10">
        <f t="shared" si="2"/>
        <v>42467</v>
      </c>
      <c r="E27" s="10">
        <f t="shared" si="2"/>
        <v>12701</v>
      </c>
      <c r="F27" s="637">
        <f t="shared" si="2"/>
        <v>18968</v>
      </c>
      <c r="G27" s="885">
        <f t="shared" si="2"/>
        <v>21121</v>
      </c>
    </row>
    <row r="28" spans="1:7" ht="14.25" customHeight="1" thickBot="1">
      <c r="A28" s="305"/>
      <c r="B28" s="140"/>
      <c r="C28" s="140"/>
      <c r="D28" s="140"/>
      <c r="E28" s="306"/>
      <c r="F28" s="638"/>
      <c r="G28" s="859"/>
    </row>
    <row r="29" ht="14.25" customHeight="1"/>
    <row r="30" spans="1:6" ht="14.25" customHeight="1">
      <c r="A30" s="1148" t="s">
        <v>28</v>
      </c>
      <c r="B30" s="1148"/>
      <c r="C30" s="1148"/>
      <c r="D30" s="1148"/>
      <c r="E30" s="1148"/>
      <c r="F30" s="250"/>
    </row>
    <row r="31" spans="1:6" ht="14.25" customHeight="1">
      <c r="A31" s="1148" t="s">
        <v>775</v>
      </c>
      <c r="B31" s="1148"/>
      <c r="C31" s="1148"/>
      <c r="D31" s="1148"/>
      <c r="E31" s="1148"/>
      <c r="F31" s="250"/>
    </row>
    <row r="32" spans="1:4" ht="14.25" customHeight="1" thickBot="1">
      <c r="A32" s="1"/>
      <c r="B32" s="2"/>
      <c r="C32" s="2"/>
      <c r="D32" s="2"/>
    </row>
    <row r="33" spans="1:7" ht="63.75">
      <c r="A33" s="3" t="s">
        <v>776</v>
      </c>
      <c r="B33" s="4" t="s">
        <v>777</v>
      </c>
      <c r="C33" s="307" t="s">
        <v>816</v>
      </c>
      <c r="D33" s="307" t="s">
        <v>895</v>
      </c>
      <c r="E33" s="304" t="s">
        <v>778</v>
      </c>
      <c r="F33" s="639" t="s">
        <v>817</v>
      </c>
      <c r="G33" s="857" t="s">
        <v>896</v>
      </c>
    </row>
    <row r="34" spans="1:7" ht="14.25" customHeight="1">
      <c r="A34" s="16" t="s">
        <v>792</v>
      </c>
      <c r="B34" s="17"/>
      <c r="C34" s="17"/>
      <c r="D34" s="17"/>
      <c r="E34" s="283"/>
      <c r="F34" s="636"/>
      <c r="G34" s="858"/>
    </row>
    <row r="35" spans="1:7" ht="14.25" customHeight="1">
      <c r="A35" s="5" t="s">
        <v>779</v>
      </c>
      <c r="B35" s="6">
        <v>7000</v>
      </c>
      <c r="C35" s="6">
        <v>4984</v>
      </c>
      <c r="D35" s="6">
        <v>7553</v>
      </c>
      <c r="E35" s="8"/>
      <c r="F35" s="636"/>
      <c r="G35" s="858"/>
    </row>
    <row r="36" spans="1:7" ht="14.25" customHeight="1">
      <c r="A36" s="7" t="s">
        <v>800</v>
      </c>
      <c r="B36" s="8">
        <v>2500</v>
      </c>
      <c r="C36" s="8">
        <v>4736</v>
      </c>
      <c r="D36" s="8">
        <v>2175</v>
      </c>
      <c r="E36" s="8"/>
      <c r="F36" s="636"/>
      <c r="G36" s="858"/>
    </row>
    <row r="37" spans="1:7" ht="14.25" customHeight="1">
      <c r="A37" s="7" t="s">
        <v>790</v>
      </c>
      <c r="B37" s="8">
        <v>1000</v>
      </c>
      <c r="C37" s="8">
        <v>780</v>
      </c>
      <c r="D37" s="8">
        <v>780</v>
      </c>
      <c r="E37" s="8"/>
      <c r="F37" s="636"/>
      <c r="G37" s="858"/>
    </row>
    <row r="38" spans="1:7" ht="14.25" customHeight="1">
      <c r="A38" s="7" t="s">
        <v>780</v>
      </c>
      <c r="B38" s="8">
        <v>1305</v>
      </c>
      <c r="C38" s="8">
        <v>8500</v>
      </c>
      <c r="D38" s="8">
        <v>10052</v>
      </c>
      <c r="E38" s="8"/>
      <c r="F38" s="636"/>
      <c r="G38" s="858"/>
    </row>
    <row r="39" spans="1:7" ht="14.25" customHeight="1">
      <c r="A39" s="7" t="s">
        <v>791</v>
      </c>
      <c r="B39" s="8">
        <v>2307</v>
      </c>
      <c r="C39" s="8">
        <v>2019</v>
      </c>
      <c r="D39" s="8">
        <v>2639</v>
      </c>
      <c r="E39" s="8"/>
      <c r="F39" s="636"/>
      <c r="G39" s="858"/>
    </row>
    <row r="40" spans="1:7" ht="14.25" customHeight="1">
      <c r="A40" s="7" t="s">
        <v>827</v>
      </c>
      <c r="B40" s="8">
        <v>0</v>
      </c>
      <c r="C40" s="8">
        <v>288</v>
      </c>
      <c r="D40" s="8">
        <v>288</v>
      </c>
      <c r="E40" s="8"/>
      <c r="F40" s="636"/>
      <c r="G40" s="858"/>
    </row>
    <row r="41" spans="1:7" ht="14.25" customHeight="1">
      <c r="A41" s="7" t="s">
        <v>828</v>
      </c>
      <c r="B41" s="8">
        <v>0</v>
      </c>
      <c r="C41" s="8">
        <v>12</v>
      </c>
      <c r="D41" s="8">
        <v>3463</v>
      </c>
      <c r="E41" s="8"/>
      <c r="F41" s="636"/>
      <c r="G41" s="858"/>
    </row>
    <row r="42" spans="1:7" s="11" customFormat="1" ht="14.25" customHeight="1">
      <c r="A42" s="9" t="s">
        <v>793</v>
      </c>
      <c r="B42" s="10">
        <f>SUM(B35:B41)</f>
        <v>14112</v>
      </c>
      <c r="C42" s="10">
        <f>SUM(C35:C41)</f>
        <v>21319</v>
      </c>
      <c r="D42" s="10">
        <f>SUM(D35:D41)</f>
        <v>26950</v>
      </c>
      <c r="E42" s="10">
        <f>SUM(E35:E39)</f>
        <v>0</v>
      </c>
      <c r="F42" s="637">
        <f>SUM(F35:F39)</f>
        <v>0</v>
      </c>
      <c r="G42" s="885">
        <f>SUM(G35:G39)</f>
        <v>0</v>
      </c>
    </row>
    <row r="43" spans="1:7" ht="14.25" customHeight="1">
      <c r="A43" s="7"/>
      <c r="B43" s="8"/>
      <c r="C43" s="8"/>
      <c r="D43" s="8"/>
      <c r="E43" s="8"/>
      <c r="F43" s="636"/>
      <c r="G43" s="858"/>
    </row>
    <row r="44" spans="1:7" s="11" customFormat="1" ht="14.25" customHeight="1">
      <c r="A44" s="9" t="s">
        <v>796</v>
      </c>
      <c r="B44" s="10"/>
      <c r="C44" s="10"/>
      <c r="D44" s="10"/>
      <c r="E44" s="10"/>
      <c r="F44" s="636"/>
      <c r="G44" s="860"/>
    </row>
    <row r="45" spans="1:7" s="18" customFormat="1" ht="14.25" customHeight="1">
      <c r="A45" s="7" t="s">
        <v>800</v>
      </c>
      <c r="B45" s="8">
        <v>165</v>
      </c>
      <c r="C45" s="8">
        <v>165</v>
      </c>
      <c r="D45" s="8">
        <v>165</v>
      </c>
      <c r="E45" s="8"/>
      <c r="F45" s="636"/>
      <c r="G45" s="858"/>
    </row>
    <row r="46" spans="1:7" s="18" customFormat="1" ht="14.25" customHeight="1">
      <c r="A46" s="7" t="s">
        <v>780</v>
      </c>
      <c r="B46" s="8">
        <v>598</v>
      </c>
      <c r="C46" s="8">
        <v>620</v>
      </c>
      <c r="D46" s="8">
        <v>620</v>
      </c>
      <c r="E46" s="8"/>
      <c r="F46" s="636"/>
      <c r="G46" s="858"/>
    </row>
    <row r="47" spans="1:7" s="18" customFormat="1" ht="14.25" customHeight="1">
      <c r="A47" s="7" t="s">
        <v>779</v>
      </c>
      <c r="B47" s="8">
        <v>700</v>
      </c>
      <c r="C47" s="8">
        <v>1009</v>
      </c>
      <c r="D47" s="8">
        <v>1009</v>
      </c>
      <c r="E47" s="8"/>
      <c r="F47" s="636"/>
      <c r="G47" s="858"/>
    </row>
    <row r="48" spans="1:7" s="11" customFormat="1" ht="14.25" customHeight="1">
      <c r="A48" s="9" t="s">
        <v>797</v>
      </c>
      <c r="B48" s="10">
        <f>SUM(B45:B47)</f>
        <v>1463</v>
      </c>
      <c r="C48" s="10">
        <f>SUM(C45:C47)</f>
        <v>1794</v>
      </c>
      <c r="D48" s="10">
        <f>SUM(D45:D47)</f>
        <v>1794</v>
      </c>
      <c r="E48" s="10">
        <f>SUM(E47)</f>
        <v>0</v>
      </c>
      <c r="F48" s="637">
        <f>SUM(F47)</f>
        <v>0</v>
      </c>
      <c r="G48" s="885">
        <f>SUM(G47)</f>
        <v>0</v>
      </c>
    </row>
    <row r="49" spans="1:7" ht="14.25" customHeight="1">
      <c r="A49" s="7"/>
      <c r="B49" s="8"/>
      <c r="C49" s="8"/>
      <c r="D49" s="8"/>
      <c r="E49" s="8"/>
      <c r="F49" s="636"/>
      <c r="G49" s="858"/>
    </row>
    <row r="50" spans="1:7" s="11" customFormat="1" ht="14.25" customHeight="1">
      <c r="A50" s="9" t="s">
        <v>794</v>
      </c>
      <c r="B50" s="10"/>
      <c r="C50" s="10"/>
      <c r="D50" s="10"/>
      <c r="E50" s="10"/>
      <c r="F50" s="637"/>
      <c r="G50" s="860"/>
    </row>
    <row r="51" spans="1:7" s="18" customFormat="1" ht="14.25" customHeight="1">
      <c r="A51" s="7" t="s">
        <v>800</v>
      </c>
      <c r="B51" s="8">
        <v>142</v>
      </c>
      <c r="C51" s="8">
        <v>77</v>
      </c>
      <c r="D51" s="8">
        <v>77</v>
      </c>
      <c r="E51" s="8"/>
      <c r="F51" s="636"/>
      <c r="G51" s="858"/>
    </row>
    <row r="52" spans="1:7" s="18" customFormat="1" ht="14.25" customHeight="1">
      <c r="A52" s="7" t="s">
        <v>780</v>
      </c>
      <c r="B52" s="8">
        <v>124</v>
      </c>
      <c r="C52" s="8">
        <v>282</v>
      </c>
      <c r="D52" s="8">
        <v>282</v>
      </c>
      <c r="E52" s="8"/>
      <c r="F52" s="636"/>
      <c r="G52" s="858"/>
    </row>
    <row r="53" spans="1:7" s="18" customFormat="1" ht="14.25" customHeight="1">
      <c r="A53" s="7" t="s">
        <v>779</v>
      </c>
      <c r="B53" s="8">
        <v>434</v>
      </c>
      <c r="C53" s="8">
        <v>646</v>
      </c>
      <c r="D53" s="8">
        <v>646</v>
      </c>
      <c r="E53" s="8"/>
      <c r="F53" s="636"/>
      <c r="G53" s="858"/>
    </row>
    <row r="54" spans="1:7" s="11" customFormat="1" ht="14.25" customHeight="1">
      <c r="A54" s="9" t="s">
        <v>795</v>
      </c>
      <c r="B54" s="10">
        <f>SUM(B51:B53)</f>
        <v>700</v>
      </c>
      <c r="C54" s="10">
        <f>SUM(C51:C53)</f>
        <v>1005</v>
      </c>
      <c r="D54" s="10">
        <f>SUM(D51:D53)</f>
        <v>1005</v>
      </c>
      <c r="E54" s="10">
        <f>SUM(E53)</f>
        <v>0</v>
      </c>
      <c r="F54" s="637">
        <f>SUM(F53)</f>
        <v>0</v>
      </c>
      <c r="G54" s="885">
        <f>SUM(G53)</f>
        <v>0</v>
      </c>
    </row>
    <row r="55" spans="1:7" ht="14.25" customHeight="1">
      <c r="A55" s="7"/>
      <c r="B55" s="8"/>
      <c r="C55" s="8"/>
      <c r="D55" s="8"/>
      <c r="E55" s="8"/>
      <c r="F55" s="636"/>
      <c r="G55" s="858"/>
    </row>
    <row r="56" spans="1:7" s="11" customFormat="1" ht="14.25" customHeight="1">
      <c r="A56" s="9" t="s">
        <v>798</v>
      </c>
      <c r="B56" s="10"/>
      <c r="C56" s="10"/>
      <c r="D56" s="10"/>
      <c r="E56" s="10"/>
      <c r="F56" s="637"/>
      <c r="G56" s="860"/>
    </row>
    <row r="57" spans="1:7" s="18" customFormat="1" ht="14.25" customHeight="1">
      <c r="A57" s="7" t="s">
        <v>791</v>
      </c>
      <c r="B57" s="8">
        <v>200</v>
      </c>
      <c r="C57" s="8">
        <v>200</v>
      </c>
      <c r="D57" s="8">
        <v>0</v>
      </c>
      <c r="E57" s="8"/>
      <c r="F57" s="636"/>
      <c r="G57" s="858"/>
    </row>
    <row r="58" spans="1:7" s="18" customFormat="1" ht="14.25" customHeight="1">
      <c r="A58" s="7" t="s">
        <v>780</v>
      </c>
      <c r="B58" s="8">
        <v>28</v>
      </c>
      <c r="C58" s="8">
        <v>28</v>
      </c>
      <c r="D58" s="8">
        <v>0</v>
      </c>
      <c r="E58" s="8"/>
      <c r="F58" s="637"/>
      <c r="G58" s="858"/>
    </row>
    <row r="59" spans="1:7" s="18" customFormat="1" ht="14.25" customHeight="1">
      <c r="A59" s="7" t="s">
        <v>779</v>
      </c>
      <c r="B59" s="8">
        <v>274</v>
      </c>
      <c r="C59" s="8">
        <v>274</v>
      </c>
      <c r="D59" s="8">
        <v>68</v>
      </c>
      <c r="E59" s="8"/>
      <c r="F59" s="640"/>
      <c r="G59" s="858"/>
    </row>
    <row r="60" spans="1:7" s="11" customFormat="1" ht="14.25" customHeight="1">
      <c r="A60" s="9" t="s">
        <v>799</v>
      </c>
      <c r="B60" s="10">
        <f>SUM(B57:B59)</f>
        <v>502</v>
      </c>
      <c r="C60" s="10">
        <f>SUM(C57:C59)</f>
        <v>502</v>
      </c>
      <c r="D60" s="10">
        <f>SUM(D57:D59)</f>
        <v>68</v>
      </c>
      <c r="E60" s="10">
        <f>SUM(E58)</f>
        <v>0</v>
      </c>
      <c r="F60" s="637">
        <f>SUM(F58)</f>
        <v>0</v>
      </c>
      <c r="G60" s="885">
        <f>SUM(G58)</f>
        <v>0</v>
      </c>
    </row>
    <row r="61" spans="1:7" ht="14.25" customHeight="1">
      <c r="A61" s="7"/>
      <c r="B61" s="8"/>
      <c r="C61" s="8"/>
      <c r="D61" s="8"/>
      <c r="E61" s="8"/>
      <c r="F61" s="636"/>
      <c r="G61" s="858"/>
    </row>
    <row r="62" spans="1:7" ht="14.25" customHeight="1" thickBot="1">
      <c r="A62" s="14" t="s">
        <v>783</v>
      </c>
      <c r="B62" s="15">
        <f aca="true" t="shared" si="3" ref="B62:G62">SUM(B42,B48,B54,B60)</f>
        <v>16777</v>
      </c>
      <c r="C62" s="15">
        <f t="shared" si="3"/>
        <v>24620</v>
      </c>
      <c r="D62" s="15">
        <f>SUM(D42,D48,D54,D60)</f>
        <v>29817</v>
      </c>
      <c r="E62" s="15">
        <f t="shared" si="3"/>
        <v>0</v>
      </c>
      <c r="F62" s="641">
        <f t="shared" si="3"/>
        <v>0</v>
      </c>
      <c r="G62" s="886">
        <f t="shared" si="3"/>
        <v>0</v>
      </c>
    </row>
    <row r="63" spans="1:6" ht="13.5" thickBot="1">
      <c r="A63" s="568"/>
      <c r="B63" s="569"/>
      <c r="C63" s="569"/>
      <c r="D63" s="569"/>
      <c r="E63" s="569"/>
      <c r="F63" s="570"/>
    </row>
  </sheetData>
  <sheetProtection/>
  <mergeCells count="4">
    <mergeCell ref="A1:E1"/>
    <mergeCell ref="A31:E31"/>
    <mergeCell ref="A2:E2"/>
    <mergeCell ref="A30:E30"/>
  </mergeCells>
  <printOptions horizontalCentered="1"/>
  <pageMargins left="0.7874015748031497" right="0.7874015748031497" top="0.5905511811023623" bottom="0.8661417322834646" header="0.35433070866141736" footer="0.1968503937007874"/>
  <pageSetup fitToWidth="0" fitToHeight="1" horizontalDpi="600" verticalDpi="600" orientation="portrait" paperSize="9" scale="74" r:id="rId1"/>
  <headerFooter alignWithMargins="0">
    <oddHeader>&amp;L10. melléklet a21/2015.(X.2.)  önkormányzati rendelethez
10. melléklet az 1/2015.(I.30.)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view="pageBreakPreview" zoomScaleSheetLayoutView="100" workbookViewId="0" topLeftCell="B52">
      <selection activeCell="B75" sqref="B75"/>
    </sheetView>
  </sheetViews>
  <sheetFormatPr defaultColWidth="9.00390625" defaultRowHeight="12.75"/>
  <cols>
    <col min="1" max="1" width="0" style="178" hidden="1" customWidth="1"/>
    <col min="2" max="2" width="91.00390625" style="29" customWidth="1"/>
    <col min="3" max="3" width="12.25390625" style="20" customWidth="1"/>
    <col min="4" max="4" width="11.625" style="19" customWidth="1"/>
    <col min="5" max="5" width="11.125" style="788" customWidth="1"/>
    <col min="6" max="16384" width="9.125" style="19" customWidth="1"/>
  </cols>
  <sheetData>
    <row r="1" spans="2:3" ht="12.75">
      <c r="B1" s="32"/>
      <c r="C1" s="24"/>
    </row>
    <row r="2" spans="2:3" ht="32.25" customHeight="1">
      <c r="B2" s="1150" t="s">
        <v>30</v>
      </c>
      <c r="C2" s="1150"/>
    </row>
    <row r="3" spans="2:3" ht="15.75">
      <c r="B3" s="1149" t="s">
        <v>16</v>
      </c>
      <c r="C3" s="1149"/>
    </row>
    <row r="4" spans="2:3" ht="13.5" thickBot="1">
      <c r="B4" s="303"/>
      <c r="C4" s="27"/>
    </row>
    <row r="5" spans="1:5" ht="13.5" customHeight="1">
      <c r="A5" s="180" t="s">
        <v>40</v>
      </c>
      <c r="B5" s="30" t="s">
        <v>776</v>
      </c>
      <c r="C5" s="302" t="s">
        <v>4</v>
      </c>
      <c r="D5" s="642" t="s">
        <v>816</v>
      </c>
      <c r="E5" s="789" t="s">
        <v>895</v>
      </c>
    </row>
    <row r="6" spans="2:5" ht="12.75">
      <c r="B6" s="22"/>
      <c r="C6" s="299"/>
      <c r="D6" s="643"/>
      <c r="E6" s="790"/>
    </row>
    <row r="7" spans="2:5" ht="12.75">
      <c r="B7" s="26" t="s">
        <v>153</v>
      </c>
      <c r="C7" s="300"/>
      <c r="D7" s="644"/>
      <c r="E7" s="790"/>
    </row>
    <row r="8" spans="2:5" ht="12.75">
      <c r="B8" s="22"/>
      <c r="C8" s="299"/>
      <c r="D8" s="644"/>
      <c r="E8" s="790"/>
    </row>
    <row r="9" spans="1:5" s="25" customFormat="1" ht="12.75">
      <c r="A9" s="183"/>
      <c r="B9" s="26" t="s">
        <v>160</v>
      </c>
      <c r="C9" s="300">
        <f>SUM(C10:C13)</f>
        <v>327805</v>
      </c>
      <c r="D9" s="645">
        <f>SUM(D10:D16)</f>
        <v>336584</v>
      </c>
      <c r="E9" s="800">
        <f>SUM(E10:E16)</f>
        <v>353038</v>
      </c>
    </row>
    <row r="10" spans="1:5" ht="12.75">
      <c r="A10" s="180" t="s">
        <v>17</v>
      </c>
      <c r="B10" s="22" t="s">
        <v>177</v>
      </c>
      <c r="C10" s="299">
        <v>321405</v>
      </c>
      <c r="D10" s="644">
        <v>327184</v>
      </c>
      <c r="E10" s="790">
        <v>341638</v>
      </c>
    </row>
    <row r="11" spans="1:5" ht="12.75">
      <c r="A11" s="180" t="s">
        <v>105</v>
      </c>
      <c r="B11" s="22" t="s">
        <v>156</v>
      </c>
      <c r="C11" s="299">
        <v>2400</v>
      </c>
      <c r="D11" s="644">
        <v>2400</v>
      </c>
      <c r="E11" s="790">
        <v>2400</v>
      </c>
    </row>
    <row r="12" spans="1:5" ht="12.75">
      <c r="A12" s="180" t="s">
        <v>107</v>
      </c>
      <c r="B12" s="22" t="s">
        <v>581</v>
      </c>
      <c r="C12" s="299">
        <v>4000</v>
      </c>
      <c r="D12" s="644">
        <v>4000</v>
      </c>
      <c r="E12" s="790">
        <v>4000</v>
      </c>
    </row>
    <row r="13" spans="2:5" ht="12.75">
      <c r="B13" s="22" t="s">
        <v>180</v>
      </c>
      <c r="C13" s="299"/>
      <c r="D13" s="644">
        <v>100</v>
      </c>
      <c r="E13" s="790">
        <v>100</v>
      </c>
    </row>
    <row r="14" spans="2:5" ht="12.75">
      <c r="B14" s="22" t="s">
        <v>587</v>
      </c>
      <c r="C14" s="299"/>
      <c r="D14" s="644">
        <v>600</v>
      </c>
      <c r="E14" s="790">
        <v>600</v>
      </c>
    </row>
    <row r="15" spans="2:5" ht="12.75">
      <c r="B15" s="22" t="s">
        <v>129</v>
      </c>
      <c r="C15" s="299"/>
      <c r="D15" s="644">
        <v>300</v>
      </c>
      <c r="E15" s="790">
        <v>300</v>
      </c>
    </row>
    <row r="16" spans="2:5" ht="12.75">
      <c r="B16" s="22" t="s">
        <v>325</v>
      </c>
      <c r="C16" s="299"/>
      <c r="D16" s="644">
        <v>2000</v>
      </c>
      <c r="E16" s="790">
        <v>4000</v>
      </c>
    </row>
    <row r="17" spans="2:5" ht="12.75">
      <c r="B17" s="22"/>
      <c r="C17" s="299"/>
      <c r="D17" s="644"/>
      <c r="E17" s="790"/>
    </row>
    <row r="18" spans="1:5" s="25" customFormat="1" ht="12.75">
      <c r="A18" s="183"/>
      <c r="B18" s="26" t="s">
        <v>162</v>
      </c>
      <c r="C18" s="300">
        <f>SUM(C19:C58)</f>
        <v>540123</v>
      </c>
      <c r="D18" s="645">
        <f>SUM(D19:D65)</f>
        <v>754110</v>
      </c>
      <c r="E18" s="800">
        <f>SUM(E19:E70)</f>
        <v>750165</v>
      </c>
    </row>
    <row r="19" spans="1:5" ht="12.75">
      <c r="A19" s="180" t="s">
        <v>103</v>
      </c>
      <c r="B19" s="22" t="s">
        <v>172</v>
      </c>
      <c r="C19" s="299">
        <v>15000</v>
      </c>
      <c r="D19" s="644">
        <v>15000</v>
      </c>
      <c r="E19" s="790">
        <v>15000</v>
      </c>
    </row>
    <row r="20" spans="1:5" ht="12.75">
      <c r="A20" s="180" t="s">
        <v>103</v>
      </c>
      <c r="B20" s="22" t="s">
        <v>173</v>
      </c>
      <c r="C20" s="299">
        <v>7000</v>
      </c>
      <c r="D20" s="644">
        <v>7000</v>
      </c>
      <c r="E20" s="790">
        <v>7000</v>
      </c>
    </row>
    <row r="21" spans="1:5" ht="12.75">
      <c r="A21" s="180" t="s">
        <v>150</v>
      </c>
      <c r="B21" s="22" t="s">
        <v>333</v>
      </c>
      <c r="C21" s="299">
        <v>142382</v>
      </c>
      <c r="D21" s="644">
        <v>351832</v>
      </c>
      <c r="E21" s="790">
        <v>351832</v>
      </c>
    </row>
    <row r="22" spans="1:5" ht="12.75">
      <c r="A22" s="180" t="s">
        <v>108</v>
      </c>
      <c r="B22" s="22" t="s">
        <v>130</v>
      </c>
      <c r="C22" s="299">
        <v>113745</v>
      </c>
      <c r="D22" s="644">
        <v>121932</v>
      </c>
      <c r="E22" s="790">
        <v>121932</v>
      </c>
    </row>
    <row r="23" spans="1:5" ht="12.75">
      <c r="A23" s="180" t="s">
        <v>103</v>
      </c>
      <c r="B23" s="22" t="s">
        <v>326</v>
      </c>
      <c r="C23" s="299">
        <v>20000</v>
      </c>
      <c r="D23" s="644">
        <v>20000</v>
      </c>
      <c r="E23" s="790">
        <v>10000</v>
      </c>
    </row>
    <row r="24" spans="1:5" ht="12.75">
      <c r="A24" s="180" t="s">
        <v>103</v>
      </c>
      <c r="B24" s="22" t="s">
        <v>328</v>
      </c>
      <c r="C24" s="299">
        <v>64000</v>
      </c>
      <c r="D24" s="644">
        <v>64000</v>
      </c>
      <c r="E24" s="790">
        <v>64600</v>
      </c>
    </row>
    <row r="25" spans="1:5" ht="12.75">
      <c r="A25" s="180" t="s">
        <v>103</v>
      </c>
      <c r="B25" s="22" t="s">
        <v>332</v>
      </c>
      <c r="C25" s="299">
        <v>45000</v>
      </c>
      <c r="D25" s="644">
        <v>45000</v>
      </c>
      <c r="E25" s="790">
        <v>45000</v>
      </c>
    </row>
    <row r="26" spans="1:5" ht="12.75">
      <c r="A26" s="180" t="s">
        <v>103</v>
      </c>
      <c r="B26" s="22" t="s">
        <v>174</v>
      </c>
      <c r="C26" s="299">
        <v>3000</v>
      </c>
      <c r="D26" s="644">
        <v>2500</v>
      </c>
      <c r="E26" s="790">
        <v>2500</v>
      </c>
    </row>
    <row r="27" spans="1:5" ht="12.75">
      <c r="A27" s="180" t="s">
        <v>103</v>
      </c>
      <c r="B27" s="22" t="s">
        <v>180</v>
      </c>
      <c r="C27" s="299">
        <v>5000</v>
      </c>
      <c r="D27" s="644">
        <v>3900</v>
      </c>
      <c r="E27" s="790">
        <v>3900</v>
      </c>
    </row>
    <row r="28" spans="1:5" ht="12.75">
      <c r="A28" s="180" t="s">
        <v>103</v>
      </c>
      <c r="B28" s="22" t="s">
        <v>582</v>
      </c>
      <c r="C28" s="299">
        <v>4000</v>
      </c>
      <c r="D28" s="644">
        <v>4000</v>
      </c>
      <c r="E28" s="790">
        <v>3060</v>
      </c>
    </row>
    <row r="29" spans="1:5" ht="12.75">
      <c r="A29" s="180" t="s">
        <v>103</v>
      </c>
      <c r="B29" s="22" t="s">
        <v>175</v>
      </c>
      <c r="C29" s="299">
        <v>1000</v>
      </c>
      <c r="D29" s="644">
        <v>1000</v>
      </c>
      <c r="E29" s="790">
        <v>1000</v>
      </c>
    </row>
    <row r="30" spans="1:5" ht="12.75">
      <c r="A30" s="180" t="s">
        <v>103</v>
      </c>
      <c r="B30" s="22" t="s">
        <v>176</v>
      </c>
      <c r="C30" s="299">
        <v>847</v>
      </c>
      <c r="D30" s="644">
        <v>847</v>
      </c>
      <c r="E30" s="790">
        <v>847</v>
      </c>
    </row>
    <row r="31" spans="1:5" ht="12.75">
      <c r="A31" s="180" t="s">
        <v>106</v>
      </c>
      <c r="B31" s="22" t="s">
        <v>583</v>
      </c>
      <c r="C31" s="299">
        <v>5740</v>
      </c>
      <c r="D31" s="644">
        <v>5740</v>
      </c>
      <c r="E31" s="790">
        <v>5740</v>
      </c>
    </row>
    <row r="32" spans="1:5" ht="12.75">
      <c r="A32" s="180" t="s">
        <v>103</v>
      </c>
      <c r="B32" s="22" t="s">
        <v>178</v>
      </c>
      <c r="C32" s="299">
        <v>5500</v>
      </c>
      <c r="D32" s="644">
        <v>5500</v>
      </c>
      <c r="E32" s="790">
        <v>5500</v>
      </c>
    </row>
    <row r="33" spans="1:5" ht="12.75">
      <c r="A33" s="180" t="s">
        <v>103</v>
      </c>
      <c r="B33" s="22" t="s">
        <v>179</v>
      </c>
      <c r="C33" s="299">
        <v>1000</v>
      </c>
      <c r="D33" s="644">
        <v>1000</v>
      </c>
      <c r="E33" s="790">
        <v>1000</v>
      </c>
    </row>
    <row r="34" spans="1:5" ht="12.75">
      <c r="A34" s="180" t="s">
        <v>103</v>
      </c>
      <c r="B34" s="22" t="s">
        <v>181</v>
      </c>
      <c r="C34" s="299">
        <v>300</v>
      </c>
      <c r="D34" s="644">
        <v>300</v>
      </c>
      <c r="E34" s="790">
        <v>300</v>
      </c>
    </row>
    <row r="35" spans="1:5" ht="12.75">
      <c r="A35" s="180" t="s">
        <v>103</v>
      </c>
      <c r="B35" s="22" t="s">
        <v>182</v>
      </c>
      <c r="C35" s="299">
        <v>200</v>
      </c>
      <c r="D35" s="644">
        <v>200</v>
      </c>
      <c r="E35" s="790">
        <v>200</v>
      </c>
    </row>
    <row r="36" spans="1:5" ht="12.75">
      <c r="A36" s="180" t="s">
        <v>103</v>
      </c>
      <c r="B36" s="22" t="s">
        <v>183</v>
      </c>
      <c r="C36" s="299">
        <v>500</v>
      </c>
      <c r="D36" s="644">
        <v>500</v>
      </c>
      <c r="E36" s="790">
        <v>500</v>
      </c>
    </row>
    <row r="37" spans="1:5" ht="12.75">
      <c r="A37" s="180" t="s">
        <v>103</v>
      </c>
      <c r="B37" s="22" t="s">
        <v>318</v>
      </c>
      <c r="C37" s="299">
        <v>1000</v>
      </c>
      <c r="D37" s="644">
        <v>1000</v>
      </c>
      <c r="E37" s="790">
        <v>4500</v>
      </c>
    </row>
    <row r="38" spans="1:5" ht="12.75">
      <c r="A38" s="180" t="s">
        <v>103</v>
      </c>
      <c r="B38" s="22" t="s">
        <v>584</v>
      </c>
      <c r="C38" s="299">
        <v>1000</v>
      </c>
      <c r="D38" s="644">
        <v>1000</v>
      </c>
      <c r="E38" s="790">
        <v>1000</v>
      </c>
    </row>
    <row r="39" spans="1:5" ht="12.75">
      <c r="A39" s="180" t="s">
        <v>103</v>
      </c>
      <c r="B39" s="22" t="s">
        <v>320</v>
      </c>
      <c r="C39" s="299">
        <v>300</v>
      </c>
      <c r="D39" s="644">
        <v>300</v>
      </c>
      <c r="E39" s="790">
        <v>300</v>
      </c>
    </row>
    <row r="40" spans="1:5" ht="12.75">
      <c r="A40" s="180" t="s">
        <v>103</v>
      </c>
      <c r="B40" s="22" t="s">
        <v>319</v>
      </c>
      <c r="C40" s="299">
        <v>300</v>
      </c>
      <c r="D40" s="644">
        <v>300</v>
      </c>
      <c r="E40" s="790">
        <v>300</v>
      </c>
    </row>
    <row r="41" spans="1:5" ht="12.75">
      <c r="A41" s="180" t="s">
        <v>103</v>
      </c>
      <c r="B41" s="22" t="s">
        <v>811</v>
      </c>
      <c r="C41" s="299">
        <v>1000</v>
      </c>
      <c r="D41" s="644">
        <v>1000</v>
      </c>
      <c r="E41" s="790">
        <v>1000</v>
      </c>
    </row>
    <row r="42" spans="1:5" ht="12.75">
      <c r="A42" s="180" t="s">
        <v>103</v>
      </c>
      <c r="B42" s="22" t="s">
        <v>321</v>
      </c>
      <c r="C42" s="299">
        <v>1973</v>
      </c>
      <c r="D42" s="644">
        <v>1973</v>
      </c>
      <c r="E42" s="790">
        <v>1973</v>
      </c>
    </row>
    <row r="43" spans="1:5" ht="12.75">
      <c r="A43" s="180" t="s">
        <v>103</v>
      </c>
      <c r="B43" s="22" t="s">
        <v>323</v>
      </c>
      <c r="C43" s="299">
        <v>660</v>
      </c>
      <c r="D43" s="644">
        <v>660</v>
      </c>
      <c r="E43" s="790">
        <v>660</v>
      </c>
    </row>
    <row r="44" spans="1:5" ht="12.75">
      <c r="A44" s="180" t="s">
        <v>324</v>
      </c>
      <c r="B44" s="22" t="s">
        <v>325</v>
      </c>
      <c r="C44" s="299">
        <v>2000</v>
      </c>
      <c r="D44" s="644">
        <v>0</v>
      </c>
      <c r="E44" s="790">
        <v>0</v>
      </c>
    </row>
    <row r="45" spans="1:5" ht="12.75">
      <c r="A45" s="180" t="s">
        <v>103</v>
      </c>
      <c r="B45" s="22" t="s">
        <v>327</v>
      </c>
      <c r="C45" s="299">
        <v>300</v>
      </c>
      <c r="D45" s="644">
        <v>300</v>
      </c>
      <c r="E45" s="790">
        <v>300</v>
      </c>
    </row>
    <row r="46" spans="1:5" ht="12.75" customHeight="1">
      <c r="A46" s="180" t="s">
        <v>106</v>
      </c>
      <c r="B46" s="22" t="s">
        <v>626</v>
      </c>
      <c r="C46" s="299">
        <v>4500</v>
      </c>
      <c r="D46" s="644">
        <v>4500</v>
      </c>
      <c r="E46" s="790">
        <v>4500</v>
      </c>
    </row>
    <row r="47" spans="1:5" ht="25.5">
      <c r="A47" s="180" t="s">
        <v>106</v>
      </c>
      <c r="B47" s="22" t="s">
        <v>627</v>
      </c>
      <c r="C47" s="299">
        <v>39726</v>
      </c>
      <c r="D47" s="644">
        <v>39726</v>
      </c>
      <c r="E47" s="790">
        <v>39726</v>
      </c>
    </row>
    <row r="48" spans="1:5" ht="12.75">
      <c r="A48" s="180" t="s">
        <v>17</v>
      </c>
      <c r="B48" s="22" t="s">
        <v>628</v>
      </c>
      <c r="C48" s="299">
        <v>29000</v>
      </c>
      <c r="D48" s="644">
        <v>29000</v>
      </c>
      <c r="E48" s="790">
        <v>29000</v>
      </c>
    </row>
    <row r="49" spans="1:5" ht="12.75">
      <c r="A49" s="180" t="s">
        <v>106</v>
      </c>
      <c r="B49" s="22" t="s">
        <v>331</v>
      </c>
      <c r="C49" s="299">
        <v>1000</v>
      </c>
      <c r="D49" s="644">
        <v>1000</v>
      </c>
      <c r="E49" s="790">
        <v>1000</v>
      </c>
    </row>
    <row r="50" spans="1:5" ht="12.75">
      <c r="A50" s="180" t="s">
        <v>103</v>
      </c>
      <c r="B50" s="22" t="s">
        <v>670</v>
      </c>
      <c r="C50" s="299">
        <v>3000</v>
      </c>
      <c r="D50" s="644">
        <v>3000</v>
      </c>
      <c r="E50" s="790">
        <v>3000</v>
      </c>
    </row>
    <row r="51" spans="1:5" ht="12.75">
      <c r="A51" s="180" t="s">
        <v>103</v>
      </c>
      <c r="B51" s="22" t="s">
        <v>671</v>
      </c>
      <c r="C51" s="299">
        <v>2500</v>
      </c>
      <c r="D51" s="644">
        <v>2500</v>
      </c>
      <c r="E51" s="790">
        <v>2500</v>
      </c>
    </row>
    <row r="52" spans="1:5" ht="12.75">
      <c r="A52" s="180" t="s">
        <v>103</v>
      </c>
      <c r="B52" s="22" t="s">
        <v>672</v>
      </c>
      <c r="C52" s="299">
        <v>500</v>
      </c>
      <c r="D52" s="644">
        <v>500</v>
      </c>
      <c r="E52" s="790">
        <v>500</v>
      </c>
    </row>
    <row r="53" spans="1:5" ht="12.75">
      <c r="A53" s="180" t="s">
        <v>103</v>
      </c>
      <c r="B53" s="22" t="s">
        <v>129</v>
      </c>
      <c r="C53" s="299">
        <v>300</v>
      </c>
      <c r="D53" s="644">
        <v>0</v>
      </c>
      <c r="E53" s="790">
        <v>0</v>
      </c>
    </row>
    <row r="54" spans="1:5" ht="25.5">
      <c r="A54" s="180" t="s">
        <v>103</v>
      </c>
      <c r="B54" s="22" t="s">
        <v>630</v>
      </c>
      <c r="C54" s="299">
        <v>15000</v>
      </c>
      <c r="D54" s="644">
        <v>15000</v>
      </c>
      <c r="E54" s="790">
        <v>15000</v>
      </c>
    </row>
    <row r="55" spans="1:5" ht="12.75">
      <c r="A55" s="180" t="s">
        <v>103</v>
      </c>
      <c r="B55" s="22" t="s">
        <v>585</v>
      </c>
      <c r="C55" s="299">
        <v>150</v>
      </c>
      <c r="D55" s="644">
        <v>150</v>
      </c>
      <c r="E55" s="790">
        <v>150</v>
      </c>
    </row>
    <row r="56" spans="1:5" ht="12.75">
      <c r="A56" s="180" t="s">
        <v>103</v>
      </c>
      <c r="B56" s="22" t="s">
        <v>104</v>
      </c>
      <c r="C56" s="299">
        <v>600</v>
      </c>
      <c r="D56" s="644">
        <v>600</v>
      </c>
      <c r="E56" s="790">
        <v>600</v>
      </c>
    </row>
    <row r="57" spans="1:5" ht="12.75">
      <c r="A57" s="180" t="s">
        <v>107</v>
      </c>
      <c r="B57" s="22" t="s">
        <v>586</v>
      </c>
      <c r="C57" s="299">
        <v>500</v>
      </c>
      <c r="D57" s="644">
        <v>500</v>
      </c>
      <c r="E57" s="790">
        <v>500</v>
      </c>
    </row>
    <row r="58" spans="1:5" ht="12.75">
      <c r="A58" s="180" t="s">
        <v>107</v>
      </c>
      <c r="B58" s="22" t="s">
        <v>587</v>
      </c>
      <c r="C58" s="299">
        <v>600</v>
      </c>
      <c r="D58" s="644">
        <v>0</v>
      </c>
      <c r="E58" s="790">
        <v>0</v>
      </c>
    </row>
    <row r="59" spans="1:5" ht="12.75">
      <c r="A59" s="180"/>
      <c r="B59" s="22" t="s">
        <v>846</v>
      </c>
      <c r="C59" s="299"/>
      <c r="D59" s="644">
        <v>500</v>
      </c>
      <c r="E59" s="790">
        <v>500</v>
      </c>
    </row>
    <row r="60" spans="1:5" ht="12.75">
      <c r="A60" s="180"/>
      <c r="B60" s="22" t="s">
        <v>902</v>
      </c>
      <c r="C60" s="299"/>
      <c r="D60" s="644"/>
      <c r="E60" s="790">
        <v>100</v>
      </c>
    </row>
    <row r="61" spans="1:5" ht="12.75">
      <c r="A61" s="180"/>
      <c r="B61" s="22" t="s">
        <v>903</v>
      </c>
      <c r="C61" s="299"/>
      <c r="D61" s="644"/>
      <c r="E61" s="790">
        <v>500</v>
      </c>
    </row>
    <row r="62" spans="1:5" ht="12.75">
      <c r="A62" s="180"/>
      <c r="B62" s="22" t="s">
        <v>904</v>
      </c>
      <c r="C62" s="299"/>
      <c r="D62" s="644"/>
      <c r="E62" s="790">
        <v>500</v>
      </c>
    </row>
    <row r="63" spans="1:5" ht="12.75">
      <c r="A63" s="180"/>
      <c r="B63" s="22" t="s">
        <v>802</v>
      </c>
      <c r="C63" s="299"/>
      <c r="D63" s="644"/>
      <c r="E63" s="790"/>
    </row>
    <row r="64" spans="1:5" ht="12.75">
      <c r="A64" s="180"/>
      <c r="B64" s="1007" t="s">
        <v>1007</v>
      </c>
      <c r="C64" s="299"/>
      <c r="D64" s="644">
        <v>200</v>
      </c>
      <c r="E64" s="790">
        <v>1000</v>
      </c>
    </row>
    <row r="65" spans="1:5" ht="12.75">
      <c r="A65" s="180"/>
      <c r="B65" s="1007" t="s">
        <v>1008</v>
      </c>
      <c r="C65" s="299"/>
      <c r="D65" s="644">
        <v>150</v>
      </c>
      <c r="E65" s="790">
        <v>150</v>
      </c>
    </row>
    <row r="66" spans="1:5" ht="12.75">
      <c r="A66" s="180"/>
      <c r="B66" s="1007" t="s">
        <v>1009</v>
      </c>
      <c r="C66" s="299"/>
      <c r="D66" s="644"/>
      <c r="E66" s="790">
        <v>100</v>
      </c>
    </row>
    <row r="67" spans="1:5" ht="12.75">
      <c r="A67" s="180"/>
      <c r="B67" s="1007" t="s">
        <v>1010</v>
      </c>
      <c r="C67" s="299"/>
      <c r="D67" s="644"/>
      <c r="E67" s="790">
        <v>500</v>
      </c>
    </row>
    <row r="68" spans="1:5" ht="12.75">
      <c r="A68" s="180"/>
      <c r="B68" s="1007" t="s">
        <v>1011</v>
      </c>
      <c r="C68" s="299"/>
      <c r="D68" s="644"/>
      <c r="E68" s="790">
        <v>50</v>
      </c>
    </row>
    <row r="69" spans="1:5" ht="12.75">
      <c r="A69" s="180"/>
      <c r="B69" s="1007" t="s">
        <v>1012</v>
      </c>
      <c r="C69" s="299"/>
      <c r="D69" s="644"/>
      <c r="E69" s="790">
        <v>45</v>
      </c>
    </row>
    <row r="70" spans="1:5" ht="12.75">
      <c r="A70" s="180"/>
      <c r="B70" s="1007" t="s">
        <v>1013</v>
      </c>
      <c r="C70" s="299"/>
      <c r="D70" s="644"/>
      <c r="E70" s="790">
        <v>300</v>
      </c>
    </row>
    <row r="71" spans="1:5" ht="12.75">
      <c r="A71" s="180"/>
      <c r="B71" s="22"/>
      <c r="C71" s="299"/>
      <c r="D71" s="644"/>
      <c r="E71" s="790"/>
    </row>
    <row r="72" spans="1:5" s="35" customFormat="1" ht="13.5">
      <c r="A72" s="181"/>
      <c r="B72" s="33" t="s">
        <v>163</v>
      </c>
      <c r="C72" s="301">
        <f>SUM(C9,C18)</f>
        <v>867928</v>
      </c>
      <c r="D72" s="646">
        <f>SUM(D9,D18)</f>
        <v>1090694</v>
      </c>
      <c r="E72" s="803">
        <f>SUM(E9,E18)</f>
        <v>1103203</v>
      </c>
    </row>
    <row r="73" spans="2:5" ht="12.75">
      <c r="B73" s="22"/>
      <c r="C73" s="299"/>
      <c r="D73" s="644"/>
      <c r="E73" s="790"/>
    </row>
    <row r="74" spans="2:5" ht="12.75">
      <c r="B74" s="26" t="s">
        <v>159</v>
      </c>
      <c r="C74" s="300">
        <f>SUM(C75:C75)</f>
        <v>11000</v>
      </c>
      <c r="D74" s="645">
        <f>SUM(D75:D75)</f>
        <v>10000</v>
      </c>
      <c r="E74" s="800">
        <f>SUM(E75:E75)</f>
        <v>10000</v>
      </c>
    </row>
    <row r="75" spans="1:5" s="23" customFormat="1" ht="12.75">
      <c r="A75" s="184" t="s">
        <v>17</v>
      </c>
      <c r="B75" s="22" t="s">
        <v>631</v>
      </c>
      <c r="C75" s="299">
        <v>11000</v>
      </c>
      <c r="D75" s="644">
        <v>10000</v>
      </c>
      <c r="E75" s="790">
        <v>10000</v>
      </c>
    </row>
    <row r="76" spans="2:5" ht="12.75">
      <c r="B76" s="22"/>
      <c r="C76" s="299"/>
      <c r="D76" s="644"/>
      <c r="E76" s="790"/>
    </row>
    <row r="77" spans="1:5" s="25" customFormat="1" ht="12.75">
      <c r="A77" s="183"/>
      <c r="B77" s="26" t="s">
        <v>161</v>
      </c>
      <c r="C77" s="300">
        <f>SUM(C78:C80)</f>
        <v>30220</v>
      </c>
      <c r="D77" s="645">
        <f>SUM(D78:D80)</f>
        <v>30220</v>
      </c>
      <c r="E77" s="800">
        <f>SUM(E78:E80)</f>
        <v>30220</v>
      </c>
    </row>
    <row r="78" spans="1:5" ht="12.75">
      <c r="A78" s="180" t="s">
        <v>103</v>
      </c>
      <c r="B78" s="22" t="s">
        <v>322</v>
      </c>
      <c r="C78" s="299">
        <v>2000</v>
      </c>
      <c r="D78" s="644">
        <v>2000</v>
      </c>
      <c r="E78" s="790">
        <v>2000</v>
      </c>
    </row>
    <row r="79" spans="1:5" ht="25.5">
      <c r="A79" s="180" t="s">
        <v>103</v>
      </c>
      <c r="B79" s="22" t="s">
        <v>588</v>
      </c>
      <c r="C79" s="299">
        <v>21720</v>
      </c>
      <c r="D79" s="644">
        <v>21720</v>
      </c>
      <c r="E79" s="790">
        <v>21720</v>
      </c>
    </row>
    <row r="80" spans="1:5" ht="12.75">
      <c r="A80" s="180" t="s">
        <v>49</v>
      </c>
      <c r="B80" s="22" t="s">
        <v>644</v>
      </c>
      <c r="C80" s="299">
        <v>6500</v>
      </c>
      <c r="D80" s="644">
        <v>6500</v>
      </c>
      <c r="E80" s="790">
        <v>6500</v>
      </c>
    </row>
    <row r="81" spans="2:5" ht="12.75">
      <c r="B81" s="22"/>
      <c r="C81" s="299"/>
      <c r="D81" s="644"/>
      <c r="E81" s="790"/>
    </row>
    <row r="82" spans="1:5" s="35" customFormat="1" ht="13.5">
      <c r="A82" s="181"/>
      <c r="B82" s="33" t="s">
        <v>164</v>
      </c>
      <c r="C82" s="301">
        <f>SUM(C77,C74)</f>
        <v>41220</v>
      </c>
      <c r="D82" s="646">
        <f>SUM(D77,D74)</f>
        <v>40220</v>
      </c>
      <c r="E82" s="803">
        <f>SUM(E77,E74)</f>
        <v>40220</v>
      </c>
    </row>
    <row r="83" spans="2:5" ht="12.75">
      <c r="B83" s="22"/>
      <c r="C83" s="299"/>
      <c r="D83" s="644"/>
      <c r="E83" s="790"/>
    </row>
    <row r="84" spans="1:5" s="38" customFormat="1" ht="12.75">
      <c r="A84" s="191"/>
      <c r="B84" s="36" t="s">
        <v>165</v>
      </c>
      <c r="C84" s="308">
        <f>SUM(C72,C82)</f>
        <v>909148</v>
      </c>
      <c r="D84" s="647">
        <f>SUM(D72,D82)</f>
        <v>1130914</v>
      </c>
      <c r="E84" s="802">
        <f>SUM(E72,E82)</f>
        <v>1143423</v>
      </c>
    </row>
    <row r="85" spans="2:5" ht="12.75">
      <c r="B85" s="22"/>
      <c r="C85" s="299"/>
      <c r="D85" s="644"/>
      <c r="E85" s="790"/>
    </row>
    <row r="86" spans="1:5" s="25" customFormat="1" ht="12.75">
      <c r="A86" s="183"/>
      <c r="B86" s="26" t="s">
        <v>166</v>
      </c>
      <c r="C86" s="300">
        <f>SUM(C87:C88)</f>
        <v>14462</v>
      </c>
      <c r="D86" s="645">
        <f>SUM(D87:D88)</f>
        <v>14462</v>
      </c>
      <c r="E86" s="800">
        <f>SUM(E87:E88)</f>
        <v>14462</v>
      </c>
    </row>
    <row r="87" spans="1:5" ht="25.5">
      <c r="A87" s="180" t="s">
        <v>57</v>
      </c>
      <c r="B87" s="22" t="s">
        <v>589</v>
      </c>
      <c r="C87" s="299">
        <v>14462</v>
      </c>
      <c r="D87" s="644">
        <v>14462</v>
      </c>
      <c r="E87" s="790">
        <v>14462</v>
      </c>
    </row>
    <row r="88" spans="2:5" ht="12.75">
      <c r="B88" s="22"/>
      <c r="C88" s="299"/>
      <c r="D88" s="644"/>
      <c r="E88" s="790"/>
    </row>
    <row r="89" spans="1:5" s="25" customFormat="1" ht="12" customHeight="1">
      <c r="A89" s="183"/>
      <c r="B89" s="26" t="s">
        <v>167</v>
      </c>
      <c r="C89" s="300">
        <f>SUM(C90:C99)</f>
        <v>179128</v>
      </c>
      <c r="D89" s="645">
        <f>SUM(D90:D101)</f>
        <v>194754</v>
      </c>
      <c r="E89" s="800">
        <f>SUM(E90:E104)</f>
        <v>218164</v>
      </c>
    </row>
    <row r="90" spans="1:5" ht="12.75">
      <c r="A90" s="180" t="s">
        <v>103</v>
      </c>
      <c r="B90" s="22" t="s">
        <v>590</v>
      </c>
      <c r="C90" s="299">
        <v>5000</v>
      </c>
      <c r="D90" s="644">
        <v>5000</v>
      </c>
      <c r="E90" s="790">
        <v>5000</v>
      </c>
    </row>
    <row r="91" spans="1:5" ht="12.75">
      <c r="A91" s="180" t="s">
        <v>103</v>
      </c>
      <c r="B91" s="22" t="s">
        <v>591</v>
      </c>
      <c r="C91" s="299">
        <v>10000</v>
      </c>
      <c r="D91" s="644">
        <v>10000</v>
      </c>
      <c r="E91" s="790">
        <v>10000</v>
      </c>
    </row>
    <row r="92" spans="1:5" ht="12.75">
      <c r="A92" s="180" t="s">
        <v>103</v>
      </c>
      <c r="B92" s="22" t="s">
        <v>597</v>
      </c>
      <c r="C92" s="299">
        <v>739</v>
      </c>
      <c r="D92" s="644">
        <v>739</v>
      </c>
      <c r="E92" s="790">
        <v>739</v>
      </c>
    </row>
    <row r="93" spans="1:5" ht="12.75">
      <c r="A93" s="180" t="s">
        <v>103</v>
      </c>
      <c r="B93" s="22" t="s">
        <v>329</v>
      </c>
      <c r="C93" s="299">
        <v>2314</v>
      </c>
      <c r="D93" s="644">
        <v>2314</v>
      </c>
      <c r="E93" s="790">
        <v>2314</v>
      </c>
    </row>
    <row r="94" spans="1:5" ht="12.75">
      <c r="A94" s="180" t="s">
        <v>103</v>
      </c>
      <c r="B94" s="22" t="s">
        <v>330</v>
      </c>
      <c r="C94" s="299">
        <v>3500</v>
      </c>
      <c r="D94" s="644">
        <v>3500</v>
      </c>
      <c r="E94" s="790">
        <v>3500</v>
      </c>
    </row>
    <row r="95" spans="1:5" ht="12.75">
      <c r="A95" s="180" t="s">
        <v>103</v>
      </c>
      <c r="B95" s="22" t="s">
        <v>102</v>
      </c>
      <c r="C95" s="299">
        <v>1575</v>
      </c>
      <c r="D95" s="644">
        <v>2000</v>
      </c>
      <c r="E95" s="790">
        <v>2000</v>
      </c>
    </row>
    <row r="96" spans="1:5" ht="12.75">
      <c r="A96" s="180" t="s">
        <v>103</v>
      </c>
      <c r="B96" s="22" t="s">
        <v>598</v>
      </c>
      <c r="C96" s="299">
        <v>1000</v>
      </c>
      <c r="D96" s="644">
        <v>1000</v>
      </c>
      <c r="E96" s="790">
        <v>1000</v>
      </c>
    </row>
    <row r="97" spans="1:5" ht="12.75">
      <c r="A97" s="180" t="s">
        <v>49</v>
      </c>
      <c r="B97" s="22" t="s">
        <v>51</v>
      </c>
      <c r="C97" s="299">
        <v>66000</v>
      </c>
      <c r="D97" s="644">
        <v>78700</v>
      </c>
      <c r="E97" s="790">
        <v>78700</v>
      </c>
    </row>
    <row r="98" spans="1:5" ht="12.75">
      <c r="A98" s="180" t="s">
        <v>49</v>
      </c>
      <c r="B98" s="22" t="s">
        <v>54</v>
      </c>
      <c r="C98" s="299">
        <v>83000</v>
      </c>
      <c r="D98" s="644">
        <v>83000</v>
      </c>
      <c r="E98" s="790">
        <v>83000</v>
      </c>
    </row>
    <row r="99" spans="1:5" ht="12.75">
      <c r="A99" s="180" t="s">
        <v>150</v>
      </c>
      <c r="B99" s="22" t="s">
        <v>869</v>
      </c>
      <c r="C99" s="299">
        <v>6000</v>
      </c>
      <c r="D99" s="644">
        <v>6000</v>
      </c>
      <c r="E99" s="790">
        <v>6000</v>
      </c>
    </row>
    <row r="100" spans="1:5" ht="12.75">
      <c r="A100" s="180"/>
      <c r="B100" s="22" t="s">
        <v>864</v>
      </c>
      <c r="C100" s="299"/>
      <c r="D100" s="644">
        <v>2500</v>
      </c>
      <c r="E100" s="790">
        <v>2500</v>
      </c>
    </row>
    <row r="101" spans="1:5" ht="12.75">
      <c r="A101" s="180"/>
      <c r="B101" s="22" t="s">
        <v>865</v>
      </c>
      <c r="C101" s="299"/>
      <c r="D101" s="644">
        <v>1</v>
      </c>
      <c r="E101" s="790">
        <v>1</v>
      </c>
    </row>
    <row r="102" spans="1:5" ht="12.75">
      <c r="A102" s="180"/>
      <c r="B102" s="22" t="s">
        <v>867</v>
      </c>
      <c r="C102" s="299"/>
      <c r="D102" s="644"/>
      <c r="E102" s="790">
        <v>18916</v>
      </c>
    </row>
    <row r="103" spans="1:5" ht="12.75">
      <c r="A103" s="180"/>
      <c r="B103" s="22" t="s">
        <v>905</v>
      </c>
      <c r="C103" s="299"/>
      <c r="D103" s="644"/>
      <c r="E103" s="790">
        <v>3194</v>
      </c>
    </row>
    <row r="104" spans="1:5" ht="12.75">
      <c r="A104" s="180"/>
      <c r="B104" s="22" t="s">
        <v>328</v>
      </c>
      <c r="C104" s="299"/>
      <c r="D104" s="644"/>
      <c r="E104" s="790">
        <v>1300</v>
      </c>
    </row>
    <row r="105" spans="2:5" ht="12.75">
      <c r="B105" s="22"/>
      <c r="C105" s="299"/>
      <c r="D105" s="644"/>
      <c r="E105" s="790"/>
    </row>
    <row r="106" spans="1:5" s="35" customFormat="1" ht="13.5">
      <c r="A106" s="181"/>
      <c r="B106" s="33" t="s">
        <v>168</v>
      </c>
      <c r="C106" s="301">
        <f>SUM(C86,C89)</f>
        <v>193590</v>
      </c>
      <c r="D106" s="646">
        <f>SUM(D86,D89)</f>
        <v>209216</v>
      </c>
      <c r="E106" s="803">
        <f>SUM(E86,E89)</f>
        <v>232626</v>
      </c>
    </row>
    <row r="107" spans="2:5" ht="12.75">
      <c r="B107" s="22"/>
      <c r="C107" s="299"/>
      <c r="D107" s="644"/>
      <c r="E107" s="790"/>
    </row>
    <row r="108" spans="1:5" s="25" customFormat="1" ht="12.75">
      <c r="A108" s="183"/>
      <c r="B108" s="22"/>
      <c r="C108" s="300"/>
      <c r="D108" s="644"/>
      <c r="E108" s="791"/>
    </row>
    <row r="109" spans="1:5" s="21" customFormat="1" ht="12.75">
      <c r="A109" s="179"/>
      <c r="B109" s="26"/>
      <c r="C109" s="300"/>
      <c r="D109" s="644"/>
      <c r="E109" s="791"/>
    </row>
    <row r="110" spans="1:5" s="21" customFormat="1" ht="12.75">
      <c r="A110" s="179"/>
      <c r="B110" s="26" t="s">
        <v>866</v>
      </c>
      <c r="C110" s="300"/>
      <c r="D110" s="645">
        <f>SUM(D111:D112)</f>
        <v>13150</v>
      </c>
      <c r="E110" s="800">
        <f>SUM(E111:E113)</f>
        <v>28786</v>
      </c>
    </row>
    <row r="111" spans="1:5" s="23" customFormat="1" ht="12.75">
      <c r="A111" s="184"/>
      <c r="B111" s="22" t="s">
        <v>867</v>
      </c>
      <c r="C111" s="299"/>
      <c r="D111" s="644">
        <v>12770</v>
      </c>
      <c r="E111" s="790">
        <v>12770</v>
      </c>
    </row>
    <row r="112" spans="1:5" s="23" customFormat="1" ht="12.75">
      <c r="A112" s="184"/>
      <c r="B112" s="480" t="s">
        <v>868</v>
      </c>
      <c r="C112" s="481"/>
      <c r="D112" s="648">
        <v>380</v>
      </c>
      <c r="E112" s="790">
        <v>380</v>
      </c>
    </row>
    <row r="113" spans="1:5" s="23" customFormat="1" ht="12.75">
      <c r="A113" s="184"/>
      <c r="B113" s="480" t="s">
        <v>906</v>
      </c>
      <c r="C113" s="481"/>
      <c r="D113" s="648"/>
      <c r="E113" s="790">
        <v>15636</v>
      </c>
    </row>
    <row r="114" spans="1:5" s="23" customFormat="1" ht="12.75">
      <c r="A114" s="184"/>
      <c r="B114" s="480"/>
      <c r="C114" s="481"/>
      <c r="D114" s="648"/>
      <c r="E114" s="790"/>
    </row>
    <row r="115" spans="1:5" s="38" customFormat="1" ht="12.75">
      <c r="A115" s="191"/>
      <c r="B115" s="36" t="s">
        <v>170</v>
      </c>
      <c r="C115" s="308">
        <f>SUM(C110)</f>
        <v>0</v>
      </c>
      <c r="D115" s="647">
        <f>SUM(D110)</f>
        <v>13150</v>
      </c>
      <c r="E115" s="802">
        <f>SUM(E110)</f>
        <v>28786</v>
      </c>
    </row>
    <row r="116" spans="1:5" s="38" customFormat="1" ht="12.75">
      <c r="A116" s="191"/>
      <c r="B116" s="36"/>
      <c r="C116" s="482"/>
      <c r="D116" s="649"/>
      <c r="E116" s="792"/>
    </row>
    <row r="117" spans="1:5" s="38" customFormat="1" ht="12.75">
      <c r="A117" s="191"/>
      <c r="B117" s="36" t="s">
        <v>170</v>
      </c>
      <c r="C117" s="483">
        <f>SUM(C106+C110)</f>
        <v>193590</v>
      </c>
      <c r="D117" s="649">
        <f>SUM(D106+D110)</f>
        <v>222366</v>
      </c>
      <c r="E117" s="887">
        <f>SUM(E106+E110)</f>
        <v>261412</v>
      </c>
    </row>
    <row r="118" spans="1:5" s="25" customFormat="1" ht="33.75" customHeight="1" thickBot="1">
      <c r="A118" s="183"/>
      <c r="B118" s="100" t="s">
        <v>358</v>
      </c>
      <c r="C118" s="309">
        <f>SUM(C84,C106)</f>
        <v>1102738</v>
      </c>
      <c r="D118" s="650">
        <f>SUM(D84,D106,D110)</f>
        <v>1353280</v>
      </c>
      <c r="E118" s="801">
        <f>SUM(E84,E106,E110)</f>
        <v>1404835</v>
      </c>
    </row>
    <row r="119" spans="1:5" s="99" customFormat="1" ht="36.75" customHeight="1" thickBot="1">
      <c r="A119" s="192"/>
      <c r="B119" s="166"/>
      <c r="C119" s="167"/>
      <c r="D119" s="438"/>
      <c r="E119" s="793"/>
    </row>
    <row r="120" spans="2:5" ht="15.75" customHeight="1">
      <c r="B120" s="30" t="s">
        <v>171</v>
      </c>
      <c r="C120" s="302" t="s">
        <v>4</v>
      </c>
      <c r="D120" s="642" t="s">
        <v>816</v>
      </c>
      <c r="E120" s="789" t="s">
        <v>895</v>
      </c>
    </row>
    <row r="121" spans="2:5" ht="12.75">
      <c r="B121" s="26" t="s">
        <v>907</v>
      </c>
      <c r="C121" s="299"/>
      <c r="D121" s="644"/>
      <c r="E121" s="791">
        <v>230</v>
      </c>
    </row>
    <row r="122" spans="2:5" ht="12.75">
      <c r="B122" s="22" t="s">
        <v>908</v>
      </c>
      <c r="C122" s="299"/>
      <c r="D122" s="643"/>
      <c r="E122" s="790">
        <v>230</v>
      </c>
    </row>
    <row r="123" spans="2:5" ht="12.75">
      <c r="B123" s="26" t="s">
        <v>169</v>
      </c>
      <c r="C123" s="300">
        <f>SUM(C124:C125)</f>
        <v>1000</v>
      </c>
      <c r="D123" s="645">
        <f>SUM(D124:D125)</f>
        <v>1000</v>
      </c>
      <c r="E123" s="888">
        <f>SUM(E124:E125)</f>
        <v>1000</v>
      </c>
    </row>
    <row r="124" spans="2:5" ht="12.75">
      <c r="B124" s="22" t="s">
        <v>334</v>
      </c>
      <c r="C124" s="299">
        <v>1000</v>
      </c>
      <c r="D124" s="643">
        <v>1000</v>
      </c>
      <c r="E124" s="790">
        <v>1000</v>
      </c>
    </row>
    <row r="125" spans="2:5" ht="12.75">
      <c r="B125" s="22"/>
      <c r="C125" s="299"/>
      <c r="D125" s="643"/>
      <c r="E125" s="790"/>
    </row>
    <row r="126" spans="2:5" ht="12.75">
      <c r="B126" s="22"/>
      <c r="C126" s="299"/>
      <c r="D126" s="643"/>
      <c r="E126" s="790"/>
    </row>
    <row r="127" spans="2:5" ht="30.75" customHeight="1" thickBot="1">
      <c r="B127" s="100" t="s">
        <v>359</v>
      </c>
      <c r="C127" s="309">
        <f>SUM(C123)</f>
        <v>1000</v>
      </c>
      <c r="D127" s="651">
        <f>SUM(D123)</f>
        <v>1000</v>
      </c>
      <c r="E127" s="889">
        <f>SUM(E123+E121)</f>
        <v>1230</v>
      </c>
    </row>
    <row r="128" spans="2:4" ht="30.75" customHeight="1" hidden="1">
      <c r="B128" s="193"/>
      <c r="C128" s="194"/>
      <c r="D128" s="439"/>
    </row>
    <row r="129" spans="1:4" ht="12.75" hidden="1">
      <c r="A129" s="182" t="s">
        <v>109</v>
      </c>
      <c r="D129" s="439"/>
    </row>
    <row r="130" spans="1:2" ht="12.75" hidden="1">
      <c r="A130" s="180" t="s">
        <v>103</v>
      </c>
      <c r="B130" s="31">
        <f aca="true" t="shared" si="0" ref="B130:B138">SUMIF($A$10:$C$80,A130,$C$10:$C$80)</f>
        <v>224650</v>
      </c>
    </row>
    <row r="131" spans="1:2" ht="12.75" hidden="1">
      <c r="A131" s="180" t="s">
        <v>17</v>
      </c>
      <c r="B131" s="31">
        <f t="shared" si="0"/>
        <v>361405</v>
      </c>
    </row>
    <row r="132" spans="1:2" ht="12.75" hidden="1">
      <c r="A132" s="180" t="s">
        <v>324</v>
      </c>
      <c r="B132" s="31">
        <f t="shared" si="0"/>
        <v>2000</v>
      </c>
    </row>
    <row r="133" spans="1:2" ht="12.75" hidden="1">
      <c r="A133" s="180" t="s">
        <v>105</v>
      </c>
      <c r="B133" s="31">
        <f t="shared" si="0"/>
        <v>2400</v>
      </c>
    </row>
    <row r="134" spans="1:2" ht="12.75" hidden="1">
      <c r="A134" s="180" t="s">
        <v>106</v>
      </c>
      <c r="B134" s="31">
        <f t="shared" si="0"/>
        <v>50966</v>
      </c>
    </row>
    <row r="135" spans="1:2" ht="12.75" hidden="1">
      <c r="A135" s="180" t="s">
        <v>107</v>
      </c>
      <c r="B135" s="31">
        <f t="shared" si="0"/>
        <v>5100</v>
      </c>
    </row>
    <row r="136" spans="1:2" ht="12.75" hidden="1">
      <c r="A136" s="180" t="s">
        <v>108</v>
      </c>
      <c r="B136" s="31">
        <f t="shared" si="0"/>
        <v>113745</v>
      </c>
    </row>
    <row r="137" spans="1:2" ht="12.75" hidden="1">
      <c r="A137" s="180" t="s">
        <v>150</v>
      </c>
      <c r="B137" s="31">
        <f t="shared" si="0"/>
        <v>142382</v>
      </c>
    </row>
    <row r="138" spans="1:2" ht="12.75" hidden="1">
      <c r="A138" s="180" t="s">
        <v>49</v>
      </c>
      <c r="B138" s="31">
        <f t="shared" si="0"/>
        <v>6500</v>
      </c>
    </row>
    <row r="139" ht="12.75" hidden="1">
      <c r="B139" s="31">
        <f>SUM(B130:B138)</f>
        <v>909148</v>
      </c>
    </row>
    <row r="140" ht="12.75" hidden="1"/>
    <row r="141" ht="12.75" hidden="1">
      <c r="A141" s="182" t="s">
        <v>110</v>
      </c>
    </row>
    <row r="142" spans="1:2" ht="12.75" hidden="1">
      <c r="A142" s="180" t="s">
        <v>103</v>
      </c>
      <c r="B142" s="195">
        <f>SUMIF($A$87:$C$111,A142,$C$87:$C$108)</f>
        <v>24128</v>
      </c>
    </row>
    <row r="143" spans="1:2" ht="12.75" hidden="1">
      <c r="A143" s="180" t="s">
        <v>57</v>
      </c>
      <c r="B143" s="195">
        <f>SUMIF($A$87:$C$111,A143,$C$87:$C$108)</f>
        <v>14462</v>
      </c>
    </row>
    <row r="144" spans="1:2" ht="12.75" hidden="1">
      <c r="A144" s="180" t="s">
        <v>49</v>
      </c>
      <c r="B144" s="195">
        <f>SUMIF($A$87:$C$111,A144,$C$87:$C$108)</f>
        <v>149000</v>
      </c>
    </row>
    <row r="145" spans="1:2" ht="12.75" hidden="1">
      <c r="A145" s="180" t="s">
        <v>150</v>
      </c>
      <c r="B145" s="195">
        <f>SUMIF($A$87:$C$111,A145,$C$87:$C$108)</f>
        <v>6000</v>
      </c>
    </row>
    <row r="146" ht="12.75" hidden="1">
      <c r="B146" s="195">
        <f>SUM(B142:B145)</f>
        <v>193590</v>
      </c>
    </row>
  </sheetData>
  <sheetProtection/>
  <mergeCells count="2">
    <mergeCell ref="B3:C3"/>
    <mergeCell ref="B2:C2"/>
  </mergeCells>
  <printOptions horizontalCentered="1"/>
  <pageMargins left="0.4724409448818898" right="0.2362204724409449" top="1.141732283464567" bottom="0.7874015748031497" header="0.5118110236220472" footer="0.3937007874015748"/>
  <pageSetup fitToHeight="0" fitToWidth="1" horizontalDpi="600" verticalDpi="600" orientation="portrait" paperSize="9" scale="76" r:id="rId1"/>
  <headerFooter alignWithMargins="0">
    <oddHeader>&amp;L11. melléklet a 21/2015.(X.2.) önkormányzati rendelethez
11. melléklet az 1/2015.(I.30.) önkormányzati rendelethez</oddHeader>
  </headerFooter>
  <rowBreaks count="1" manualBreakCount="1">
    <brk id="62" min="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BreakPreview" zoomScaleSheetLayoutView="100" workbookViewId="0" topLeftCell="A94">
      <selection activeCell="D66" sqref="D66"/>
    </sheetView>
  </sheetViews>
  <sheetFormatPr defaultColWidth="9.00390625" defaultRowHeight="12.75"/>
  <cols>
    <col min="1" max="1" width="82.00390625" style="29" customWidth="1"/>
    <col min="2" max="2" width="12.25390625" style="20" customWidth="1"/>
    <col min="3" max="3" width="9.875" style="794" customWidth="1"/>
    <col min="4" max="4" width="11.375" style="788" customWidth="1"/>
    <col min="5" max="5" width="9.125" style="20" customWidth="1"/>
    <col min="6" max="16384" width="9.125" style="19" customWidth="1"/>
  </cols>
  <sheetData>
    <row r="1" spans="1:2" ht="7.5" customHeight="1">
      <c r="A1" s="32"/>
      <c r="B1" s="24"/>
    </row>
    <row r="2" spans="1:4" ht="26.25" customHeight="1">
      <c r="A2" s="1150" t="s">
        <v>31</v>
      </c>
      <c r="B2" s="1150"/>
      <c r="C2" s="1150"/>
      <c r="D2" s="1150"/>
    </row>
    <row r="3" spans="1:4" ht="14.25" customHeight="1">
      <c r="A3" s="1149" t="s">
        <v>16</v>
      </c>
      <c r="B3" s="1149"/>
      <c r="C3" s="1149"/>
      <c r="D3" s="1149"/>
    </row>
    <row r="4" spans="1:2" ht="9" customHeight="1" thickBot="1">
      <c r="A4" s="303"/>
      <c r="B4" s="27"/>
    </row>
    <row r="5" spans="1:4" ht="15.75" customHeight="1">
      <c r="A5" s="30" t="s">
        <v>776</v>
      </c>
      <c r="B5" s="302" t="s">
        <v>4</v>
      </c>
      <c r="C5" s="795" t="s">
        <v>816</v>
      </c>
      <c r="D5" s="789" t="s">
        <v>895</v>
      </c>
    </row>
    <row r="6" spans="1:4" ht="9" customHeight="1">
      <c r="A6" s="22"/>
      <c r="B6" s="299"/>
      <c r="C6" s="796"/>
      <c r="D6" s="790"/>
    </row>
    <row r="7" spans="1:4" ht="12.75">
      <c r="A7" s="26" t="s">
        <v>153</v>
      </c>
      <c r="B7" s="300"/>
      <c r="C7" s="653"/>
      <c r="D7" s="790"/>
    </row>
    <row r="8" spans="1:4" ht="9" customHeight="1">
      <c r="A8" s="22"/>
      <c r="B8" s="299"/>
      <c r="C8" s="653"/>
      <c r="D8" s="790"/>
    </row>
    <row r="9" spans="1:5" s="25" customFormat="1" ht="12.75">
      <c r="A9" s="26" t="s">
        <v>348</v>
      </c>
      <c r="B9" s="300">
        <f>SUM(B10:B27)</f>
        <v>169578</v>
      </c>
      <c r="C9" s="652">
        <f>SUM(C10:C27)</f>
        <v>260215</v>
      </c>
      <c r="D9" s="800">
        <f>SUM(D10:D27)</f>
        <v>344420</v>
      </c>
      <c r="E9" s="28"/>
    </row>
    <row r="10" spans="1:4" ht="12.75">
      <c r="A10" s="22" t="s">
        <v>511</v>
      </c>
      <c r="B10" s="299">
        <v>12248</v>
      </c>
      <c r="C10" s="653">
        <v>12248</v>
      </c>
      <c r="D10" s="790">
        <v>12248</v>
      </c>
    </row>
    <row r="11" spans="1:4" ht="12.75">
      <c r="A11" s="22" t="s">
        <v>350</v>
      </c>
      <c r="B11" s="299">
        <v>8000</v>
      </c>
      <c r="C11" s="653">
        <v>8000</v>
      </c>
      <c r="D11" s="790">
        <v>8000</v>
      </c>
    </row>
    <row r="12" spans="1:4" ht="12.75">
      <c r="A12" s="22" t="s">
        <v>565</v>
      </c>
      <c r="B12" s="299">
        <v>103000</v>
      </c>
      <c r="C12" s="653">
        <v>103000</v>
      </c>
      <c r="D12" s="790">
        <v>103000</v>
      </c>
    </row>
    <row r="13" spans="1:4" ht="12.75">
      <c r="A13" s="22" t="s">
        <v>353</v>
      </c>
      <c r="B13" s="299">
        <v>20500</v>
      </c>
      <c r="C13" s="653">
        <v>20500</v>
      </c>
      <c r="D13" s="790">
        <v>20500</v>
      </c>
    </row>
    <row r="14" spans="1:4" ht="12.75">
      <c r="A14" s="22" t="s">
        <v>366</v>
      </c>
      <c r="B14" s="299">
        <v>6572</v>
      </c>
      <c r="C14" s="653">
        <v>6572</v>
      </c>
      <c r="D14" s="790">
        <v>6572</v>
      </c>
    </row>
    <row r="15" spans="1:4" ht="12.75">
      <c r="A15" s="22" t="s">
        <v>360</v>
      </c>
      <c r="B15" s="299">
        <v>975</v>
      </c>
      <c r="C15" s="653">
        <v>975</v>
      </c>
      <c r="D15" s="790">
        <v>975</v>
      </c>
    </row>
    <row r="16" spans="1:4" ht="12.75">
      <c r="A16" s="22" t="s">
        <v>20</v>
      </c>
      <c r="B16" s="299">
        <v>18283</v>
      </c>
      <c r="C16" s="653">
        <v>18283</v>
      </c>
      <c r="D16" s="790">
        <v>18283</v>
      </c>
    </row>
    <row r="17" spans="1:4" ht="12.75">
      <c r="A17" s="22" t="s">
        <v>9</v>
      </c>
      <c r="B17" s="299"/>
      <c r="C17" s="653">
        <v>90625</v>
      </c>
      <c r="D17" s="790">
        <v>90625</v>
      </c>
    </row>
    <row r="18" spans="1:4" ht="12.75">
      <c r="A18" s="22" t="s">
        <v>871</v>
      </c>
      <c r="B18" s="299"/>
      <c r="C18" s="653">
        <v>12</v>
      </c>
      <c r="D18" s="790">
        <v>3463</v>
      </c>
    </row>
    <row r="19" spans="1:4" ht="12.75">
      <c r="A19" s="22" t="s">
        <v>21</v>
      </c>
      <c r="B19" s="299"/>
      <c r="C19" s="653"/>
      <c r="D19" s="790">
        <v>12000</v>
      </c>
    </row>
    <row r="20" spans="1:4" ht="12" customHeight="1">
      <c r="A20" s="22" t="s">
        <v>909</v>
      </c>
      <c r="B20" s="299"/>
      <c r="C20" s="653"/>
      <c r="D20" s="790">
        <v>16993</v>
      </c>
    </row>
    <row r="21" spans="1:4" ht="12.75" customHeight="1">
      <c r="A21" s="22" t="s">
        <v>910</v>
      </c>
      <c r="B21" s="299"/>
      <c r="C21" s="653"/>
      <c r="D21" s="790">
        <v>2783</v>
      </c>
    </row>
    <row r="22" spans="1:4" ht="25.5">
      <c r="A22" s="22" t="s">
        <v>8</v>
      </c>
      <c r="B22" s="299"/>
      <c r="C22" s="653"/>
      <c r="D22" s="790">
        <v>9903</v>
      </c>
    </row>
    <row r="23" spans="1:4" ht="12.75">
      <c r="A23" s="22" t="s">
        <v>141</v>
      </c>
      <c r="B23" s="299"/>
      <c r="C23" s="653"/>
      <c r="D23" s="790">
        <v>7502</v>
      </c>
    </row>
    <row r="24" spans="1:4" ht="12.75">
      <c r="A24" s="22" t="s">
        <v>10</v>
      </c>
      <c r="B24" s="299"/>
      <c r="C24" s="653"/>
      <c r="D24" s="790">
        <v>16141</v>
      </c>
    </row>
    <row r="25" spans="1:4" ht="12.75">
      <c r="A25" s="22" t="s">
        <v>149</v>
      </c>
      <c r="B25" s="299"/>
      <c r="C25" s="653"/>
      <c r="D25" s="790">
        <v>2582</v>
      </c>
    </row>
    <row r="26" spans="1:4" ht="25.5">
      <c r="A26" s="22" t="s">
        <v>559</v>
      </c>
      <c r="B26" s="299"/>
      <c r="C26" s="653"/>
      <c r="D26" s="790">
        <v>12850</v>
      </c>
    </row>
    <row r="27" spans="1:4" ht="12.75">
      <c r="A27" s="22"/>
      <c r="B27" s="299"/>
      <c r="C27" s="653"/>
      <c r="D27" s="790"/>
    </row>
    <row r="28" spans="1:4" ht="12.75">
      <c r="A28" s="26" t="s">
        <v>872</v>
      </c>
      <c r="B28" s="300"/>
      <c r="C28" s="652">
        <f>SUM(C29)</f>
        <v>10000</v>
      </c>
      <c r="D28" s="800">
        <f>SUM(D29)</f>
        <v>10000</v>
      </c>
    </row>
    <row r="29" spans="1:4" ht="12.75">
      <c r="A29" s="22" t="s">
        <v>632</v>
      </c>
      <c r="B29" s="300"/>
      <c r="C29" s="653">
        <v>10000</v>
      </c>
      <c r="D29" s="790">
        <v>10000</v>
      </c>
    </row>
    <row r="30" spans="1:4" ht="12.75">
      <c r="A30" s="22"/>
      <c r="B30" s="300"/>
      <c r="C30" s="653"/>
      <c r="D30" s="790"/>
    </row>
    <row r="31" spans="1:4" ht="12.75">
      <c r="A31" s="26" t="s">
        <v>873</v>
      </c>
      <c r="B31" s="300"/>
      <c r="C31" s="652">
        <f>SUM(C9,C28)</f>
        <v>270215</v>
      </c>
      <c r="D31" s="800">
        <f>SUM(D9,D28)</f>
        <v>354420</v>
      </c>
    </row>
    <row r="32" spans="1:4" ht="12.75">
      <c r="A32" s="22"/>
      <c r="B32" s="300"/>
      <c r="C32" s="653"/>
      <c r="D32" s="790"/>
    </row>
    <row r="33" spans="1:5" s="25" customFormat="1" ht="12.75">
      <c r="A33" s="26" t="s">
        <v>878</v>
      </c>
      <c r="B33" s="300">
        <f>SUM(B34:B34)</f>
        <v>2700</v>
      </c>
      <c r="C33" s="652">
        <f>SUM(C34:C34)</f>
        <v>2700</v>
      </c>
      <c r="D33" s="800">
        <f>SUM(D34:D35)</f>
        <v>2799</v>
      </c>
      <c r="E33" s="28"/>
    </row>
    <row r="34" spans="1:4" ht="12.75">
      <c r="A34" s="22" t="s">
        <v>352</v>
      </c>
      <c r="B34" s="299">
        <v>2700</v>
      </c>
      <c r="C34" s="653">
        <v>2700</v>
      </c>
      <c r="D34" s="790">
        <v>2700</v>
      </c>
    </row>
    <row r="35" spans="1:4" ht="12.75">
      <c r="A35" s="22" t="s">
        <v>911</v>
      </c>
      <c r="B35" s="299"/>
      <c r="C35" s="653"/>
      <c r="D35" s="790">
        <v>99</v>
      </c>
    </row>
    <row r="36" spans="1:5" s="25" customFormat="1" ht="12.75">
      <c r="A36" s="26" t="s">
        <v>335</v>
      </c>
      <c r="B36" s="300">
        <f>SUM(B37:B43)</f>
        <v>107209</v>
      </c>
      <c r="C36" s="652">
        <f>SUM(C37:C40)</f>
        <v>96209</v>
      </c>
      <c r="D36" s="800">
        <f>SUM(D37:D40)</f>
        <v>96209</v>
      </c>
      <c r="E36" s="28"/>
    </row>
    <row r="37" spans="1:5" s="25" customFormat="1" ht="12.75">
      <c r="A37" s="22" t="s">
        <v>242</v>
      </c>
      <c r="B37" s="299">
        <v>72489</v>
      </c>
      <c r="C37" s="653">
        <v>72489</v>
      </c>
      <c r="D37" s="790">
        <v>72489</v>
      </c>
      <c r="E37" s="28"/>
    </row>
    <row r="38" spans="1:5" s="25" customFormat="1" ht="12.75">
      <c r="A38" s="22" t="s">
        <v>363</v>
      </c>
      <c r="B38" s="299">
        <v>2000</v>
      </c>
      <c r="C38" s="653">
        <v>2000</v>
      </c>
      <c r="D38" s="790">
        <v>2000</v>
      </c>
      <c r="E38" s="28"/>
    </row>
    <row r="39" spans="1:5" s="25" customFormat="1" ht="25.5">
      <c r="A39" s="22" t="s">
        <v>566</v>
      </c>
      <c r="B39" s="299">
        <v>21720</v>
      </c>
      <c r="C39" s="653">
        <v>21720</v>
      </c>
      <c r="D39" s="790">
        <v>21720</v>
      </c>
      <c r="E39" s="28"/>
    </row>
    <row r="40" spans="1:5" s="25" customFormat="1" ht="12.75">
      <c r="A40" s="22" t="s">
        <v>632</v>
      </c>
      <c r="B40" s="299">
        <v>11000</v>
      </c>
      <c r="C40" s="653">
        <v>0</v>
      </c>
      <c r="D40" s="790">
        <v>0</v>
      </c>
      <c r="E40" s="28"/>
    </row>
    <row r="41" spans="1:5" s="25" customFormat="1" ht="12.75">
      <c r="A41" s="22"/>
      <c r="B41" s="299"/>
      <c r="C41" s="653"/>
      <c r="D41" s="791"/>
      <c r="E41" s="28"/>
    </row>
    <row r="42" spans="1:5" s="25" customFormat="1" ht="12.75">
      <c r="A42" s="26" t="s">
        <v>879</v>
      </c>
      <c r="B42" s="299"/>
      <c r="C42" s="652">
        <f>SUM(C33,C36)</f>
        <v>98909</v>
      </c>
      <c r="D42" s="800">
        <f>SUM(D33,D36)</f>
        <v>99008</v>
      </c>
      <c r="E42" s="28"/>
    </row>
    <row r="43" spans="1:4" ht="12.75">
      <c r="A43" s="22"/>
      <c r="B43" s="299"/>
      <c r="C43" s="653"/>
      <c r="D43" s="790"/>
    </row>
    <row r="44" spans="1:5" s="25" customFormat="1" ht="12.75">
      <c r="A44" s="26" t="s">
        <v>347</v>
      </c>
      <c r="B44" s="300">
        <f>SUM(B45:B60)</f>
        <v>1588094</v>
      </c>
      <c r="C44" s="652">
        <f>SUM(C45:C60)</f>
        <v>1497469</v>
      </c>
      <c r="D44" s="800">
        <f>SUM(D45:D61)</f>
        <v>1447536</v>
      </c>
      <c r="E44" s="28"/>
    </row>
    <row r="45" spans="1:5" s="25" customFormat="1" ht="12.75">
      <c r="A45" s="22" t="s">
        <v>7</v>
      </c>
      <c r="B45" s="299">
        <v>41138</v>
      </c>
      <c r="C45" s="653">
        <v>41138</v>
      </c>
      <c r="D45" s="804">
        <v>41138</v>
      </c>
      <c r="E45" s="28"/>
    </row>
    <row r="46" spans="1:5" s="25" customFormat="1" ht="12.75">
      <c r="A46" s="22" t="s">
        <v>571</v>
      </c>
      <c r="B46" s="299">
        <v>40430</v>
      </c>
      <c r="C46" s="653">
        <v>40430</v>
      </c>
      <c r="D46" s="804">
        <v>40430</v>
      </c>
      <c r="E46" s="28"/>
    </row>
    <row r="47" spans="1:5" s="25" customFormat="1" ht="12.75">
      <c r="A47" s="22" t="s">
        <v>909</v>
      </c>
      <c r="B47" s="299">
        <v>622234</v>
      </c>
      <c r="C47" s="653">
        <v>622234</v>
      </c>
      <c r="D47" s="790">
        <v>605241</v>
      </c>
      <c r="E47" s="28"/>
    </row>
    <row r="48" spans="1:5" s="25" customFormat="1" ht="12.75" customHeight="1">
      <c r="A48" s="22" t="s">
        <v>910</v>
      </c>
      <c r="B48" s="299">
        <v>108756</v>
      </c>
      <c r="C48" s="653">
        <v>108756</v>
      </c>
      <c r="D48" s="790">
        <v>105973</v>
      </c>
      <c r="E48" s="28"/>
    </row>
    <row r="49" spans="1:5" s="25" customFormat="1" ht="25.5" customHeight="1">
      <c r="A49" s="22" t="s">
        <v>8</v>
      </c>
      <c r="B49" s="299">
        <v>27961</v>
      </c>
      <c r="C49" s="653">
        <v>27961</v>
      </c>
      <c r="D49" s="790">
        <v>18058</v>
      </c>
      <c r="E49" s="28"/>
    </row>
    <row r="50" spans="1:5" s="25" customFormat="1" ht="25.5" customHeight="1">
      <c r="A50" s="22" t="s">
        <v>572</v>
      </c>
      <c r="B50" s="299">
        <v>6498</v>
      </c>
      <c r="C50" s="653">
        <v>6498</v>
      </c>
      <c r="D50" s="790">
        <v>6498</v>
      </c>
      <c r="E50" s="28"/>
    </row>
    <row r="51" spans="1:5" s="25" customFormat="1" ht="12.75">
      <c r="A51" s="22" t="s">
        <v>10</v>
      </c>
      <c r="B51" s="299">
        <v>64612</v>
      </c>
      <c r="C51" s="653">
        <v>64612</v>
      </c>
      <c r="D51" s="790">
        <v>48471</v>
      </c>
      <c r="E51" s="28"/>
    </row>
    <row r="52" spans="1:5" s="25" customFormat="1" ht="12.75">
      <c r="A52" s="22" t="s">
        <v>75</v>
      </c>
      <c r="B52" s="299">
        <v>21960</v>
      </c>
      <c r="C52" s="653">
        <v>21960</v>
      </c>
      <c r="D52" s="790">
        <v>21960</v>
      </c>
      <c r="E52" s="28"/>
    </row>
    <row r="53" spans="1:5" s="25" customFormat="1" ht="12.75">
      <c r="A53" s="22" t="s">
        <v>9</v>
      </c>
      <c r="B53" s="299">
        <v>90625</v>
      </c>
      <c r="C53" s="653">
        <v>0</v>
      </c>
      <c r="D53" s="790">
        <v>0</v>
      </c>
      <c r="E53" s="28"/>
    </row>
    <row r="54" spans="1:5" s="25" customFormat="1" ht="25.5">
      <c r="A54" s="22" t="s">
        <v>559</v>
      </c>
      <c r="B54" s="299">
        <v>17987</v>
      </c>
      <c r="C54" s="653">
        <v>17987</v>
      </c>
      <c r="D54" s="790">
        <v>5137</v>
      </c>
      <c r="E54" s="28"/>
    </row>
    <row r="55" spans="1:5" s="25" customFormat="1" ht="12.75">
      <c r="A55" s="22" t="s">
        <v>76</v>
      </c>
      <c r="B55" s="299">
        <v>35494</v>
      </c>
      <c r="C55" s="653">
        <v>35494</v>
      </c>
      <c r="D55" s="790">
        <v>35494</v>
      </c>
      <c r="E55" s="28"/>
    </row>
    <row r="56" spans="1:5" s="25" customFormat="1" ht="12.75">
      <c r="A56" s="22" t="s">
        <v>21</v>
      </c>
      <c r="B56" s="299">
        <v>12000</v>
      </c>
      <c r="C56" s="653">
        <v>12000</v>
      </c>
      <c r="D56" s="790">
        <v>0</v>
      </c>
      <c r="E56" s="28"/>
    </row>
    <row r="57" spans="1:5" s="25" customFormat="1" ht="12.75">
      <c r="A57" s="22" t="s">
        <v>140</v>
      </c>
      <c r="B57" s="299">
        <v>267151</v>
      </c>
      <c r="C57" s="653">
        <v>267151</v>
      </c>
      <c r="D57" s="790">
        <v>267151</v>
      </c>
      <c r="E57" s="28"/>
    </row>
    <row r="58" spans="1:5" s="25" customFormat="1" ht="12.75">
      <c r="A58" s="22" t="s">
        <v>141</v>
      </c>
      <c r="B58" s="299">
        <v>225766</v>
      </c>
      <c r="C58" s="653">
        <v>225766</v>
      </c>
      <c r="D58" s="790">
        <v>218264</v>
      </c>
      <c r="E58" s="28"/>
    </row>
    <row r="59" spans="1:5" s="25" customFormat="1" ht="12.75">
      <c r="A59" s="22" t="s">
        <v>570</v>
      </c>
      <c r="B59" s="299">
        <v>2900</v>
      </c>
      <c r="C59" s="653">
        <v>2900</v>
      </c>
      <c r="D59" s="790">
        <v>0</v>
      </c>
      <c r="E59" s="28"/>
    </row>
    <row r="60" spans="1:5" s="25" customFormat="1" ht="12.75">
      <c r="A60" s="22" t="s">
        <v>149</v>
      </c>
      <c r="B60" s="299">
        <v>2582</v>
      </c>
      <c r="C60" s="653">
        <v>2582</v>
      </c>
      <c r="D60" s="790">
        <v>456</v>
      </c>
      <c r="E60" s="28"/>
    </row>
    <row r="61" spans="1:5" s="25" customFormat="1" ht="25.5">
      <c r="A61" s="22" t="s">
        <v>912</v>
      </c>
      <c r="B61" s="299"/>
      <c r="C61" s="653"/>
      <c r="D61" s="790">
        <v>33265</v>
      </c>
      <c r="E61" s="28"/>
    </row>
    <row r="62" spans="1:5" s="25" customFormat="1" ht="12.75">
      <c r="A62" s="26" t="s">
        <v>346</v>
      </c>
      <c r="B62" s="300">
        <f>SUM(B66:B66)</f>
        <v>0</v>
      </c>
      <c r="C62" s="652">
        <f>SUM(C63)</f>
        <v>380</v>
      </c>
      <c r="D62" s="800">
        <f>SUM(D63)</f>
        <v>380</v>
      </c>
      <c r="E62" s="28"/>
    </row>
    <row r="63" spans="1:5" s="25" customFormat="1" ht="12.75">
      <c r="A63" s="22" t="s">
        <v>874</v>
      </c>
      <c r="B63" s="300"/>
      <c r="C63" s="653">
        <v>380</v>
      </c>
      <c r="D63" s="790">
        <v>380</v>
      </c>
      <c r="E63" s="28"/>
    </row>
    <row r="64" spans="1:5" s="25" customFormat="1" ht="12.75">
      <c r="A64" s="22"/>
      <c r="B64" s="300"/>
      <c r="C64" s="653"/>
      <c r="D64" s="791"/>
      <c r="E64" s="28"/>
    </row>
    <row r="65" spans="1:5" s="25" customFormat="1" ht="12.75">
      <c r="A65" s="26" t="s">
        <v>875</v>
      </c>
      <c r="B65" s="300"/>
      <c r="C65" s="652">
        <f>SUM(C44,C62)</f>
        <v>1497849</v>
      </c>
      <c r="D65" s="800">
        <f>SUM(D44,D62)</f>
        <v>1447916</v>
      </c>
      <c r="E65" s="28"/>
    </row>
    <row r="66" spans="1:4" ht="12.75">
      <c r="A66" s="22"/>
      <c r="B66" s="299"/>
      <c r="C66" s="653"/>
      <c r="D66" s="790"/>
    </row>
    <row r="67" spans="1:5" s="25" customFormat="1" ht="12" customHeight="1">
      <c r="A67" s="26" t="s">
        <v>344</v>
      </c>
      <c r="B67" s="300">
        <f>SUM(B68:B68)</f>
        <v>600</v>
      </c>
      <c r="C67" s="652">
        <f>SUM(C68:C68)</f>
        <v>600</v>
      </c>
      <c r="D67" s="800">
        <f>SUM(D68:D69)</f>
        <v>2962</v>
      </c>
      <c r="E67" s="28"/>
    </row>
    <row r="68" spans="1:4" ht="25.5">
      <c r="A68" s="22" t="s">
        <v>351</v>
      </c>
      <c r="B68" s="299">
        <v>600</v>
      </c>
      <c r="C68" s="653">
        <v>600</v>
      </c>
      <c r="D68" s="790">
        <v>600</v>
      </c>
    </row>
    <row r="69" spans="1:4" ht="12.75">
      <c r="A69" s="22" t="s">
        <v>913</v>
      </c>
      <c r="B69" s="299"/>
      <c r="C69" s="653"/>
      <c r="D69" s="790">
        <v>2362</v>
      </c>
    </row>
    <row r="70" spans="1:5" s="25" customFormat="1" ht="12.75">
      <c r="A70" s="26" t="s">
        <v>345</v>
      </c>
      <c r="B70" s="300">
        <f>SUM(B71:B73)</f>
        <v>1300</v>
      </c>
      <c r="C70" s="652">
        <f>SUM(C71:C73)</f>
        <v>14070</v>
      </c>
      <c r="D70" s="800">
        <f>SUM(D71:D73)</f>
        <v>29706</v>
      </c>
      <c r="E70" s="28"/>
    </row>
    <row r="71" spans="1:4" ht="12.75">
      <c r="A71" s="22" t="s">
        <v>564</v>
      </c>
      <c r="B71" s="299">
        <v>1300</v>
      </c>
      <c r="C71" s="653">
        <v>1300</v>
      </c>
      <c r="D71" s="790">
        <v>1300</v>
      </c>
    </row>
    <row r="72" spans="1:4" ht="12.75">
      <c r="A72" s="22" t="s">
        <v>876</v>
      </c>
      <c r="B72" s="299"/>
      <c r="C72" s="653">
        <v>12770</v>
      </c>
      <c r="D72" s="790">
        <v>12770</v>
      </c>
    </row>
    <row r="73" spans="1:4" ht="12.75">
      <c r="A73" s="22" t="s">
        <v>914</v>
      </c>
      <c r="B73" s="299"/>
      <c r="C73" s="653"/>
      <c r="D73" s="790">
        <v>15636</v>
      </c>
    </row>
    <row r="74" spans="1:5" s="25" customFormat="1" ht="12.75">
      <c r="A74" s="26" t="s">
        <v>567</v>
      </c>
      <c r="B74" s="300">
        <f>SUM(B75:B76)</f>
        <v>28075</v>
      </c>
      <c r="C74" s="652">
        <f>SUM(C75:C76)</f>
        <v>28075</v>
      </c>
      <c r="D74" s="800">
        <f>SUM(D75:D76)</f>
        <v>28075</v>
      </c>
      <c r="E74" s="28"/>
    </row>
    <row r="75" spans="1:4" ht="12.75">
      <c r="A75" s="22" t="s">
        <v>568</v>
      </c>
      <c r="B75" s="299">
        <v>27075</v>
      </c>
      <c r="C75" s="653">
        <v>27075</v>
      </c>
      <c r="D75" s="790">
        <v>27075</v>
      </c>
    </row>
    <row r="76" spans="1:4" ht="12.75">
      <c r="A76" s="22" t="s">
        <v>569</v>
      </c>
      <c r="B76" s="299">
        <v>1000</v>
      </c>
      <c r="C76" s="653">
        <v>1000</v>
      </c>
      <c r="D76" s="790">
        <v>1000</v>
      </c>
    </row>
    <row r="77" spans="1:4" ht="12.75">
      <c r="A77" s="22"/>
      <c r="B77" s="299"/>
      <c r="C77" s="653"/>
      <c r="D77" s="790"/>
    </row>
    <row r="78" spans="1:4" ht="25.5">
      <c r="A78" s="26" t="s">
        <v>880</v>
      </c>
      <c r="B78" s="299"/>
      <c r="C78" s="652">
        <f>SUM(C67,C70,C74)</f>
        <v>42745</v>
      </c>
      <c r="D78" s="800">
        <f>SUM(D67,D70,D74)</f>
        <v>60743</v>
      </c>
    </row>
    <row r="79" spans="1:5" s="23" customFormat="1" ht="12.75">
      <c r="A79" s="22"/>
      <c r="B79" s="299"/>
      <c r="C79" s="653"/>
      <c r="D79" s="790"/>
      <c r="E79" s="39"/>
    </row>
    <row r="80" spans="1:5" s="25" customFormat="1" ht="26.25" thickBot="1">
      <c r="A80" s="100" t="s">
        <v>361</v>
      </c>
      <c r="B80" s="309">
        <f>SUM(B9,B33,B36,B44,B67,B70,B74)</f>
        <v>1897556</v>
      </c>
      <c r="C80" s="650">
        <f>SUM(C31,C42,C65,C78)</f>
        <v>1909718</v>
      </c>
      <c r="D80" s="801">
        <f>SUM(D31,D42,D65,D78)</f>
        <v>1962087</v>
      </c>
      <c r="E80" s="28"/>
    </row>
    <row r="81" spans="1:5" s="99" customFormat="1" ht="24" customHeight="1" thickBot="1">
      <c r="A81" s="166"/>
      <c r="B81" s="167"/>
      <c r="C81" s="797"/>
      <c r="D81" s="793"/>
      <c r="E81" s="98"/>
    </row>
    <row r="82" spans="1:4" ht="24">
      <c r="A82" s="30" t="s">
        <v>171</v>
      </c>
      <c r="B82" s="302" t="s">
        <v>4</v>
      </c>
      <c r="C82" s="799" t="s">
        <v>816</v>
      </c>
      <c r="D82" s="798" t="s">
        <v>895</v>
      </c>
    </row>
    <row r="83" spans="1:4" ht="12.75">
      <c r="A83" s="22"/>
      <c r="B83" s="299"/>
      <c r="C83" s="653"/>
      <c r="D83" s="790"/>
    </row>
    <row r="84" spans="1:5" s="38" customFormat="1" ht="12.75">
      <c r="A84" s="36" t="s">
        <v>792</v>
      </c>
      <c r="B84" s="308">
        <f>SUM(B86,B92,B89)</f>
        <v>15925</v>
      </c>
      <c r="C84" s="654">
        <f>SUM(C86,C92,C89)</f>
        <v>15993</v>
      </c>
      <c r="D84" s="802">
        <f>SUM(D86,D92,D89)</f>
        <v>16049</v>
      </c>
      <c r="E84" s="37"/>
    </row>
    <row r="85" spans="1:4" ht="12.75">
      <c r="A85" s="36"/>
      <c r="B85" s="299"/>
      <c r="C85" s="653"/>
      <c r="D85" s="790"/>
    </row>
    <row r="86" spans="1:4" ht="12.75">
      <c r="A86" s="26" t="s">
        <v>348</v>
      </c>
      <c r="B86" s="300">
        <f>SUM(B87:B87)</f>
        <v>0</v>
      </c>
      <c r="C86" s="652">
        <f>SUM(C87:C87)</f>
        <v>68</v>
      </c>
      <c r="D86" s="800">
        <f>SUM(D87:D88)</f>
        <v>124</v>
      </c>
    </row>
    <row r="87" spans="1:4" ht="12.75">
      <c r="A87" s="22" t="s">
        <v>870</v>
      </c>
      <c r="B87" s="299"/>
      <c r="C87" s="796">
        <v>68</v>
      </c>
      <c r="D87" s="790">
        <v>68</v>
      </c>
    </row>
    <row r="88" spans="1:4" ht="12.75">
      <c r="A88" s="22" t="s">
        <v>915</v>
      </c>
      <c r="B88" s="299"/>
      <c r="C88" s="796"/>
      <c r="D88" s="790">
        <v>56</v>
      </c>
    </row>
    <row r="89" spans="1:4" ht="12.75">
      <c r="A89" s="26" t="s">
        <v>347</v>
      </c>
      <c r="B89" s="300">
        <f>SUM(B90)</f>
        <v>14935</v>
      </c>
      <c r="C89" s="652">
        <f>SUM(C90)</f>
        <v>14935</v>
      </c>
      <c r="D89" s="800">
        <f>SUM(D90)</f>
        <v>14935</v>
      </c>
    </row>
    <row r="90" spans="1:4" ht="25.5">
      <c r="A90" s="22" t="s">
        <v>415</v>
      </c>
      <c r="B90" s="299">
        <v>14935</v>
      </c>
      <c r="C90" s="796">
        <v>14935</v>
      </c>
      <c r="D90" s="790">
        <v>14935</v>
      </c>
    </row>
    <row r="91" spans="1:4" ht="12.75">
      <c r="A91" s="22"/>
      <c r="B91" s="299"/>
      <c r="C91" s="796"/>
      <c r="D91" s="790"/>
    </row>
    <row r="92" spans="1:4" ht="12.75">
      <c r="A92" s="26" t="s">
        <v>345</v>
      </c>
      <c r="B92" s="300">
        <f>SUM(B93:B95)</f>
        <v>990</v>
      </c>
      <c r="C92" s="652">
        <f>SUM(C93:C95)</f>
        <v>990</v>
      </c>
      <c r="D92" s="800">
        <f>SUM(D93:D95)</f>
        <v>990</v>
      </c>
    </row>
    <row r="93" spans="1:4" ht="12.75">
      <c r="A93" s="22" t="s">
        <v>364</v>
      </c>
      <c r="B93" s="299">
        <v>800</v>
      </c>
      <c r="C93" s="796">
        <v>800</v>
      </c>
      <c r="D93" s="790">
        <v>800</v>
      </c>
    </row>
    <row r="94" spans="1:4" ht="12.75">
      <c r="A94" s="22" t="s">
        <v>365</v>
      </c>
      <c r="B94" s="299">
        <v>190</v>
      </c>
      <c r="C94" s="796">
        <v>190</v>
      </c>
      <c r="D94" s="790">
        <v>190</v>
      </c>
    </row>
    <row r="95" spans="1:4" ht="12.75">
      <c r="A95" s="22"/>
      <c r="B95" s="299"/>
      <c r="C95" s="796"/>
      <c r="D95" s="790"/>
    </row>
    <row r="96" spans="1:5" s="38" customFormat="1" ht="12.75">
      <c r="A96" s="36" t="s">
        <v>796</v>
      </c>
      <c r="B96" s="308">
        <f>SUM(B98)</f>
        <v>7545</v>
      </c>
      <c r="C96" s="654">
        <f>SUM(C98)</f>
        <v>7618</v>
      </c>
      <c r="D96" s="802">
        <f>SUM(D98)</f>
        <v>8278</v>
      </c>
      <c r="E96" s="37"/>
    </row>
    <row r="97" spans="1:4" ht="12.75">
      <c r="A97" s="36"/>
      <c r="B97" s="299"/>
      <c r="C97" s="796"/>
      <c r="D97" s="790"/>
    </row>
    <row r="98" spans="1:4" ht="12.75">
      <c r="A98" s="26" t="s">
        <v>348</v>
      </c>
      <c r="B98" s="300">
        <f>SUM(B99)</f>
        <v>7545</v>
      </c>
      <c r="C98" s="652">
        <f>SUM(C99:C100)</f>
        <v>7618</v>
      </c>
      <c r="D98" s="800">
        <f>SUM(D99:D100)</f>
        <v>8278</v>
      </c>
    </row>
    <row r="99" spans="1:4" ht="12.75">
      <c r="A99" s="22" t="s">
        <v>99</v>
      </c>
      <c r="B99" s="299">
        <v>7545</v>
      </c>
      <c r="C99" s="796">
        <v>7567</v>
      </c>
      <c r="D99" s="790">
        <v>8227</v>
      </c>
    </row>
    <row r="100" spans="1:4" ht="12.75">
      <c r="A100" s="22" t="s">
        <v>870</v>
      </c>
      <c r="B100" s="299"/>
      <c r="C100" s="796">
        <v>51</v>
      </c>
      <c r="D100" s="790">
        <v>51</v>
      </c>
    </row>
    <row r="101" spans="1:4" ht="12.75">
      <c r="A101" s="22"/>
      <c r="B101" s="299"/>
      <c r="C101" s="796"/>
      <c r="D101" s="790"/>
    </row>
    <row r="102" spans="1:4" ht="12.75">
      <c r="A102" s="36" t="s">
        <v>794</v>
      </c>
      <c r="B102" s="308">
        <f>SUM(B104)</f>
        <v>9289</v>
      </c>
      <c r="C102" s="654">
        <f>SUM(C104)</f>
        <v>9340</v>
      </c>
      <c r="D102" s="802">
        <f>SUM(D104)</f>
        <v>9340</v>
      </c>
    </row>
    <row r="103" spans="1:4" ht="12.75">
      <c r="A103" s="36"/>
      <c r="B103" s="299"/>
      <c r="C103" s="796"/>
      <c r="D103" s="790"/>
    </row>
    <row r="104" spans="1:4" ht="12.75">
      <c r="A104" s="26" t="s">
        <v>348</v>
      </c>
      <c r="B104" s="300">
        <f>SUM(B105)</f>
        <v>9289</v>
      </c>
      <c r="C104" s="652">
        <f>SUM(C105:C106)</f>
        <v>9340</v>
      </c>
      <c r="D104" s="800">
        <f>SUM(D105:D106)</f>
        <v>9340</v>
      </c>
    </row>
    <row r="105" spans="1:4" ht="12.75">
      <c r="A105" s="22" t="s">
        <v>100</v>
      </c>
      <c r="B105" s="299">
        <v>9289</v>
      </c>
      <c r="C105" s="796">
        <v>9289</v>
      </c>
      <c r="D105" s="790">
        <v>9289</v>
      </c>
    </row>
    <row r="106" spans="1:4" ht="12.75">
      <c r="A106" s="22" t="s">
        <v>870</v>
      </c>
      <c r="B106" s="299"/>
      <c r="C106" s="796">
        <v>51</v>
      </c>
      <c r="D106" s="790">
        <v>51</v>
      </c>
    </row>
    <row r="107" spans="1:4" ht="12.75">
      <c r="A107" s="22"/>
      <c r="B107" s="299"/>
      <c r="C107" s="796"/>
      <c r="D107" s="790"/>
    </row>
    <row r="108" spans="1:5" s="38" customFormat="1" ht="12.75">
      <c r="A108" s="36" t="s">
        <v>798</v>
      </c>
      <c r="B108" s="308">
        <f>SUM(B110)</f>
        <v>3329</v>
      </c>
      <c r="C108" s="654">
        <f>SUM(C110)</f>
        <v>3329</v>
      </c>
      <c r="D108" s="802">
        <f>SUM(D110)</f>
        <v>2895</v>
      </c>
      <c r="E108" s="37"/>
    </row>
    <row r="109" spans="1:4" ht="12.75">
      <c r="A109" s="36"/>
      <c r="B109" s="299"/>
      <c r="C109" s="796"/>
      <c r="D109" s="790"/>
    </row>
    <row r="110" spans="1:5" s="25" customFormat="1" ht="12.75">
      <c r="A110" s="26" t="s">
        <v>348</v>
      </c>
      <c r="B110" s="300">
        <f>SUM(B111)</f>
        <v>3329</v>
      </c>
      <c r="C110" s="652">
        <f>SUM(C111)</f>
        <v>3329</v>
      </c>
      <c r="D110" s="800">
        <f>SUM(D111)</f>
        <v>2895</v>
      </c>
      <c r="E110" s="28"/>
    </row>
    <row r="111" spans="1:4" ht="12.75">
      <c r="A111" s="22" t="s">
        <v>101</v>
      </c>
      <c r="B111" s="299">
        <v>3329</v>
      </c>
      <c r="C111" s="796">
        <v>3329</v>
      </c>
      <c r="D111" s="790">
        <v>2895</v>
      </c>
    </row>
    <row r="112" spans="1:4" ht="12.75">
      <c r="A112" s="22"/>
      <c r="B112" s="299"/>
      <c r="C112" s="796"/>
      <c r="D112" s="790"/>
    </row>
    <row r="113" spans="1:5" s="35" customFormat="1" ht="13.5">
      <c r="A113" s="33" t="s">
        <v>349</v>
      </c>
      <c r="B113" s="301">
        <f>SUM(B86,B98,B104,B110)</f>
        <v>20163</v>
      </c>
      <c r="C113" s="655">
        <f>SUM(C86,C98,C104,C110)</f>
        <v>20355</v>
      </c>
      <c r="D113" s="803">
        <f>SUM(D86,D98,D104,D110)</f>
        <v>20637</v>
      </c>
      <c r="E113" s="34"/>
    </row>
    <row r="114" spans="1:4" ht="12.75">
      <c r="A114" s="22"/>
      <c r="B114" s="299"/>
      <c r="C114" s="796"/>
      <c r="D114" s="790"/>
    </row>
    <row r="115" spans="1:5" s="35" customFormat="1" ht="13.5">
      <c r="A115" s="33" t="s">
        <v>813</v>
      </c>
      <c r="B115" s="301">
        <f>SUM(B92,B89)</f>
        <v>15925</v>
      </c>
      <c r="C115" s="655">
        <f>SUM(C92,C89)</f>
        <v>15925</v>
      </c>
      <c r="D115" s="803">
        <f>SUM(D92,D89)</f>
        <v>15925</v>
      </c>
      <c r="E115" s="34"/>
    </row>
    <row r="116" spans="1:4" ht="12.75">
      <c r="A116" s="22"/>
      <c r="B116" s="300"/>
      <c r="C116" s="796"/>
      <c r="D116" s="790"/>
    </row>
    <row r="117" spans="1:4" ht="33.75" customHeight="1" thickBot="1">
      <c r="A117" s="100" t="s">
        <v>362</v>
      </c>
      <c r="B117" s="309">
        <f>SUM(B113,B115)</f>
        <v>36088</v>
      </c>
      <c r="C117" s="650">
        <f>SUM(C113,C115)</f>
        <v>36280</v>
      </c>
      <c r="D117" s="801">
        <f>SUM(D113,D115)</f>
        <v>36562</v>
      </c>
    </row>
  </sheetData>
  <sheetProtection/>
  <mergeCells count="2">
    <mergeCell ref="A2:D2"/>
    <mergeCell ref="A3:D3"/>
  </mergeCells>
  <printOptions horizontalCentered="1"/>
  <pageMargins left="0.4724409448818898" right="0.2362204724409449" top="0.9448818897637796" bottom="0.7480314960629921" header="0.5118110236220472" footer="0.5118110236220472"/>
  <pageSetup fitToHeight="0" fitToWidth="1" horizontalDpi="600" verticalDpi="600" orientation="portrait" paperSize="9" scale="85" r:id="rId1"/>
  <headerFooter alignWithMargins="0">
    <oddHeader>&amp;L12. melléklet a21/2015.(X.2.)  önkormányzati rendelethez
12. melléklet az 1/2015.(I.30.) önkormányzati rendelethez</oddHeader>
  </headerFooter>
  <rowBreaks count="1" manualBreakCount="1">
    <brk id="60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workbookViewId="0" topLeftCell="A4">
      <selection activeCell="H35" sqref="H35:H37"/>
    </sheetView>
  </sheetViews>
  <sheetFormatPr defaultColWidth="9.00390625" defaultRowHeight="12.75"/>
  <cols>
    <col min="1" max="1" width="46.875" style="89" customWidth="1"/>
    <col min="2" max="2" width="16.75390625" style="89" customWidth="1"/>
    <col min="3" max="3" width="12.125" style="89" customWidth="1"/>
    <col min="4" max="4" width="12.25390625" style="89" customWidth="1"/>
    <col min="5" max="16384" width="9.125" style="89" customWidth="1"/>
  </cols>
  <sheetData>
    <row r="1" spans="1:2" ht="15" customHeight="1">
      <c r="A1" s="1151" t="s">
        <v>560</v>
      </c>
      <c r="B1" s="1151"/>
    </row>
    <row r="2" spans="1:2" ht="14.25" customHeight="1" thickBot="1">
      <c r="A2" s="90"/>
      <c r="B2" s="91"/>
    </row>
    <row r="3" spans="1:4" ht="22.5" customHeight="1" thickBot="1">
      <c r="A3" s="1152" t="s">
        <v>561</v>
      </c>
      <c r="B3" s="1157" t="s">
        <v>562</v>
      </c>
      <c r="C3" s="1158"/>
      <c r="D3" s="1159"/>
    </row>
    <row r="4" spans="1:4" ht="15" customHeight="1" thickBot="1">
      <c r="A4" s="1153"/>
      <c r="B4" s="663" t="s">
        <v>4</v>
      </c>
      <c r="C4" s="664" t="s">
        <v>816</v>
      </c>
      <c r="D4" s="665" t="s">
        <v>895</v>
      </c>
    </row>
    <row r="5" spans="1:4" ht="15" customHeight="1">
      <c r="A5" s="92" t="s">
        <v>609</v>
      </c>
      <c r="B5" s="327">
        <v>22</v>
      </c>
      <c r="C5" s="656">
        <v>22</v>
      </c>
      <c r="D5" s="781">
        <v>22</v>
      </c>
    </row>
    <row r="6" spans="1:4" ht="15" customHeight="1">
      <c r="A6" s="93" t="s">
        <v>610</v>
      </c>
      <c r="B6" s="311">
        <v>18.75</v>
      </c>
      <c r="C6" s="656">
        <v>18.75</v>
      </c>
      <c r="D6" s="781">
        <v>18.75</v>
      </c>
    </row>
    <row r="7" spans="1:4" ht="15" customHeight="1">
      <c r="A7" s="93" t="s">
        <v>611</v>
      </c>
      <c r="B7" s="311">
        <v>3.5</v>
      </c>
      <c r="C7" s="656">
        <v>3.5</v>
      </c>
      <c r="D7" s="781">
        <v>3.5</v>
      </c>
    </row>
    <row r="8" spans="1:4" s="185" customFormat="1" ht="15" customHeight="1">
      <c r="A8" s="318" t="s">
        <v>612</v>
      </c>
      <c r="B8" s="312">
        <f>SUM(B6:B7)</f>
        <v>22.25</v>
      </c>
      <c r="C8" s="656">
        <v>22.25</v>
      </c>
      <c r="D8" s="781">
        <v>22.25</v>
      </c>
    </row>
    <row r="9" spans="1:4" ht="15" customHeight="1">
      <c r="A9" s="93" t="s">
        <v>613</v>
      </c>
      <c r="B9" s="311">
        <v>23</v>
      </c>
      <c r="C9" s="656">
        <v>23</v>
      </c>
      <c r="D9" s="781">
        <v>23</v>
      </c>
    </row>
    <row r="10" spans="1:4" ht="15" customHeight="1">
      <c r="A10" s="93" t="s">
        <v>614</v>
      </c>
      <c r="B10" s="311">
        <v>17.5</v>
      </c>
      <c r="C10" s="656">
        <v>17.5</v>
      </c>
      <c r="D10" s="781">
        <v>17.5</v>
      </c>
    </row>
    <row r="11" spans="1:4" ht="15" customHeight="1">
      <c r="A11" s="93" t="s">
        <v>615</v>
      </c>
      <c r="B11" s="311">
        <v>17</v>
      </c>
      <c r="C11" s="656">
        <v>17</v>
      </c>
      <c r="D11" s="781">
        <v>17</v>
      </c>
    </row>
    <row r="12" spans="1:4" ht="15" customHeight="1">
      <c r="A12" s="93" t="s">
        <v>616</v>
      </c>
      <c r="B12" s="311">
        <v>7</v>
      </c>
      <c r="C12" s="656">
        <v>7</v>
      </c>
      <c r="D12" s="781">
        <v>7</v>
      </c>
    </row>
    <row r="13" spans="1:4" s="185" customFormat="1" ht="15" customHeight="1">
      <c r="A13" s="318" t="s">
        <v>617</v>
      </c>
      <c r="B13" s="312">
        <f>SUM(B11:B12)</f>
        <v>24</v>
      </c>
      <c r="C13" s="656">
        <v>24</v>
      </c>
      <c r="D13" s="781">
        <v>24</v>
      </c>
    </row>
    <row r="14" spans="1:4" s="185" customFormat="1" ht="15" customHeight="1">
      <c r="A14" s="318" t="s">
        <v>618</v>
      </c>
      <c r="B14" s="312">
        <f>SUM(B5,B8,B9,B10,B13)</f>
        <v>108.75</v>
      </c>
      <c r="C14" s="656">
        <v>108.75</v>
      </c>
      <c r="D14" s="781">
        <v>108.75</v>
      </c>
    </row>
    <row r="15" spans="1:4" ht="15" customHeight="1">
      <c r="A15" s="93" t="s">
        <v>563</v>
      </c>
      <c r="B15" s="311">
        <v>34</v>
      </c>
      <c r="C15" s="656">
        <v>34</v>
      </c>
      <c r="D15" s="781">
        <v>34</v>
      </c>
    </row>
    <row r="16" spans="1:4" ht="15.75" customHeight="1">
      <c r="A16" s="93" t="s">
        <v>656</v>
      </c>
      <c r="B16" s="311">
        <v>9.5</v>
      </c>
      <c r="C16" s="656">
        <v>9.5</v>
      </c>
      <c r="D16" s="781">
        <v>9.5</v>
      </c>
    </row>
    <row r="17" spans="1:4" ht="15" customHeight="1">
      <c r="A17" s="93" t="s">
        <v>665</v>
      </c>
      <c r="B17" s="311">
        <v>20.5</v>
      </c>
      <c r="C17" s="656">
        <v>20.5</v>
      </c>
      <c r="D17" s="781">
        <v>20.5</v>
      </c>
    </row>
    <row r="18" spans="1:4" ht="15" customHeight="1">
      <c r="A18" s="93" t="s">
        <v>657</v>
      </c>
      <c r="B18" s="311">
        <v>8</v>
      </c>
      <c r="C18" s="656">
        <v>10</v>
      </c>
      <c r="D18" s="781">
        <v>10</v>
      </c>
    </row>
    <row r="19" spans="1:4" ht="15" customHeight="1">
      <c r="A19" s="571" t="s">
        <v>658</v>
      </c>
      <c r="B19" s="311"/>
      <c r="C19" s="656">
        <v>38</v>
      </c>
      <c r="D19" s="781">
        <v>38</v>
      </c>
    </row>
    <row r="20" spans="1:4" s="97" customFormat="1" ht="15" customHeight="1">
      <c r="A20" s="319" t="s">
        <v>409</v>
      </c>
      <c r="B20" s="313">
        <f>SUM(B14,B15,B16,B17,B18)</f>
        <v>180.75</v>
      </c>
      <c r="C20" s="657">
        <f>SUM(C14,C15,C16,C17,C18,C19)</f>
        <v>220.75</v>
      </c>
      <c r="D20" s="782">
        <f>SUM(D14,D15,D16,D17,D18,D19)</f>
        <v>220.75</v>
      </c>
    </row>
    <row r="21" spans="1:4" s="97" customFormat="1" ht="15" customHeight="1">
      <c r="A21" s="320" t="s">
        <v>658</v>
      </c>
      <c r="B21" s="313">
        <v>40</v>
      </c>
      <c r="C21" s="657">
        <v>0</v>
      </c>
      <c r="D21" s="782">
        <v>0</v>
      </c>
    </row>
    <row r="22" spans="1:4" s="186" customFormat="1" ht="15" customHeight="1">
      <c r="A22" s="321" t="s">
        <v>659</v>
      </c>
      <c r="B22" s="314">
        <f>SUM(B20:B21)</f>
        <v>220.75</v>
      </c>
      <c r="C22" s="658">
        <f>SUM(C20:C21)</f>
        <v>220.75</v>
      </c>
      <c r="D22" s="783">
        <f>SUM(D20:D21)</f>
        <v>220.75</v>
      </c>
    </row>
    <row r="23" spans="1:4" ht="15" customHeight="1">
      <c r="A23" s="93"/>
      <c r="B23" s="311"/>
      <c r="C23" s="659"/>
      <c r="D23" s="317"/>
    </row>
    <row r="24" spans="1:4" ht="15" customHeight="1">
      <c r="A24" s="322" t="s">
        <v>12</v>
      </c>
      <c r="B24" s="311"/>
      <c r="C24" s="659"/>
      <c r="D24" s="317"/>
    </row>
    <row r="25" spans="1:4" ht="15" customHeight="1">
      <c r="A25" s="323" t="s">
        <v>660</v>
      </c>
      <c r="B25" s="315">
        <v>78</v>
      </c>
      <c r="C25" s="660">
        <v>80</v>
      </c>
      <c r="D25" s="861">
        <v>80</v>
      </c>
    </row>
    <row r="26" spans="1:4" ht="15" customHeight="1">
      <c r="A26" s="324" t="s">
        <v>313</v>
      </c>
      <c r="B26" s="311">
        <v>5</v>
      </c>
      <c r="C26" s="660">
        <v>5</v>
      </c>
      <c r="D26" s="861">
        <v>5</v>
      </c>
    </row>
    <row r="27" spans="1:4" ht="15" customHeight="1">
      <c r="A27" s="323" t="s">
        <v>312</v>
      </c>
      <c r="B27" s="311">
        <v>3</v>
      </c>
      <c r="C27" s="660">
        <v>3</v>
      </c>
      <c r="D27" s="861">
        <v>3</v>
      </c>
    </row>
    <row r="28" spans="1:4" ht="15" customHeight="1">
      <c r="A28" s="323" t="s">
        <v>661</v>
      </c>
      <c r="B28" s="311">
        <v>6</v>
      </c>
      <c r="C28" s="660">
        <v>6</v>
      </c>
      <c r="D28" s="861">
        <v>6</v>
      </c>
    </row>
    <row r="29" spans="1:4" ht="15" customHeight="1">
      <c r="A29" s="322" t="s">
        <v>314</v>
      </c>
      <c r="B29" s="316">
        <f>SUM(B25:B28)</f>
        <v>92</v>
      </c>
      <c r="C29" s="661">
        <f>SUM(C25:C28)</f>
        <v>94</v>
      </c>
      <c r="D29" s="784">
        <f>SUM(D25:D28)</f>
        <v>94</v>
      </c>
    </row>
    <row r="30" spans="1:4" ht="15" customHeight="1">
      <c r="A30" s="322"/>
      <c r="B30" s="311"/>
      <c r="C30" s="659"/>
      <c r="D30" s="317"/>
    </row>
    <row r="31" spans="1:4" ht="15" customHeight="1">
      <c r="A31" s="322" t="s">
        <v>315</v>
      </c>
      <c r="B31" s="316">
        <v>2</v>
      </c>
      <c r="C31" s="661">
        <v>2</v>
      </c>
      <c r="D31" s="784">
        <v>2</v>
      </c>
    </row>
    <row r="32" spans="1:4" ht="15" customHeight="1">
      <c r="A32" s="93"/>
      <c r="B32" s="311"/>
      <c r="C32" s="659"/>
      <c r="D32" s="317"/>
    </row>
    <row r="33" spans="1:4" ht="15" customHeight="1" thickBot="1">
      <c r="A33" s="325" t="s">
        <v>382</v>
      </c>
      <c r="B33" s="326">
        <f>SUM(B22+B29+B31)</f>
        <v>314.75</v>
      </c>
      <c r="C33" s="662">
        <f>SUM(C22+C29+C31)</f>
        <v>316.75</v>
      </c>
      <c r="D33" s="785">
        <f>SUM(D22+D29+D31)</f>
        <v>316.75</v>
      </c>
    </row>
    <row r="34" spans="1:2" ht="18.75">
      <c r="A34" s="94"/>
      <c r="B34" s="95"/>
    </row>
    <row r="35" ht="15.75">
      <c r="A35" s="96"/>
    </row>
    <row r="36" spans="1:2" ht="12.75">
      <c r="A36" s="1154" t="s">
        <v>662</v>
      </c>
      <c r="B36" s="1154"/>
    </row>
    <row r="37" ht="13.5" thickBot="1"/>
    <row r="38" spans="1:4" ht="12.75">
      <c r="A38" s="1155" t="s">
        <v>776</v>
      </c>
      <c r="B38" s="1160" t="s">
        <v>663</v>
      </c>
      <c r="C38" s="1161"/>
      <c r="D38" s="1162"/>
    </row>
    <row r="39" spans="1:4" ht="15.75" customHeight="1" thickBot="1">
      <c r="A39" s="1156"/>
      <c r="B39" s="328" t="s">
        <v>4</v>
      </c>
      <c r="C39" s="1000" t="s">
        <v>816</v>
      </c>
      <c r="D39" s="1001" t="s">
        <v>895</v>
      </c>
    </row>
    <row r="40" spans="1:4" ht="12.75">
      <c r="A40" s="332" t="s">
        <v>664</v>
      </c>
      <c r="B40" s="331">
        <v>170</v>
      </c>
      <c r="C40" s="1002">
        <v>170</v>
      </c>
      <c r="D40" s="1003">
        <v>170</v>
      </c>
    </row>
    <row r="41" spans="1:4" s="97" customFormat="1" ht="13.5" thickBot="1">
      <c r="A41" s="329" t="s">
        <v>152</v>
      </c>
      <c r="B41" s="330">
        <f>SUM(B40:B40)</f>
        <v>170</v>
      </c>
      <c r="C41" s="1004">
        <v>170</v>
      </c>
      <c r="D41" s="1005">
        <v>170</v>
      </c>
    </row>
    <row r="44" ht="25.5" customHeight="1"/>
  </sheetData>
  <sheetProtection/>
  <mergeCells count="6">
    <mergeCell ref="A1:B1"/>
    <mergeCell ref="A3:A4"/>
    <mergeCell ref="A36:B36"/>
    <mergeCell ref="A38:A39"/>
    <mergeCell ref="B3:D3"/>
    <mergeCell ref="B38:D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&amp;L13. melléklet a 21/2015.(X.2.)  önkormányzati rendelethez
13. melléklet az 1/2015.(I.30.)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="87" zoomScaleSheetLayoutView="87" workbookViewId="0" topLeftCell="A1">
      <selection activeCell="I33" sqref="I33"/>
    </sheetView>
  </sheetViews>
  <sheetFormatPr defaultColWidth="11.625" defaultRowHeight="14.25" customHeight="1"/>
  <cols>
    <col min="1" max="1" width="10.75390625" style="87" customWidth="1"/>
    <col min="2" max="2" width="10.25390625" style="87" customWidth="1"/>
    <col min="3" max="3" width="15.125" style="87" customWidth="1"/>
    <col min="4" max="4" width="15.00390625" style="87" customWidth="1"/>
    <col min="5" max="5" width="14.375" style="87" customWidth="1"/>
    <col min="6" max="6" width="14.75390625" style="87" customWidth="1"/>
    <col min="7" max="7" width="14.375" style="87" customWidth="1"/>
    <col min="8" max="8" width="13.875" style="87" customWidth="1"/>
    <col min="9" max="9" width="14.25390625" style="87" customWidth="1"/>
    <col min="10" max="10" width="14.375" style="87" customWidth="1"/>
    <col min="11" max="11" width="13.75390625" style="0" customWidth="1"/>
  </cols>
  <sheetData>
    <row r="1" spans="1:11" ht="14.25" customHeight="1">
      <c r="A1" s="1163" t="s">
        <v>389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</row>
    <row r="2" spans="1:10" ht="14.2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1" ht="14.25" customHeight="1">
      <c r="A3" s="1164" t="s">
        <v>620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4"/>
    </row>
    <row r="4" spans="1:10" ht="14.25" customHeight="1">
      <c r="A4" s="1164"/>
      <c r="B4" s="1164"/>
      <c r="C4" s="1164"/>
      <c r="D4" s="1164"/>
      <c r="E4" s="1164"/>
      <c r="F4" s="1164"/>
      <c r="G4" s="1164"/>
      <c r="H4" s="1164"/>
      <c r="I4" s="1164"/>
      <c r="J4" s="440"/>
    </row>
    <row r="5" spans="1:10" ht="17.25" customHeight="1" thickBot="1">
      <c r="A5" s="85"/>
      <c r="B5" s="85"/>
      <c r="C5" s="85"/>
      <c r="D5" s="85"/>
      <c r="E5" s="85"/>
      <c r="F5" s="85"/>
      <c r="G5" s="85"/>
      <c r="H5" s="85"/>
      <c r="I5" s="86"/>
      <c r="J5" s="86"/>
    </row>
    <row r="6" spans="1:11" ht="43.5" customHeight="1">
      <c r="A6" s="1167" t="s">
        <v>776</v>
      </c>
      <c r="B6" s="1168"/>
      <c r="C6" s="444" t="s">
        <v>847</v>
      </c>
      <c r="D6" s="444" t="s">
        <v>848</v>
      </c>
      <c r="E6" s="444" t="s">
        <v>897</v>
      </c>
      <c r="F6" s="444" t="s">
        <v>849</v>
      </c>
      <c r="G6" s="444" t="s">
        <v>850</v>
      </c>
      <c r="H6" s="444" t="s">
        <v>898</v>
      </c>
      <c r="I6" s="444" t="s">
        <v>851</v>
      </c>
      <c r="J6" s="666" t="s">
        <v>852</v>
      </c>
      <c r="K6" s="445" t="s">
        <v>899</v>
      </c>
    </row>
    <row r="7" spans="1:11" ht="14.25" customHeight="1">
      <c r="A7" s="1165" t="s">
        <v>399</v>
      </c>
      <c r="B7" s="1166"/>
      <c r="C7" s="441">
        <v>222222</v>
      </c>
      <c r="D7" s="441">
        <v>222222</v>
      </c>
      <c r="E7" s="441">
        <v>222222</v>
      </c>
      <c r="F7" s="441">
        <v>650000</v>
      </c>
      <c r="G7" s="441">
        <v>650000</v>
      </c>
      <c r="H7" s="441">
        <v>650000</v>
      </c>
      <c r="I7" s="442">
        <f>C7+F7</f>
        <v>872222</v>
      </c>
      <c r="J7" s="667">
        <f>D7+G7</f>
        <v>872222</v>
      </c>
      <c r="K7" s="890">
        <f>E7+H7</f>
        <v>872222</v>
      </c>
    </row>
    <row r="8" spans="1:11" ht="14.25" customHeight="1">
      <c r="A8" s="446"/>
      <c r="B8" s="443" t="s">
        <v>397</v>
      </c>
      <c r="C8" s="441">
        <v>0</v>
      </c>
      <c r="D8" s="441">
        <v>55556</v>
      </c>
      <c r="E8" s="441">
        <v>221950</v>
      </c>
      <c r="F8" s="441">
        <v>0</v>
      </c>
      <c r="G8" s="441">
        <v>0</v>
      </c>
      <c r="H8" s="441">
        <v>0</v>
      </c>
      <c r="I8" s="442">
        <f aca="true" t="shared" si="0" ref="I8:I36">C8+F8</f>
        <v>0</v>
      </c>
      <c r="J8" s="667">
        <f aca="true" t="shared" si="1" ref="J8:J36">D8+G8</f>
        <v>55556</v>
      </c>
      <c r="K8" s="890">
        <f aca="true" t="shared" si="2" ref="K8:K36">E8+H8</f>
        <v>221950</v>
      </c>
    </row>
    <row r="9" spans="1:11" ht="14.25" customHeight="1">
      <c r="A9" s="447"/>
      <c r="B9" s="443" t="s">
        <v>398</v>
      </c>
      <c r="C9" s="441">
        <v>13744</v>
      </c>
      <c r="D9" s="441">
        <v>13744</v>
      </c>
      <c r="E9" s="441">
        <v>13744</v>
      </c>
      <c r="F9" s="441">
        <v>11595</v>
      </c>
      <c r="G9" s="441">
        <v>11595</v>
      </c>
      <c r="H9" s="441">
        <v>11595</v>
      </c>
      <c r="I9" s="442">
        <f t="shared" si="0"/>
        <v>25339</v>
      </c>
      <c r="J9" s="667">
        <f t="shared" si="1"/>
        <v>25339</v>
      </c>
      <c r="K9" s="890">
        <f t="shared" si="2"/>
        <v>25339</v>
      </c>
    </row>
    <row r="10" spans="1:11" ht="14.25" customHeight="1">
      <c r="A10" s="1165" t="s">
        <v>400</v>
      </c>
      <c r="B10" s="1166"/>
      <c r="C10" s="441">
        <f>C7-C8</f>
        <v>222222</v>
      </c>
      <c r="D10" s="441">
        <v>166666</v>
      </c>
      <c r="E10" s="441">
        <v>0</v>
      </c>
      <c r="F10" s="441">
        <f>F7-F8</f>
        <v>650000</v>
      </c>
      <c r="G10" s="441">
        <v>650000</v>
      </c>
      <c r="H10" s="441">
        <v>650000</v>
      </c>
      <c r="I10" s="442">
        <f t="shared" si="0"/>
        <v>872222</v>
      </c>
      <c r="J10" s="667">
        <f t="shared" si="1"/>
        <v>816666</v>
      </c>
      <c r="K10" s="890">
        <f t="shared" si="2"/>
        <v>650000</v>
      </c>
    </row>
    <row r="11" spans="1:11" ht="14.25" customHeight="1">
      <c r="A11" s="447"/>
      <c r="B11" s="443" t="s">
        <v>397</v>
      </c>
      <c r="C11" s="441">
        <v>111111</v>
      </c>
      <c r="D11" s="441">
        <v>111111</v>
      </c>
      <c r="E11" s="441">
        <v>0</v>
      </c>
      <c r="F11" s="441">
        <v>0</v>
      </c>
      <c r="G11" s="441">
        <v>0</v>
      </c>
      <c r="H11" s="441">
        <v>0</v>
      </c>
      <c r="I11" s="442">
        <f t="shared" si="0"/>
        <v>111111</v>
      </c>
      <c r="J11" s="667">
        <f t="shared" si="1"/>
        <v>111111</v>
      </c>
      <c r="K11" s="890">
        <f t="shared" si="2"/>
        <v>0</v>
      </c>
    </row>
    <row r="12" spans="1:11" ht="14.25" customHeight="1">
      <c r="A12" s="447"/>
      <c r="B12" s="443" t="s">
        <v>398</v>
      </c>
      <c r="C12" s="441">
        <v>11188</v>
      </c>
      <c r="D12" s="441">
        <v>11188</v>
      </c>
      <c r="E12" s="441">
        <v>0</v>
      </c>
      <c r="F12" s="441">
        <v>23063</v>
      </c>
      <c r="G12" s="441">
        <v>23063</v>
      </c>
      <c r="H12" s="441">
        <v>23063</v>
      </c>
      <c r="I12" s="442">
        <f t="shared" si="0"/>
        <v>34251</v>
      </c>
      <c r="J12" s="667">
        <f t="shared" si="1"/>
        <v>34251</v>
      </c>
      <c r="K12" s="890">
        <f t="shared" si="2"/>
        <v>23063</v>
      </c>
    </row>
    <row r="13" spans="1:11" ht="14.25" customHeight="1">
      <c r="A13" s="1165" t="s">
        <v>401</v>
      </c>
      <c r="B13" s="1166"/>
      <c r="C13" s="441">
        <f>C10-C11</f>
        <v>111111</v>
      </c>
      <c r="D13" s="441">
        <v>55555</v>
      </c>
      <c r="E13" s="441">
        <v>0</v>
      </c>
      <c r="F13" s="441">
        <f>F10-F11</f>
        <v>650000</v>
      </c>
      <c r="G13" s="441">
        <v>650000</v>
      </c>
      <c r="H13" s="441">
        <v>650000</v>
      </c>
      <c r="I13" s="442">
        <f t="shared" si="0"/>
        <v>761111</v>
      </c>
      <c r="J13" s="667">
        <f t="shared" si="1"/>
        <v>705555</v>
      </c>
      <c r="K13" s="890">
        <f t="shared" si="2"/>
        <v>650000</v>
      </c>
    </row>
    <row r="14" spans="1:11" ht="14.25" customHeight="1">
      <c r="A14" s="447"/>
      <c r="B14" s="443" t="s">
        <v>397</v>
      </c>
      <c r="C14" s="441">
        <v>111111</v>
      </c>
      <c r="D14" s="441">
        <v>55555</v>
      </c>
      <c r="E14" s="441">
        <v>0</v>
      </c>
      <c r="F14" s="441">
        <v>81250</v>
      </c>
      <c r="G14" s="441">
        <v>81250</v>
      </c>
      <c r="H14" s="441">
        <v>81250</v>
      </c>
      <c r="I14" s="442">
        <f t="shared" si="0"/>
        <v>192361</v>
      </c>
      <c r="J14" s="667">
        <f t="shared" si="1"/>
        <v>136805</v>
      </c>
      <c r="K14" s="890">
        <f t="shared" si="2"/>
        <v>81250</v>
      </c>
    </row>
    <row r="15" spans="1:11" ht="14.25" customHeight="1">
      <c r="A15" s="447"/>
      <c r="B15" s="443" t="s">
        <v>398</v>
      </c>
      <c r="C15" s="441">
        <v>4278</v>
      </c>
      <c r="D15" s="441">
        <v>4278</v>
      </c>
      <c r="E15" s="441">
        <v>0</v>
      </c>
      <c r="F15" s="441">
        <v>22275</v>
      </c>
      <c r="G15" s="441">
        <v>22274</v>
      </c>
      <c r="H15" s="441">
        <v>22274</v>
      </c>
      <c r="I15" s="442">
        <f t="shared" si="0"/>
        <v>26553</v>
      </c>
      <c r="J15" s="667">
        <f t="shared" si="1"/>
        <v>26552</v>
      </c>
      <c r="K15" s="890">
        <f t="shared" si="2"/>
        <v>22274</v>
      </c>
    </row>
    <row r="16" spans="1:11" ht="14.25" customHeight="1">
      <c r="A16" s="1165" t="s">
        <v>402</v>
      </c>
      <c r="B16" s="1166"/>
      <c r="C16" s="441"/>
      <c r="D16" s="441"/>
      <c r="E16" s="441"/>
      <c r="F16" s="441">
        <f>F13-F14</f>
        <v>568750</v>
      </c>
      <c r="G16" s="441">
        <v>568750</v>
      </c>
      <c r="H16" s="441">
        <v>568750</v>
      </c>
      <c r="I16" s="442">
        <f t="shared" si="0"/>
        <v>568750</v>
      </c>
      <c r="J16" s="667">
        <f t="shared" si="1"/>
        <v>568750</v>
      </c>
      <c r="K16" s="890">
        <f t="shared" si="2"/>
        <v>568750</v>
      </c>
    </row>
    <row r="17" spans="1:11" ht="14.25" customHeight="1">
      <c r="A17" s="447"/>
      <c r="B17" s="443" t="s">
        <v>397</v>
      </c>
      <c r="C17" s="441"/>
      <c r="D17" s="441"/>
      <c r="E17" s="441"/>
      <c r="F17" s="441">
        <v>81250</v>
      </c>
      <c r="G17" s="441">
        <v>81250</v>
      </c>
      <c r="H17" s="441">
        <v>81250</v>
      </c>
      <c r="I17" s="442">
        <f t="shared" si="0"/>
        <v>81250</v>
      </c>
      <c r="J17" s="667">
        <f t="shared" si="1"/>
        <v>81250</v>
      </c>
      <c r="K17" s="890">
        <f t="shared" si="2"/>
        <v>81250</v>
      </c>
    </row>
    <row r="18" spans="1:11" ht="14.25" customHeight="1">
      <c r="A18" s="447"/>
      <c r="B18" s="443" t="s">
        <v>398</v>
      </c>
      <c r="C18" s="441"/>
      <c r="D18" s="441"/>
      <c r="E18" s="441"/>
      <c r="F18" s="441">
        <v>19400</v>
      </c>
      <c r="G18" s="441">
        <v>19400</v>
      </c>
      <c r="H18" s="441">
        <v>19400</v>
      </c>
      <c r="I18" s="442">
        <f t="shared" si="0"/>
        <v>19400</v>
      </c>
      <c r="J18" s="667">
        <f t="shared" si="1"/>
        <v>19400</v>
      </c>
      <c r="K18" s="890">
        <f t="shared" si="2"/>
        <v>19400</v>
      </c>
    </row>
    <row r="19" spans="1:11" ht="14.25" customHeight="1">
      <c r="A19" s="1165" t="s">
        <v>403</v>
      </c>
      <c r="B19" s="1166"/>
      <c r="C19" s="441"/>
      <c r="D19" s="441"/>
      <c r="E19" s="441"/>
      <c r="F19" s="441">
        <f>F16-F17</f>
        <v>487500</v>
      </c>
      <c r="G19" s="441">
        <v>487500</v>
      </c>
      <c r="H19" s="441">
        <v>487500</v>
      </c>
      <c r="I19" s="442">
        <f t="shared" si="0"/>
        <v>487500</v>
      </c>
      <c r="J19" s="667">
        <f t="shared" si="1"/>
        <v>487500</v>
      </c>
      <c r="K19" s="890">
        <f t="shared" si="2"/>
        <v>487500</v>
      </c>
    </row>
    <row r="20" spans="1:11" ht="14.25" customHeight="1">
      <c r="A20" s="447"/>
      <c r="B20" s="443" t="s">
        <v>397</v>
      </c>
      <c r="C20" s="441"/>
      <c r="D20" s="441"/>
      <c r="E20" s="441"/>
      <c r="F20" s="441">
        <v>81250</v>
      </c>
      <c r="G20" s="441">
        <v>81250</v>
      </c>
      <c r="H20" s="441">
        <v>81250</v>
      </c>
      <c r="I20" s="442">
        <f t="shared" si="0"/>
        <v>81250</v>
      </c>
      <c r="J20" s="667">
        <f t="shared" si="1"/>
        <v>81250</v>
      </c>
      <c r="K20" s="890">
        <f t="shared" si="2"/>
        <v>81250</v>
      </c>
    </row>
    <row r="21" spans="1:11" ht="14.25" customHeight="1">
      <c r="A21" s="447"/>
      <c r="B21" s="443" t="s">
        <v>398</v>
      </c>
      <c r="C21" s="441"/>
      <c r="D21" s="441"/>
      <c r="E21" s="441"/>
      <c r="F21" s="441">
        <v>16525</v>
      </c>
      <c r="G21" s="441">
        <v>16525</v>
      </c>
      <c r="H21" s="441">
        <v>16525</v>
      </c>
      <c r="I21" s="442">
        <f t="shared" si="0"/>
        <v>16525</v>
      </c>
      <c r="J21" s="667">
        <f t="shared" si="1"/>
        <v>16525</v>
      </c>
      <c r="K21" s="890">
        <f t="shared" si="2"/>
        <v>16525</v>
      </c>
    </row>
    <row r="22" spans="1:11" ht="14.25" customHeight="1">
      <c r="A22" s="1165" t="s">
        <v>404</v>
      </c>
      <c r="B22" s="1166"/>
      <c r="C22" s="441"/>
      <c r="D22" s="441"/>
      <c r="E22" s="441"/>
      <c r="F22" s="441">
        <f>F19-F20</f>
        <v>406250</v>
      </c>
      <c r="G22" s="441">
        <v>406250</v>
      </c>
      <c r="H22" s="441">
        <v>406250</v>
      </c>
      <c r="I22" s="442">
        <f t="shared" si="0"/>
        <v>406250</v>
      </c>
      <c r="J22" s="667">
        <f t="shared" si="1"/>
        <v>406250</v>
      </c>
      <c r="K22" s="890">
        <f t="shared" si="2"/>
        <v>406250</v>
      </c>
    </row>
    <row r="23" spans="1:11" ht="14.25" customHeight="1">
      <c r="A23" s="447"/>
      <c r="B23" s="443" t="s">
        <v>397</v>
      </c>
      <c r="C23" s="441"/>
      <c r="D23" s="441"/>
      <c r="E23" s="441"/>
      <c r="F23" s="441">
        <v>81250</v>
      </c>
      <c r="G23" s="441">
        <v>81250</v>
      </c>
      <c r="H23" s="441">
        <v>81250</v>
      </c>
      <c r="I23" s="442">
        <f t="shared" si="0"/>
        <v>81250</v>
      </c>
      <c r="J23" s="667">
        <f t="shared" si="1"/>
        <v>81250</v>
      </c>
      <c r="K23" s="890">
        <f t="shared" si="2"/>
        <v>81250</v>
      </c>
    </row>
    <row r="24" spans="1:11" ht="14.25" customHeight="1">
      <c r="A24" s="447"/>
      <c r="B24" s="443" t="s">
        <v>398</v>
      </c>
      <c r="C24" s="441"/>
      <c r="D24" s="441"/>
      <c r="E24" s="441"/>
      <c r="F24" s="441">
        <v>13690</v>
      </c>
      <c r="G24" s="441">
        <v>13690</v>
      </c>
      <c r="H24" s="441">
        <v>13690</v>
      </c>
      <c r="I24" s="442">
        <f t="shared" si="0"/>
        <v>13690</v>
      </c>
      <c r="J24" s="667">
        <f t="shared" si="1"/>
        <v>13690</v>
      </c>
      <c r="K24" s="890">
        <f t="shared" si="2"/>
        <v>13690</v>
      </c>
    </row>
    <row r="25" spans="1:11" ht="14.25" customHeight="1">
      <c r="A25" s="1165" t="s">
        <v>405</v>
      </c>
      <c r="B25" s="1166"/>
      <c r="C25" s="441"/>
      <c r="D25" s="441"/>
      <c r="E25" s="441"/>
      <c r="F25" s="441">
        <f>F22-F23</f>
        <v>325000</v>
      </c>
      <c r="G25" s="441">
        <v>325000</v>
      </c>
      <c r="H25" s="441">
        <v>325000</v>
      </c>
      <c r="I25" s="442">
        <f t="shared" si="0"/>
        <v>325000</v>
      </c>
      <c r="J25" s="667">
        <f t="shared" si="1"/>
        <v>325000</v>
      </c>
      <c r="K25" s="890">
        <f t="shared" si="2"/>
        <v>325000</v>
      </c>
    </row>
    <row r="26" spans="1:11" ht="14.25" customHeight="1">
      <c r="A26" s="447"/>
      <c r="B26" s="443" t="s">
        <v>397</v>
      </c>
      <c r="C26" s="441"/>
      <c r="D26" s="441"/>
      <c r="E26" s="441"/>
      <c r="F26" s="441">
        <v>81250</v>
      </c>
      <c r="G26" s="441">
        <v>81250</v>
      </c>
      <c r="H26" s="441">
        <v>81250</v>
      </c>
      <c r="I26" s="442">
        <f t="shared" si="0"/>
        <v>81250</v>
      </c>
      <c r="J26" s="667">
        <f t="shared" si="1"/>
        <v>81250</v>
      </c>
      <c r="K26" s="890">
        <f t="shared" si="2"/>
        <v>81250</v>
      </c>
    </row>
    <row r="27" spans="1:11" ht="14.25" customHeight="1">
      <c r="A27" s="447"/>
      <c r="B27" s="443" t="s">
        <v>398</v>
      </c>
      <c r="C27" s="441"/>
      <c r="D27" s="441"/>
      <c r="E27" s="441"/>
      <c r="F27" s="441">
        <v>10775</v>
      </c>
      <c r="G27" s="441">
        <v>10775</v>
      </c>
      <c r="H27" s="441">
        <v>10775</v>
      </c>
      <c r="I27" s="442">
        <f t="shared" si="0"/>
        <v>10775</v>
      </c>
      <c r="J27" s="667">
        <f t="shared" si="1"/>
        <v>10775</v>
      </c>
      <c r="K27" s="890">
        <f t="shared" si="2"/>
        <v>10775</v>
      </c>
    </row>
    <row r="28" spans="1:11" ht="14.25" customHeight="1">
      <c r="A28" s="1165" t="s">
        <v>406</v>
      </c>
      <c r="B28" s="1166"/>
      <c r="C28" s="441"/>
      <c r="D28" s="441"/>
      <c r="E28" s="441"/>
      <c r="F28" s="441">
        <f>F25-F26</f>
        <v>243750</v>
      </c>
      <c r="G28" s="441">
        <v>243750</v>
      </c>
      <c r="H28" s="441">
        <v>243750</v>
      </c>
      <c r="I28" s="442">
        <f t="shared" si="0"/>
        <v>243750</v>
      </c>
      <c r="J28" s="667">
        <f t="shared" si="1"/>
        <v>243750</v>
      </c>
      <c r="K28" s="890">
        <f t="shared" si="2"/>
        <v>243750</v>
      </c>
    </row>
    <row r="29" spans="1:11" ht="14.25" customHeight="1">
      <c r="A29" s="447"/>
      <c r="B29" s="443" t="s">
        <v>397</v>
      </c>
      <c r="C29" s="441"/>
      <c r="D29" s="441"/>
      <c r="E29" s="441"/>
      <c r="F29" s="441">
        <v>81250</v>
      </c>
      <c r="G29" s="441">
        <v>81250</v>
      </c>
      <c r="H29" s="441">
        <v>81250</v>
      </c>
      <c r="I29" s="442">
        <f t="shared" si="0"/>
        <v>81250</v>
      </c>
      <c r="J29" s="667">
        <f t="shared" si="1"/>
        <v>81250</v>
      </c>
      <c r="K29" s="890">
        <f t="shared" si="2"/>
        <v>81250</v>
      </c>
    </row>
    <row r="30" spans="1:11" ht="14.25" customHeight="1">
      <c r="A30" s="447"/>
      <c r="B30" s="443" t="s">
        <v>398</v>
      </c>
      <c r="C30" s="441"/>
      <c r="D30" s="441"/>
      <c r="E30" s="441"/>
      <c r="F30" s="441">
        <v>7900</v>
      </c>
      <c r="G30" s="441">
        <v>7900</v>
      </c>
      <c r="H30" s="441">
        <v>7900</v>
      </c>
      <c r="I30" s="442">
        <f t="shared" si="0"/>
        <v>7900</v>
      </c>
      <c r="J30" s="667">
        <f t="shared" si="1"/>
        <v>7900</v>
      </c>
      <c r="K30" s="890">
        <f t="shared" si="2"/>
        <v>7900</v>
      </c>
    </row>
    <row r="31" spans="1:11" ht="14.25" customHeight="1">
      <c r="A31" s="1165" t="s">
        <v>407</v>
      </c>
      <c r="B31" s="1166"/>
      <c r="C31" s="441"/>
      <c r="D31" s="441"/>
      <c r="E31" s="441"/>
      <c r="F31" s="441">
        <f>F28-F29</f>
        <v>162500</v>
      </c>
      <c r="G31" s="441">
        <v>162500</v>
      </c>
      <c r="H31" s="441">
        <v>162500</v>
      </c>
      <c r="I31" s="442">
        <f t="shared" si="0"/>
        <v>162500</v>
      </c>
      <c r="J31" s="667">
        <f t="shared" si="1"/>
        <v>162500</v>
      </c>
      <c r="K31" s="890">
        <f t="shared" si="2"/>
        <v>162500</v>
      </c>
    </row>
    <row r="32" spans="1:11" ht="14.25" customHeight="1">
      <c r="A32" s="447"/>
      <c r="B32" s="443" t="s">
        <v>397</v>
      </c>
      <c r="C32" s="441"/>
      <c r="D32" s="441"/>
      <c r="E32" s="441"/>
      <c r="F32" s="441">
        <v>81250</v>
      </c>
      <c r="G32" s="441">
        <v>81250</v>
      </c>
      <c r="H32" s="441">
        <v>81250</v>
      </c>
      <c r="I32" s="442">
        <f t="shared" si="0"/>
        <v>81250</v>
      </c>
      <c r="J32" s="667">
        <f t="shared" si="1"/>
        <v>81250</v>
      </c>
      <c r="K32" s="890">
        <f t="shared" si="2"/>
        <v>81250</v>
      </c>
    </row>
    <row r="33" spans="1:11" ht="14.25" customHeight="1">
      <c r="A33" s="447"/>
      <c r="B33" s="443" t="s">
        <v>398</v>
      </c>
      <c r="C33" s="441"/>
      <c r="D33" s="441"/>
      <c r="E33" s="441"/>
      <c r="F33" s="441">
        <v>5025</v>
      </c>
      <c r="G33" s="441">
        <v>5025</v>
      </c>
      <c r="H33" s="441">
        <v>5025</v>
      </c>
      <c r="I33" s="442">
        <f t="shared" si="0"/>
        <v>5025</v>
      </c>
      <c r="J33" s="667">
        <f t="shared" si="1"/>
        <v>5025</v>
      </c>
      <c r="K33" s="890">
        <f t="shared" si="2"/>
        <v>5025</v>
      </c>
    </row>
    <row r="34" spans="1:11" ht="14.25" customHeight="1">
      <c r="A34" s="1165" t="s">
        <v>408</v>
      </c>
      <c r="B34" s="1166"/>
      <c r="C34" s="441"/>
      <c r="D34" s="441"/>
      <c r="E34" s="441"/>
      <c r="F34" s="441">
        <f>F31-F32</f>
        <v>81250</v>
      </c>
      <c r="G34" s="441">
        <v>81250</v>
      </c>
      <c r="H34" s="441">
        <v>81250</v>
      </c>
      <c r="I34" s="442">
        <f t="shared" si="0"/>
        <v>81250</v>
      </c>
      <c r="J34" s="667">
        <f t="shared" si="1"/>
        <v>81250</v>
      </c>
      <c r="K34" s="890">
        <f t="shared" si="2"/>
        <v>81250</v>
      </c>
    </row>
    <row r="35" spans="1:11" ht="14.25" customHeight="1">
      <c r="A35" s="447"/>
      <c r="B35" s="443" t="s">
        <v>397</v>
      </c>
      <c r="C35" s="441"/>
      <c r="D35" s="441"/>
      <c r="E35" s="441"/>
      <c r="F35" s="441">
        <v>81250</v>
      </c>
      <c r="G35" s="441">
        <v>81250</v>
      </c>
      <c r="H35" s="441">
        <v>81250</v>
      </c>
      <c r="I35" s="442">
        <f t="shared" si="0"/>
        <v>81250</v>
      </c>
      <c r="J35" s="667">
        <f t="shared" si="1"/>
        <v>81250</v>
      </c>
      <c r="K35" s="890">
        <f t="shared" si="2"/>
        <v>81250</v>
      </c>
    </row>
    <row r="36" spans="1:11" ht="14.25" customHeight="1" thickBot="1">
      <c r="A36" s="448"/>
      <c r="B36" s="449" t="s">
        <v>398</v>
      </c>
      <c r="C36" s="450"/>
      <c r="D36" s="450"/>
      <c r="E36" s="450"/>
      <c r="F36" s="450">
        <v>2150</v>
      </c>
      <c r="G36" s="450">
        <v>2150</v>
      </c>
      <c r="H36" s="450">
        <v>2150</v>
      </c>
      <c r="I36" s="451">
        <f t="shared" si="0"/>
        <v>2150</v>
      </c>
      <c r="J36" s="668">
        <f t="shared" si="1"/>
        <v>2150</v>
      </c>
      <c r="K36" s="891">
        <f t="shared" si="2"/>
        <v>2150</v>
      </c>
    </row>
  </sheetData>
  <sheetProtection selectLockedCells="1" selectUnlockedCells="1"/>
  <mergeCells count="14">
    <mergeCell ref="A31:B31"/>
    <mergeCell ref="A34:B34"/>
    <mergeCell ref="A19:B19"/>
    <mergeCell ref="A22:B22"/>
    <mergeCell ref="A25:B25"/>
    <mergeCell ref="A28:B28"/>
    <mergeCell ref="A1:K1"/>
    <mergeCell ref="A3:K3"/>
    <mergeCell ref="A13:B13"/>
    <mergeCell ref="A16:B16"/>
    <mergeCell ref="A4:I4"/>
    <mergeCell ref="A6:B6"/>
    <mergeCell ref="A7:B7"/>
    <mergeCell ref="A10:B10"/>
  </mergeCells>
  <printOptions horizontalCentered="1"/>
  <pageMargins left="0.7874015748031497" right="0.7874015748031497" top="0.7874015748031497" bottom="0.7874015748031497" header="0.5118110236220472" footer="0.5118110236220472"/>
  <pageSetup firstPageNumber="1" useFirstPageNumber="1" fitToWidth="0" fitToHeight="1" horizontalDpi="300" verticalDpi="300" orientation="landscape" paperSize="9" scale="86" r:id="rId1"/>
  <headerFooter alignWithMargins="0">
    <oddHeader>&amp;L14. melléklet a 21/2015.(X.2.)  önkormányzati rendelethez
14. melléklet az 1/2015.(I.30.)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workbookViewId="0" topLeftCell="A1">
      <selection activeCell="E44" sqref="E44"/>
    </sheetView>
  </sheetViews>
  <sheetFormatPr defaultColWidth="9.00390625" defaultRowHeight="12.75"/>
  <cols>
    <col min="1" max="1" width="28.125" style="242" customWidth="1"/>
    <col min="2" max="2" width="9.625" style="242" customWidth="1"/>
    <col min="3" max="3" width="10.625" style="242" customWidth="1"/>
    <col min="4" max="4" width="11.375" style="242" customWidth="1"/>
    <col min="5" max="5" width="28.875" style="242" customWidth="1"/>
    <col min="6" max="6" width="8.875" style="242" customWidth="1"/>
    <col min="7" max="7" width="10.25390625" style="242" customWidth="1"/>
    <col min="8" max="8" width="9.125" style="242" customWidth="1"/>
    <col min="9" max="9" width="15.625" style="242" customWidth="1"/>
    <col min="10" max="10" width="15.00390625" style="242" customWidth="1"/>
    <col min="11" max="16384" width="9.125" style="242" customWidth="1"/>
  </cols>
  <sheetData>
    <row r="1" s="238" customFormat="1" ht="12.75"/>
    <row r="2" spans="1:6" s="238" customFormat="1" ht="12.75">
      <c r="A2" s="1174" t="s">
        <v>393</v>
      </c>
      <c r="B2" s="1174"/>
      <c r="C2" s="1174"/>
      <c r="D2" s="1174"/>
      <c r="E2" s="1174"/>
      <c r="F2" s="1174"/>
    </row>
    <row r="3" s="238" customFormat="1" ht="12.75"/>
    <row r="4" s="238" customFormat="1" ht="12.75">
      <c r="A4" s="239" t="s">
        <v>394</v>
      </c>
    </row>
    <row r="5" s="238" customFormat="1" ht="13.5" thickBot="1"/>
    <row r="6" spans="1:8" s="238" customFormat="1" ht="12.75">
      <c r="A6" s="1172" t="s">
        <v>411</v>
      </c>
      <c r="B6" s="1170"/>
      <c r="C6" s="1170"/>
      <c r="D6" s="1173"/>
      <c r="E6" s="1169" t="s">
        <v>395</v>
      </c>
      <c r="F6" s="1170"/>
      <c r="G6" s="1170"/>
      <c r="H6" s="1171"/>
    </row>
    <row r="7" spans="1:8" s="238" customFormat="1" ht="38.25">
      <c r="A7" s="457" t="s">
        <v>857</v>
      </c>
      <c r="B7" s="452" t="s">
        <v>853</v>
      </c>
      <c r="C7" s="452" t="s">
        <v>854</v>
      </c>
      <c r="D7" s="452" t="s">
        <v>900</v>
      </c>
      <c r="E7" s="673" t="s">
        <v>857</v>
      </c>
      <c r="F7" s="452" t="s">
        <v>853</v>
      </c>
      <c r="G7" s="452" t="s">
        <v>854</v>
      </c>
      <c r="H7" s="674" t="s">
        <v>900</v>
      </c>
    </row>
    <row r="8" spans="1:8" s="238" customFormat="1" ht="12.75">
      <c r="A8" s="457" t="s">
        <v>394</v>
      </c>
      <c r="B8" s="453">
        <v>0</v>
      </c>
      <c r="C8" s="453">
        <v>0</v>
      </c>
      <c r="D8" s="453">
        <v>0</v>
      </c>
      <c r="E8" s="454" t="s">
        <v>679</v>
      </c>
      <c r="F8" s="453">
        <f>SUM(F9:F9)</f>
        <v>0</v>
      </c>
      <c r="G8" s="669">
        <v>0</v>
      </c>
      <c r="H8" s="892">
        <v>0</v>
      </c>
    </row>
    <row r="9" spans="1:8" s="238" customFormat="1" ht="12.75">
      <c r="A9" s="240"/>
      <c r="B9" s="455"/>
      <c r="C9" s="455"/>
      <c r="D9" s="455"/>
      <c r="E9" s="456"/>
      <c r="F9" s="455"/>
      <c r="G9" s="670"/>
      <c r="H9" s="672"/>
    </row>
    <row r="10" spans="1:8" s="238" customFormat="1" ht="13.5" thickBot="1">
      <c r="A10" s="458" t="s">
        <v>367</v>
      </c>
      <c r="B10" s="459">
        <f>SUM(B8:B9)</f>
        <v>0</v>
      </c>
      <c r="C10" s="459">
        <v>0</v>
      </c>
      <c r="D10" s="459">
        <v>0</v>
      </c>
      <c r="E10" s="460" t="s">
        <v>367</v>
      </c>
      <c r="F10" s="459">
        <f>SUM(F8)</f>
        <v>0</v>
      </c>
      <c r="G10" s="671">
        <v>0</v>
      </c>
      <c r="H10" s="893">
        <v>0</v>
      </c>
    </row>
    <row r="11" s="238" customFormat="1" ht="13.5" thickBot="1"/>
    <row r="12" spans="1:8" s="238" customFormat="1" ht="12.75">
      <c r="A12" s="1172" t="s">
        <v>411</v>
      </c>
      <c r="B12" s="1170"/>
      <c r="C12" s="1170"/>
      <c r="D12" s="1173"/>
      <c r="E12" s="1169" t="s">
        <v>395</v>
      </c>
      <c r="F12" s="1170"/>
      <c r="G12" s="1170"/>
      <c r="H12" s="1171"/>
    </row>
    <row r="13" spans="1:8" s="238" customFormat="1" ht="38.25">
      <c r="A13" s="473" t="s">
        <v>858</v>
      </c>
      <c r="B13" s="452" t="s">
        <v>853</v>
      </c>
      <c r="C13" s="452" t="s">
        <v>854</v>
      </c>
      <c r="D13" s="452" t="s">
        <v>900</v>
      </c>
      <c r="E13" s="454" t="s">
        <v>858</v>
      </c>
      <c r="F13" s="452" t="s">
        <v>853</v>
      </c>
      <c r="G13" s="452" t="s">
        <v>854</v>
      </c>
      <c r="H13" s="674" t="s">
        <v>900</v>
      </c>
    </row>
    <row r="14" spans="1:8" s="238" customFormat="1" ht="12.75">
      <c r="A14" s="457" t="s">
        <v>394</v>
      </c>
      <c r="B14" s="453">
        <v>0</v>
      </c>
      <c r="C14" s="453">
        <v>3010</v>
      </c>
      <c r="D14" s="453">
        <v>3010</v>
      </c>
      <c r="E14" s="454" t="s">
        <v>371</v>
      </c>
      <c r="F14" s="453">
        <f>SUM(F15:F15)</f>
        <v>0</v>
      </c>
      <c r="G14" s="453">
        <v>2370</v>
      </c>
      <c r="H14" s="892">
        <v>2370</v>
      </c>
    </row>
    <row r="15" spans="1:8" s="238" customFormat="1" ht="12.75">
      <c r="A15" s="240"/>
      <c r="B15" s="455"/>
      <c r="C15" s="455"/>
      <c r="D15" s="455"/>
      <c r="E15" s="454" t="s">
        <v>859</v>
      </c>
      <c r="F15" s="455"/>
      <c r="G15" s="453">
        <v>640</v>
      </c>
      <c r="H15" s="892">
        <v>640</v>
      </c>
    </row>
    <row r="16" spans="1:8" s="238" customFormat="1" ht="13.5" thickBot="1">
      <c r="A16" s="458" t="s">
        <v>367</v>
      </c>
      <c r="B16" s="459">
        <f>SUM(B14:B15)</f>
        <v>0</v>
      </c>
      <c r="C16" s="459">
        <f>SUM(C14)</f>
        <v>3010</v>
      </c>
      <c r="D16" s="459">
        <f>SUM(D14)</f>
        <v>3010</v>
      </c>
      <c r="E16" s="460" t="s">
        <v>367</v>
      </c>
      <c r="F16" s="459">
        <f>SUM(F14)</f>
        <v>0</v>
      </c>
      <c r="G16" s="459">
        <f>SUM(G14:G15)</f>
        <v>3010</v>
      </c>
      <c r="H16" s="893">
        <f>SUM(H14:H15)</f>
        <v>3010</v>
      </c>
    </row>
    <row r="17" s="238" customFormat="1" ht="13.5" thickBot="1"/>
    <row r="18" spans="1:8" s="238" customFormat="1" ht="12.75">
      <c r="A18" s="1172" t="s">
        <v>411</v>
      </c>
      <c r="B18" s="1170"/>
      <c r="C18" s="1170"/>
      <c r="D18" s="1173"/>
      <c r="E18" s="1169" t="s">
        <v>395</v>
      </c>
      <c r="F18" s="1170"/>
      <c r="G18" s="1170"/>
      <c r="H18" s="1171"/>
    </row>
    <row r="19" spans="1:8" s="238" customFormat="1" ht="38.25">
      <c r="A19" s="473" t="s">
        <v>860</v>
      </c>
      <c r="B19" s="452" t="s">
        <v>853</v>
      </c>
      <c r="C19" s="452" t="s">
        <v>854</v>
      </c>
      <c r="D19" s="452" t="s">
        <v>900</v>
      </c>
      <c r="E19" s="454" t="s">
        <v>858</v>
      </c>
      <c r="F19" s="452" t="s">
        <v>853</v>
      </c>
      <c r="G19" s="452" t="s">
        <v>854</v>
      </c>
      <c r="H19" s="674" t="s">
        <v>900</v>
      </c>
    </row>
    <row r="20" spans="1:8" s="238" customFormat="1" ht="12.75">
      <c r="A20" s="457" t="s">
        <v>394</v>
      </c>
      <c r="B20" s="453">
        <v>0</v>
      </c>
      <c r="C20" s="453">
        <v>50349</v>
      </c>
      <c r="D20" s="453">
        <v>50349</v>
      </c>
      <c r="E20" s="454" t="s">
        <v>371</v>
      </c>
      <c r="F20" s="453">
        <f>SUM(F21:F21)</f>
        <v>0</v>
      </c>
      <c r="G20" s="453">
        <v>11771</v>
      </c>
      <c r="H20" s="892">
        <v>11771</v>
      </c>
    </row>
    <row r="21" spans="1:8" s="238" customFormat="1" ht="12.75">
      <c r="A21" s="240"/>
      <c r="B21" s="455"/>
      <c r="C21" s="455"/>
      <c r="D21" s="455"/>
      <c r="E21" s="454" t="s">
        <v>859</v>
      </c>
      <c r="F21" s="455"/>
      <c r="G21" s="453">
        <v>3394</v>
      </c>
      <c r="H21" s="892">
        <v>3394</v>
      </c>
    </row>
    <row r="22" spans="1:8" s="238" customFormat="1" ht="12.75">
      <c r="A22" s="240"/>
      <c r="B22" s="455"/>
      <c r="C22" s="455"/>
      <c r="D22" s="453"/>
      <c r="E22" s="454" t="s">
        <v>534</v>
      </c>
      <c r="F22" s="455"/>
      <c r="G22" s="453">
        <v>35184</v>
      </c>
      <c r="H22" s="892">
        <v>35184</v>
      </c>
    </row>
    <row r="23" spans="1:8" s="238" customFormat="1" ht="13.5" thickBot="1">
      <c r="A23" s="458" t="s">
        <v>367</v>
      </c>
      <c r="B23" s="459">
        <f>SUM(B20:B21)</f>
        <v>0</v>
      </c>
      <c r="C23" s="459">
        <f>SUM(C20)</f>
        <v>50349</v>
      </c>
      <c r="D23" s="459">
        <f>SUM(D20)</f>
        <v>50349</v>
      </c>
      <c r="E23" s="460" t="s">
        <v>367</v>
      </c>
      <c r="F23" s="459">
        <f>SUM(F20)</f>
        <v>0</v>
      </c>
      <c r="G23" s="459">
        <f>SUM(G20:G22)</f>
        <v>50349</v>
      </c>
      <c r="H23" s="893">
        <f>SUM(H20:H22)</f>
        <v>50349</v>
      </c>
    </row>
    <row r="24" spans="1:7" s="238" customFormat="1" ht="12.75">
      <c r="A24" s="474"/>
      <c r="B24" s="475"/>
      <c r="C24" s="475"/>
      <c r="D24" s="475"/>
      <c r="E24" s="474"/>
      <c r="F24" s="475"/>
      <c r="G24" s="475"/>
    </row>
    <row r="25" spans="1:7" s="238" customFormat="1" ht="12.75">
      <c r="A25" s="474"/>
      <c r="B25" s="475"/>
      <c r="C25" s="475"/>
      <c r="D25" s="475"/>
      <c r="E25" s="474"/>
      <c r="F25" s="475"/>
      <c r="G25" s="475"/>
    </row>
    <row r="26" spans="1:8" s="238" customFormat="1" ht="12.75">
      <c r="A26" s="474" t="s">
        <v>15</v>
      </c>
      <c r="B26" s="475">
        <v>0</v>
      </c>
      <c r="C26" s="475">
        <f>(C10+C16+C23)</f>
        <v>53359</v>
      </c>
      <c r="D26" s="475">
        <f>(D10+D16+D23)</f>
        <v>53359</v>
      </c>
      <c r="E26" s="474" t="s">
        <v>15</v>
      </c>
      <c r="F26" s="475">
        <v>0</v>
      </c>
      <c r="G26" s="475">
        <f>(G10+G16+G23)</f>
        <v>53359</v>
      </c>
      <c r="H26" s="475">
        <f>(H10+H16+H23)</f>
        <v>53359</v>
      </c>
    </row>
    <row r="27" s="238" customFormat="1" ht="12.75"/>
    <row r="28" s="238" customFormat="1" ht="12.75">
      <c r="A28" s="239" t="s">
        <v>396</v>
      </c>
    </row>
    <row r="29" s="238" customFormat="1" ht="13.5" thickBot="1"/>
    <row r="30" spans="1:8" s="238" customFormat="1" ht="12.75">
      <c r="A30" s="1178" t="s">
        <v>411</v>
      </c>
      <c r="B30" s="1176"/>
      <c r="C30" s="1176"/>
      <c r="D30" s="1179"/>
      <c r="E30" s="1175" t="s">
        <v>395</v>
      </c>
      <c r="F30" s="1176"/>
      <c r="G30" s="1176"/>
      <c r="H30" s="1177"/>
    </row>
    <row r="31" spans="1:8" s="238" customFormat="1" ht="38.25">
      <c r="A31" s="457" t="s">
        <v>857</v>
      </c>
      <c r="B31" s="452" t="s">
        <v>853</v>
      </c>
      <c r="C31" s="452" t="s">
        <v>854</v>
      </c>
      <c r="D31" s="452" t="s">
        <v>900</v>
      </c>
      <c r="E31" s="673" t="s">
        <v>857</v>
      </c>
      <c r="F31" s="452" t="s">
        <v>853</v>
      </c>
      <c r="G31" s="452" t="s">
        <v>854</v>
      </c>
      <c r="H31" s="681" t="s">
        <v>900</v>
      </c>
    </row>
    <row r="32" spans="1:8" s="238" customFormat="1" ht="12.75">
      <c r="A32" s="465" t="s">
        <v>396</v>
      </c>
      <c r="B32" s="462">
        <v>100000</v>
      </c>
      <c r="C32" s="462">
        <v>81606</v>
      </c>
      <c r="D32" s="462">
        <v>81606</v>
      </c>
      <c r="E32" s="461" t="s">
        <v>710</v>
      </c>
      <c r="F32" s="462">
        <f>SUM(F33:F34)</f>
        <v>100000</v>
      </c>
      <c r="G32" s="462">
        <v>81606</v>
      </c>
      <c r="H32" s="894">
        <v>81606</v>
      </c>
    </row>
    <row r="33" spans="1:8" s="238" customFormat="1" ht="25.5">
      <c r="A33" s="241"/>
      <c r="B33" s="464"/>
      <c r="C33" s="464"/>
      <c r="D33" s="455"/>
      <c r="E33" s="463" t="s">
        <v>51</v>
      </c>
      <c r="F33" s="464">
        <v>66000</v>
      </c>
      <c r="G33" s="464">
        <v>66000</v>
      </c>
      <c r="H33" s="895">
        <v>66000</v>
      </c>
    </row>
    <row r="34" spans="1:8" s="238" customFormat="1" ht="12.75">
      <c r="A34" s="241"/>
      <c r="B34" s="464"/>
      <c r="C34" s="464"/>
      <c r="D34" s="453"/>
      <c r="E34" s="463" t="s">
        <v>54</v>
      </c>
      <c r="F34" s="464">
        <v>34000</v>
      </c>
      <c r="G34" s="464">
        <v>15606</v>
      </c>
      <c r="H34" s="895">
        <v>15606</v>
      </c>
    </row>
    <row r="35" spans="1:8" s="238" customFormat="1" ht="13.5" thickBot="1">
      <c r="A35" s="466" t="s">
        <v>367</v>
      </c>
      <c r="B35" s="467">
        <f>SUM(B32:B34)</f>
        <v>100000</v>
      </c>
      <c r="C35" s="467">
        <f>SUM(C32:C34)</f>
        <v>81606</v>
      </c>
      <c r="D35" s="467">
        <f>SUM(D32:D34)</f>
        <v>81606</v>
      </c>
      <c r="E35" s="468" t="s">
        <v>367</v>
      </c>
      <c r="F35" s="467">
        <f>SUM(F32)</f>
        <v>100000</v>
      </c>
      <c r="G35" s="467">
        <f>SUM(G32)</f>
        <v>81606</v>
      </c>
      <c r="H35" s="896">
        <f>SUM(H32)</f>
        <v>81606</v>
      </c>
    </row>
    <row r="36" s="238" customFormat="1" ht="13.5" thickBot="1"/>
    <row r="37" spans="1:8" s="238" customFormat="1" ht="12.75">
      <c r="A37" s="1178" t="s">
        <v>411</v>
      </c>
      <c r="B37" s="1176"/>
      <c r="C37" s="1176"/>
      <c r="D37" s="1179"/>
      <c r="E37" s="1175" t="s">
        <v>395</v>
      </c>
      <c r="F37" s="1176"/>
      <c r="G37" s="1176"/>
      <c r="H37" s="1177"/>
    </row>
    <row r="38" spans="1:8" s="238" customFormat="1" ht="38.25">
      <c r="A38" s="473" t="s">
        <v>860</v>
      </c>
      <c r="B38" s="452" t="s">
        <v>853</v>
      </c>
      <c r="C38" s="452" t="s">
        <v>854</v>
      </c>
      <c r="D38" s="452" t="s">
        <v>900</v>
      </c>
      <c r="E38" s="675" t="s">
        <v>860</v>
      </c>
      <c r="F38" s="452" t="s">
        <v>853</v>
      </c>
      <c r="G38" s="452" t="s">
        <v>854</v>
      </c>
      <c r="H38" s="674" t="s">
        <v>900</v>
      </c>
    </row>
    <row r="39" spans="1:8" s="238" customFormat="1" ht="12.75">
      <c r="A39" s="465" t="s">
        <v>396</v>
      </c>
      <c r="B39" s="462">
        <v>0</v>
      </c>
      <c r="C39" s="462">
        <v>18400</v>
      </c>
      <c r="D39" s="462">
        <v>18400</v>
      </c>
      <c r="E39" s="461" t="s">
        <v>383</v>
      </c>
      <c r="F39" s="462">
        <v>0</v>
      </c>
      <c r="G39" s="462">
        <v>13400</v>
      </c>
      <c r="H39" s="894">
        <v>13400</v>
      </c>
    </row>
    <row r="40" spans="1:8" s="238" customFormat="1" ht="12.75">
      <c r="A40" s="241"/>
      <c r="B40" s="464"/>
      <c r="C40" s="464"/>
      <c r="D40" s="455"/>
      <c r="E40" s="476" t="s">
        <v>384</v>
      </c>
      <c r="F40" s="462">
        <v>0</v>
      </c>
      <c r="G40" s="462">
        <v>5000</v>
      </c>
      <c r="H40" s="894">
        <v>5000</v>
      </c>
    </row>
    <row r="41" spans="1:8" s="238" customFormat="1" ht="12.75">
      <c r="A41" s="241"/>
      <c r="B41" s="464"/>
      <c r="C41" s="464"/>
      <c r="D41" s="453"/>
      <c r="E41" s="463"/>
      <c r="F41" s="464"/>
      <c r="G41" s="464"/>
      <c r="H41" s="676"/>
    </row>
    <row r="42" spans="1:8" s="238" customFormat="1" ht="13.5" thickBot="1">
      <c r="A42" s="466" t="s">
        <v>367</v>
      </c>
      <c r="B42" s="467">
        <f>SUM(B39:B41)</f>
        <v>0</v>
      </c>
      <c r="C42" s="467">
        <f>SUM(C39:C41)</f>
        <v>18400</v>
      </c>
      <c r="D42" s="467">
        <f>SUM(D39:D41)</f>
        <v>18400</v>
      </c>
      <c r="E42" s="468" t="s">
        <v>367</v>
      </c>
      <c r="F42" s="467">
        <f>SUM(F39)</f>
        <v>0</v>
      </c>
      <c r="G42" s="467">
        <f>SUM(G39:G40)</f>
        <v>18400</v>
      </c>
      <c r="H42" s="896">
        <f>SUM(H39:H40)</f>
        <v>18400</v>
      </c>
    </row>
    <row r="43" s="238" customFormat="1" ht="12.75"/>
    <row r="44" s="238" customFormat="1" ht="12.75"/>
    <row r="45" spans="1:8" s="238" customFormat="1" ht="12.75">
      <c r="A45" s="474" t="s">
        <v>15</v>
      </c>
      <c r="B45" s="477">
        <f>(B35+B42)</f>
        <v>100000</v>
      </c>
      <c r="C45" s="477">
        <f>(C35+C42)</f>
        <v>100006</v>
      </c>
      <c r="D45" s="477">
        <f>(D35+D42)</f>
        <v>100006</v>
      </c>
      <c r="E45" s="474" t="s">
        <v>15</v>
      </c>
      <c r="F45" s="477">
        <f>(F35+F42)</f>
        <v>100000</v>
      </c>
      <c r="G45" s="477">
        <f>(G35+G42)</f>
        <v>100006</v>
      </c>
      <c r="H45" s="477">
        <f>(H35+H42)</f>
        <v>100006</v>
      </c>
    </row>
    <row r="46" s="238" customFormat="1" ht="12.75"/>
    <row r="47" s="238" customFormat="1" ht="12.75"/>
    <row r="48" s="238" customFormat="1" ht="12.75"/>
    <row r="49" s="238" customFormat="1" ht="12.75"/>
    <row r="50" s="238" customFormat="1" ht="12.75"/>
  </sheetData>
  <sheetProtection/>
  <mergeCells count="11">
    <mergeCell ref="E37:H37"/>
    <mergeCell ref="A37:D37"/>
    <mergeCell ref="E12:H12"/>
    <mergeCell ref="A12:D12"/>
    <mergeCell ref="A6:D6"/>
    <mergeCell ref="E6:H6"/>
    <mergeCell ref="A18:D18"/>
    <mergeCell ref="E18:H18"/>
    <mergeCell ref="A2:F2"/>
    <mergeCell ref="E30:H30"/>
    <mergeCell ref="A30:D30"/>
  </mergeCells>
  <printOptions horizontalCentered="1"/>
  <pageMargins left="0.3937007874015748" right="0.3937007874015748" top="0.984251968503937" bottom="0" header="0.5118110236220472" footer="0.5118110236220472"/>
  <pageSetup fitToWidth="0" fitToHeight="1" horizontalDpi="600" verticalDpi="600" orientation="landscape" paperSize="9" scale="72" r:id="rId1"/>
  <headerFooter alignWithMargins="0">
    <oddHeader>&amp;L&amp;"Arial,Normál"15. melléklet a 21/2015.(X.2.)  önkormányzati rendelethez
15. melléklet az 1/2015.(I.30.)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BreakPreview" zoomScale="69" zoomScaleSheetLayoutView="69" workbookViewId="0" topLeftCell="A19">
      <selection activeCell="J57" sqref="J57"/>
    </sheetView>
  </sheetViews>
  <sheetFormatPr defaultColWidth="9.00390625" defaultRowHeight="12.75"/>
  <cols>
    <col min="1" max="1" width="76.125" style="863" customWidth="1"/>
    <col min="2" max="2" width="10.875" style="863" customWidth="1"/>
    <col min="3" max="3" width="11.75390625" style="863" customWidth="1"/>
    <col min="4" max="4" width="11.00390625" style="863" customWidth="1"/>
    <col min="5" max="7" width="11.375" style="863" customWidth="1"/>
    <col min="8" max="8" width="10.375" style="863" customWidth="1"/>
    <col min="9" max="9" width="10.25390625" style="863" customWidth="1"/>
    <col min="10" max="11" width="11.375" style="863" customWidth="1"/>
    <col min="12" max="12" width="10.375" style="863" customWidth="1"/>
    <col min="13" max="13" width="10.25390625" style="863" customWidth="1"/>
    <col min="14" max="16384" width="9.125" style="863" customWidth="1"/>
  </cols>
  <sheetData>
    <row r="1" spans="1:13" ht="15">
      <c r="A1" s="1190" t="s">
        <v>812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1:5" ht="8.25" customHeight="1">
      <c r="A2" s="862"/>
      <c r="B2" s="862"/>
      <c r="C2" s="862"/>
      <c r="D2" s="862"/>
      <c r="E2" s="862"/>
    </row>
    <row r="3" spans="1:13" ht="15">
      <c r="A3" s="1191" t="s">
        <v>752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</row>
    <row r="4" spans="1:5" ht="9" customHeight="1" thickBot="1">
      <c r="A4" s="864"/>
      <c r="B4" s="864"/>
      <c r="C4" s="864"/>
      <c r="D4" s="864"/>
      <c r="E4" s="864"/>
    </row>
    <row r="5" spans="1:13" ht="15.75" thickBot="1">
      <c r="A5" s="1205" t="s">
        <v>390</v>
      </c>
      <c r="B5" s="1187" t="s">
        <v>4</v>
      </c>
      <c r="C5" s="1188"/>
      <c r="D5" s="1188"/>
      <c r="E5" s="1189"/>
      <c r="F5" s="1188" t="s">
        <v>816</v>
      </c>
      <c r="G5" s="1188"/>
      <c r="H5" s="1188"/>
      <c r="I5" s="1189"/>
      <c r="J5" s="1187" t="s">
        <v>895</v>
      </c>
      <c r="K5" s="1188"/>
      <c r="L5" s="1188"/>
      <c r="M5" s="1189"/>
    </row>
    <row r="6" spans="1:13" s="865" customFormat="1" ht="15" customHeight="1">
      <c r="A6" s="1206"/>
      <c r="B6" s="1185" t="s">
        <v>412</v>
      </c>
      <c r="C6" s="1182" t="s">
        <v>391</v>
      </c>
      <c r="D6" s="1183"/>
      <c r="E6" s="1184"/>
      <c r="F6" s="1180" t="s">
        <v>412</v>
      </c>
      <c r="G6" s="1182" t="s">
        <v>391</v>
      </c>
      <c r="H6" s="1183"/>
      <c r="I6" s="1184"/>
      <c r="J6" s="1185" t="s">
        <v>412</v>
      </c>
      <c r="K6" s="1182" t="s">
        <v>391</v>
      </c>
      <c r="L6" s="1183"/>
      <c r="M6" s="1184"/>
    </row>
    <row r="7" spans="1:13" s="865" customFormat="1" ht="46.5" customHeight="1" thickBot="1">
      <c r="A7" s="1206"/>
      <c r="B7" s="1186"/>
      <c r="C7" s="333" t="s">
        <v>392</v>
      </c>
      <c r="D7" s="333" t="s">
        <v>599</v>
      </c>
      <c r="E7" s="334" t="s">
        <v>600</v>
      </c>
      <c r="F7" s="1181"/>
      <c r="G7" s="333" t="s">
        <v>392</v>
      </c>
      <c r="H7" s="333" t="s">
        <v>599</v>
      </c>
      <c r="I7" s="334" t="s">
        <v>600</v>
      </c>
      <c r="J7" s="1186"/>
      <c r="K7" s="333" t="s">
        <v>392</v>
      </c>
      <c r="L7" s="333" t="s">
        <v>599</v>
      </c>
      <c r="M7" s="334" t="s">
        <v>600</v>
      </c>
    </row>
    <row r="8" spans="1:13" s="869" customFormat="1" ht="14.25" customHeight="1">
      <c r="A8" s="428" t="s">
        <v>131</v>
      </c>
      <c r="B8" s="336">
        <f aca="true" t="shared" si="0" ref="B8:I8">SUM(B9:B12)</f>
        <v>1219746</v>
      </c>
      <c r="C8" s="335">
        <f t="shared" si="0"/>
        <v>849017</v>
      </c>
      <c r="D8" s="335">
        <f t="shared" si="0"/>
        <v>321864</v>
      </c>
      <c r="E8" s="337">
        <f t="shared" si="0"/>
        <v>48865</v>
      </c>
      <c r="F8" s="866">
        <f t="shared" si="0"/>
        <v>1219746</v>
      </c>
      <c r="G8" s="866">
        <f t="shared" si="0"/>
        <v>849017</v>
      </c>
      <c r="H8" s="866">
        <f t="shared" si="0"/>
        <v>321864</v>
      </c>
      <c r="I8" s="867">
        <f t="shared" si="0"/>
        <v>48865</v>
      </c>
      <c r="J8" s="868">
        <f>SUM(J9:J12)</f>
        <v>1380882</v>
      </c>
      <c r="K8" s="866">
        <f>SUM(K9:K12)</f>
        <v>849017</v>
      </c>
      <c r="L8" s="866">
        <f>SUM(L9:L12)</f>
        <v>483000</v>
      </c>
      <c r="M8" s="867">
        <f>SUM(M9:M12)</f>
        <v>48865</v>
      </c>
    </row>
    <row r="9" spans="1:13" ht="15" customHeight="1">
      <c r="A9" s="429" t="s">
        <v>948</v>
      </c>
      <c r="B9" s="338">
        <v>1049854</v>
      </c>
      <c r="C9" s="170">
        <v>730990</v>
      </c>
      <c r="D9" s="170">
        <f>B9-C9</f>
        <v>318864</v>
      </c>
      <c r="E9" s="339"/>
      <c r="F9" s="870">
        <v>1049854</v>
      </c>
      <c r="G9" s="170">
        <f>C9</f>
        <v>730990</v>
      </c>
      <c r="H9" s="170">
        <v>318864</v>
      </c>
      <c r="I9" s="339"/>
      <c r="J9" s="856">
        <f>F9+161136</f>
        <v>1210990</v>
      </c>
      <c r="K9" s="170">
        <f>G9</f>
        <v>730990</v>
      </c>
      <c r="L9" s="170">
        <f>H9+161136</f>
        <v>480000</v>
      </c>
      <c r="M9" s="339">
        <f>I9</f>
        <v>0</v>
      </c>
    </row>
    <row r="10" spans="1:13" ht="15">
      <c r="A10" s="429" t="s">
        <v>7</v>
      </c>
      <c r="B10" s="338">
        <v>130400</v>
      </c>
      <c r="C10" s="170">
        <v>81568</v>
      </c>
      <c r="D10" s="170"/>
      <c r="E10" s="339">
        <f>B10-C10</f>
        <v>48832</v>
      </c>
      <c r="F10" s="870">
        <v>130400</v>
      </c>
      <c r="G10" s="170">
        <f>C10</f>
        <v>81568</v>
      </c>
      <c r="H10" s="170"/>
      <c r="I10" s="339">
        <v>48832</v>
      </c>
      <c r="J10" s="856">
        <f>F10</f>
        <v>130400</v>
      </c>
      <c r="K10" s="170">
        <f>G10</f>
        <v>81568</v>
      </c>
      <c r="L10" s="170">
        <f>H10</f>
        <v>0</v>
      </c>
      <c r="M10" s="339">
        <f>I10</f>
        <v>48832</v>
      </c>
    </row>
    <row r="11" spans="1:13" ht="30" customHeight="1">
      <c r="A11" s="429" t="s">
        <v>8</v>
      </c>
      <c r="B11" s="338">
        <v>34492</v>
      </c>
      <c r="C11" s="170">
        <v>34459</v>
      </c>
      <c r="D11" s="170"/>
      <c r="E11" s="339">
        <f>B11-C11</f>
        <v>33</v>
      </c>
      <c r="F11" s="870">
        <v>34492</v>
      </c>
      <c r="G11" s="170">
        <f>C11</f>
        <v>34459</v>
      </c>
      <c r="H11" s="170"/>
      <c r="I11" s="339">
        <v>33</v>
      </c>
      <c r="J11" s="856">
        <f>F11</f>
        <v>34492</v>
      </c>
      <c r="K11" s="170">
        <f>G11</f>
        <v>34459</v>
      </c>
      <c r="L11" s="170">
        <f>H11</f>
        <v>0</v>
      </c>
      <c r="M11" s="339">
        <f>I11</f>
        <v>33</v>
      </c>
    </row>
    <row r="12" spans="1:13" ht="30">
      <c r="A12" s="429" t="s">
        <v>601</v>
      </c>
      <c r="B12" s="338">
        <v>5000</v>
      </c>
      <c r="C12" s="170">
        <v>2000</v>
      </c>
      <c r="D12" s="170">
        <f>B12-C12</f>
        <v>3000</v>
      </c>
      <c r="E12" s="339"/>
      <c r="F12" s="870">
        <v>5000</v>
      </c>
      <c r="G12" s="170">
        <f>C12</f>
        <v>2000</v>
      </c>
      <c r="H12" s="170">
        <v>3000</v>
      </c>
      <c r="I12" s="339"/>
      <c r="J12" s="856">
        <f>F12</f>
        <v>5000</v>
      </c>
      <c r="K12" s="170">
        <f>G12</f>
        <v>2000</v>
      </c>
      <c r="L12" s="170">
        <f>H12</f>
        <v>3000</v>
      </c>
      <c r="M12" s="339">
        <f>I12</f>
        <v>0</v>
      </c>
    </row>
    <row r="13" spans="1:13" ht="15">
      <c r="A13" s="429"/>
      <c r="B13" s="338"/>
      <c r="C13" s="170"/>
      <c r="D13" s="170"/>
      <c r="E13" s="339"/>
      <c r="F13" s="870"/>
      <c r="G13" s="170"/>
      <c r="H13" s="170"/>
      <c r="I13" s="339"/>
      <c r="J13" s="856"/>
      <c r="K13" s="170"/>
      <c r="L13" s="170"/>
      <c r="M13" s="339"/>
    </row>
    <row r="14" spans="1:13" s="873" customFormat="1" ht="15">
      <c r="A14" s="430" t="s">
        <v>132</v>
      </c>
      <c r="B14" s="340">
        <f aca="true" t="shared" si="1" ref="B14:I14">SUM(B15:B16)</f>
        <v>26969</v>
      </c>
      <c r="C14" s="171">
        <f t="shared" si="1"/>
        <v>0</v>
      </c>
      <c r="D14" s="171">
        <f t="shared" si="1"/>
        <v>26969</v>
      </c>
      <c r="E14" s="233">
        <f t="shared" si="1"/>
        <v>0</v>
      </c>
      <c r="F14" s="871">
        <f t="shared" si="1"/>
        <v>26969</v>
      </c>
      <c r="G14" s="871">
        <f t="shared" si="1"/>
        <v>0</v>
      </c>
      <c r="H14" s="871">
        <f t="shared" si="1"/>
        <v>26969</v>
      </c>
      <c r="I14" s="872">
        <f t="shared" si="1"/>
        <v>0</v>
      </c>
      <c r="J14" s="436">
        <f>SUM(J15:J16)</f>
        <v>26969</v>
      </c>
      <c r="K14" s="871">
        <f>SUM(K15:K16)</f>
        <v>0</v>
      </c>
      <c r="L14" s="871">
        <f>SUM(L15:L16)</f>
        <v>26969</v>
      </c>
      <c r="M14" s="872">
        <f>SUM(M15:M16)</f>
        <v>0</v>
      </c>
    </row>
    <row r="15" spans="1:13" ht="15.75" customHeight="1">
      <c r="A15" s="429" t="s">
        <v>645</v>
      </c>
      <c r="B15" s="338">
        <v>9000</v>
      </c>
      <c r="C15" s="170"/>
      <c r="D15" s="170">
        <f>B15-C15</f>
        <v>9000</v>
      </c>
      <c r="E15" s="339"/>
      <c r="F15" s="870">
        <v>9000</v>
      </c>
      <c r="G15" s="170"/>
      <c r="H15" s="170">
        <v>9000</v>
      </c>
      <c r="I15" s="339"/>
      <c r="J15" s="856">
        <f aca="true" t="shared" si="2" ref="J15:M16">F15</f>
        <v>9000</v>
      </c>
      <c r="K15" s="170">
        <f t="shared" si="2"/>
        <v>0</v>
      </c>
      <c r="L15" s="170">
        <f t="shared" si="2"/>
        <v>9000</v>
      </c>
      <c r="M15" s="339">
        <f t="shared" si="2"/>
        <v>0</v>
      </c>
    </row>
    <row r="16" spans="1:13" ht="30">
      <c r="A16" s="429" t="s">
        <v>646</v>
      </c>
      <c r="B16" s="338">
        <v>17969</v>
      </c>
      <c r="C16" s="170"/>
      <c r="D16" s="170">
        <f>B16-C16</f>
        <v>17969</v>
      </c>
      <c r="E16" s="339"/>
      <c r="F16" s="870">
        <v>17969</v>
      </c>
      <c r="G16" s="170"/>
      <c r="H16" s="170">
        <v>17969</v>
      </c>
      <c r="I16" s="339"/>
      <c r="J16" s="856">
        <f t="shared" si="2"/>
        <v>17969</v>
      </c>
      <c r="K16" s="170">
        <f t="shared" si="2"/>
        <v>0</v>
      </c>
      <c r="L16" s="170">
        <f t="shared" si="2"/>
        <v>17969</v>
      </c>
      <c r="M16" s="339">
        <f t="shared" si="2"/>
        <v>0</v>
      </c>
    </row>
    <row r="17" spans="1:13" ht="15">
      <c r="A17" s="429"/>
      <c r="B17" s="338"/>
      <c r="C17" s="170"/>
      <c r="D17" s="170"/>
      <c r="E17" s="339"/>
      <c r="F17" s="870"/>
      <c r="G17" s="170"/>
      <c r="H17" s="170"/>
      <c r="I17" s="339"/>
      <c r="J17" s="856"/>
      <c r="K17" s="170"/>
      <c r="L17" s="170"/>
      <c r="M17" s="339"/>
    </row>
    <row r="18" spans="1:13" s="873" customFormat="1" ht="15">
      <c r="A18" s="430" t="s">
        <v>133</v>
      </c>
      <c r="B18" s="340">
        <f>SUM(B19:B19)</f>
        <v>20000</v>
      </c>
      <c r="C18" s="171">
        <f>SUM(C19:C19)</f>
        <v>0</v>
      </c>
      <c r="D18" s="171">
        <f>SUM(D19:D19)</f>
        <v>20000</v>
      </c>
      <c r="E18" s="233">
        <f aca="true" t="shared" si="3" ref="E18:M18">SUM(E19:E20)</f>
        <v>10397</v>
      </c>
      <c r="F18" s="871">
        <f t="shared" si="3"/>
        <v>20000</v>
      </c>
      <c r="G18" s="871">
        <f t="shared" si="3"/>
        <v>0</v>
      </c>
      <c r="H18" s="871">
        <f t="shared" si="3"/>
        <v>20000</v>
      </c>
      <c r="I18" s="872">
        <f t="shared" si="3"/>
        <v>10397</v>
      </c>
      <c r="J18" s="436">
        <f t="shared" si="3"/>
        <v>20000</v>
      </c>
      <c r="K18" s="871">
        <f t="shared" si="3"/>
        <v>0</v>
      </c>
      <c r="L18" s="871">
        <f t="shared" si="3"/>
        <v>20000</v>
      </c>
      <c r="M18" s="872">
        <f t="shared" si="3"/>
        <v>10397</v>
      </c>
    </row>
    <row r="19" spans="1:13" ht="16.5" customHeight="1">
      <c r="A19" s="429" t="s">
        <v>648</v>
      </c>
      <c r="B19" s="338">
        <v>20000</v>
      </c>
      <c r="C19" s="170"/>
      <c r="D19" s="170">
        <f>B19-C19</f>
        <v>20000</v>
      </c>
      <c r="E19" s="339"/>
      <c r="F19" s="870">
        <v>20000</v>
      </c>
      <c r="G19" s="170"/>
      <c r="H19" s="170">
        <v>20000</v>
      </c>
      <c r="I19" s="339"/>
      <c r="J19" s="856">
        <f aca="true" t="shared" si="4" ref="J19:M20">F19</f>
        <v>20000</v>
      </c>
      <c r="K19" s="170">
        <f t="shared" si="4"/>
        <v>0</v>
      </c>
      <c r="L19" s="170">
        <f t="shared" si="4"/>
        <v>20000</v>
      </c>
      <c r="M19" s="339">
        <f t="shared" si="4"/>
        <v>0</v>
      </c>
    </row>
    <row r="20" spans="1:13" ht="15">
      <c r="A20" s="429" t="s">
        <v>535</v>
      </c>
      <c r="B20" s="338"/>
      <c r="C20" s="170"/>
      <c r="D20" s="170"/>
      <c r="E20" s="339">
        <v>10397</v>
      </c>
      <c r="F20" s="870"/>
      <c r="G20" s="170"/>
      <c r="H20" s="170"/>
      <c r="I20" s="339">
        <v>10397</v>
      </c>
      <c r="J20" s="856">
        <f t="shared" si="4"/>
        <v>0</v>
      </c>
      <c r="K20" s="170">
        <f t="shared" si="4"/>
        <v>0</v>
      </c>
      <c r="L20" s="170">
        <f t="shared" si="4"/>
        <v>0</v>
      </c>
      <c r="M20" s="339">
        <f t="shared" si="4"/>
        <v>10397</v>
      </c>
    </row>
    <row r="21" spans="1:13" ht="15">
      <c r="A21" s="429"/>
      <c r="B21" s="338"/>
      <c r="C21" s="170"/>
      <c r="D21" s="170"/>
      <c r="E21" s="339"/>
      <c r="F21" s="870"/>
      <c r="G21" s="170"/>
      <c r="H21" s="170"/>
      <c r="I21" s="339"/>
      <c r="J21" s="856"/>
      <c r="K21" s="170"/>
      <c r="L21" s="170"/>
      <c r="M21" s="339"/>
    </row>
    <row r="22" spans="1:13" s="873" customFormat="1" ht="15">
      <c r="A22" s="430" t="s">
        <v>134</v>
      </c>
      <c r="B22" s="340">
        <f aca="true" t="shared" si="5" ref="B22:I22">SUM(B23:B25)</f>
        <v>83200</v>
      </c>
      <c r="C22" s="171">
        <f t="shared" si="5"/>
        <v>0</v>
      </c>
      <c r="D22" s="171">
        <f t="shared" si="5"/>
        <v>83200</v>
      </c>
      <c r="E22" s="233">
        <f t="shared" si="5"/>
        <v>0</v>
      </c>
      <c r="F22" s="871">
        <f t="shared" si="5"/>
        <v>83200</v>
      </c>
      <c r="G22" s="871">
        <f t="shared" si="5"/>
        <v>0</v>
      </c>
      <c r="H22" s="871">
        <f t="shared" si="5"/>
        <v>83200</v>
      </c>
      <c r="I22" s="872">
        <f t="shared" si="5"/>
        <v>0</v>
      </c>
      <c r="J22" s="436">
        <f>SUM(J23:J25)</f>
        <v>83200</v>
      </c>
      <c r="K22" s="871">
        <f>SUM(K23:K25)</f>
        <v>0</v>
      </c>
      <c r="L22" s="871">
        <f>SUM(L23:L25)</f>
        <v>83200</v>
      </c>
      <c r="M22" s="872">
        <f>SUM(M23:M25)</f>
        <v>0</v>
      </c>
    </row>
    <row r="23" spans="1:13" ht="30">
      <c r="A23" s="429" t="s">
        <v>83</v>
      </c>
      <c r="B23" s="338">
        <v>40000</v>
      </c>
      <c r="C23" s="170"/>
      <c r="D23" s="170">
        <f>B23-C23</f>
        <v>40000</v>
      </c>
      <c r="E23" s="339"/>
      <c r="F23" s="870">
        <v>40000</v>
      </c>
      <c r="G23" s="170"/>
      <c r="H23" s="170">
        <v>40000</v>
      </c>
      <c r="I23" s="339"/>
      <c r="J23" s="856">
        <f aca="true" t="shared" si="6" ref="J23:M25">F23</f>
        <v>40000</v>
      </c>
      <c r="K23" s="170">
        <f t="shared" si="6"/>
        <v>0</v>
      </c>
      <c r="L23" s="170">
        <f t="shared" si="6"/>
        <v>40000</v>
      </c>
      <c r="M23" s="339">
        <f t="shared" si="6"/>
        <v>0</v>
      </c>
    </row>
    <row r="24" spans="1:13" ht="15">
      <c r="A24" s="429" t="s">
        <v>84</v>
      </c>
      <c r="B24" s="338">
        <v>21200</v>
      </c>
      <c r="C24" s="170"/>
      <c r="D24" s="170">
        <f>B24-C24</f>
        <v>21200</v>
      </c>
      <c r="E24" s="339"/>
      <c r="F24" s="870">
        <v>21200</v>
      </c>
      <c r="G24" s="170"/>
      <c r="H24" s="170">
        <v>21200</v>
      </c>
      <c r="I24" s="339"/>
      <c r="J24" s="856">
        <f t="shared" si="6"/>
        <v>21200</v>
      </c>
      <c r="K24" s="170">
        <f t="shared" si="6"/>
        <v>0</v>
      </c>
      <c r="L24" s="170">
        <f t="shared" si="6"/>
        <v>21200</v>
      </c>
      <c r="M24" s="339">
        <f t="shared" si="6"/>
        <v>0</v>
      </c>
    </row>
    <row r="25" spans="1:13" ht="15">
      <c r="A25" s="429" t="s">
        <v>85</v>
      </c>
      <c r="B25" s="338">
        <v>22000</v>
      </c>
      <c r="C25" s="170"/>
      <c r="D25" s="170">
        <f>B25-C25</f>
        <v>22000</v>
      </c>
      <c r="E25" s="339"/>
      <c r="F25" s="870">
        <v>22000</v>
      </c>
      <c r="G25" s="170"/>
      <c r="H25" s="170">
        <v>22000</v>
      </c>
      <c r="I25" s="339"/>
      <c r="J25" s="856">
        <f t="shared" si="6"/>
        <v>22000</v>
      </c>
      <c r="K25" s="170">
        <f t="shared" si="6"/>
        <v>0</v>
      </c>
      <c r="L25" s="170">
        <f t="shared" si="6"/>
        <v>22000</v>
      </c>
      <c r="M25" s="339">
        <f t="shared" si="6"/>
        <v>0</v>
      </c>
    </row>
    <row r="26" spans="1:13" ht="15">
      <c r="A26" s="429"/>
      <c r="B26" s="338"/>
      <c r="C26" s="170"/>
      <c r="D26" s="170"/>
      <c r="E26" s="339"/>
      <c r="F26" s="870"/>
      <c r="G26" s="170"/>
      <c r="H26" s="170"/>
      <c r="I26" s="339"/>
      <c r="J26" s="856"/>
      <c r="K26" s="170"/>
      <c r="L26" s="170"/>
      <c r="M26" s="339"/>
    </row>
    <row r="27" spans="1:13" s="873" customFormat="1" ht="18" customHeight="1">
      <c r="A27" s="430" t="s">
        <v>136</v>
      </c>
      <c r="B27" s="340">
        <f aca="true" t="shared" si="7" ref="B27:I27">SUM(B28:B30)</f>
        <v>21372</v>
      </c>
      <c r="C27" s="171">
        <f t="shared" si="7"/>
        <v>0</v>
      </c>
      <c r="D27" s="171">
        <f t="shared" si="7"/>
        <v>21372</v>
      </c>
      <c r="E27" s="233">
        <f t="shared" si="7"/>
        <v>0</v>
      </c>
      <c r="F27" s="871">
        <f t="shared" si="7"/>
        <v>21372</v>
      </c>
      <c r="G27" s="871">
        <f t="shared" si="7"/>
        <v>0</v>
      </c>
      <c r="H27" s="871">
        <f t="shared" si="7"/>
        <v>21372</v>
      </c>
      <c r="I27" s="872">
        <f t="shared" si="7"/>
        <v>0</v>
      </c>
      <c r="J27" s="436">
        <f>SUM(J28:J30)</f>
        <v>21372</v>
      </c>
      <c r="K27" s="871">
        <f>SUM(K28:K30)</f>
        <v>0</v>
      </c>
      <c r="L27" s="871">
        <f>SUM(L28:L30)</f>
        <v>21372</v>
      </c>
      <c r="M27" s="872">
        <f>SUM(M28:M30)</f>
        <v>0</v>
      </c>
    </row>
    <row r="28" spans="1:13" ht="15" customHeight="1">
      <c r="A28" s="429" t="s">
        <v>602</v>
      </c>
      <c r="B28" s="338">
        <v>6300</v>
      </c>
      <c r="C28" s="170"/>
      <c r="D28" s="170">
        <f>B28-C28</f>
        <v>6300</v>
      </c>
      <c r="E28" s="339"/>
      <c r="F28" s="870">
        <v>6300</v>
      </c>
      <c r="G28" s="170"/>
      <c r="H28" s="170">
        <v>6300</v>
      </c>
      <c r="I28" s="339"/>
      <c r="J28" s="856">
        <f>F28</f>
        <v>6300</v>
      </c>
      <c r="K28" s="870">
        <f aca="true" t="shared" si="8" ref="K28:M30">G28</f>
        <v>0</v>
      </c>
      <c r="L28" s="870">
        <f t="shared" si="8"/>
        <v>6300</v>
      </c>
      <c r="M28" s="874">
        <f t="shared" si="8"/>
        <v>0</v>
      </c>
    </row>
    <row r="29" spans="1:13" ht="15">
      <c r="A29" s="429" t="s">
        <v>86</v>
      </c>
      <c r="B29" s="338">
        <v>10000</v>
      </c>
      <c r="C29" s="170"/>
      <c r="D29" s="170">
        <f>B29-C29</f>
        <v>10000</v>
      </c>
      <c r="E29" s="339"/>
      <c r="F29" s="870">
        <v>10000</v>
      </c>
      <c r="G29" s="170"/>
      <c r="H29" s="170">
        <v>10000</v>
      </c>
      <c r="I29" s="339"/>
      <c r="J29" s="856">
        <f>F29</f>
        <v>10000</v>
      </c>
      <c r="K29" s="870">
        <f t="shared" si="8"/>
        <v>0</v>
      </c>
      <c r="L29" s="870">
        <f t="shared" si="8"/>
        <v>10000</v>
      </c>
      <c r="M29" s="874">
        <f t="shared" si="8"/>
        <v>0</v>
      </c>
    </row>
    <row r="30" spans="1:13" ht="12.75" customHeight="1">
      <c r="A30" s="429" t="s">
        <v>92</v>
      </c>
      <c r="B30" s="338">
        <v>5072</v>
      </c>
      <c r="C30" s="170"/>
      <c r="D30" s="170">
        <f>B30-C30</f>
        <v>5072</v>
      </c>
      <c r="E30" s="339"/>
      <c r="F30" s="870">
        <v>5072</v>
      </c>
      <c r="G30" s="170"/>
      <c r="H30" s="170">
        <v>5072</v>
      </c>
      <c r="I30" s="339"/>
      <c r="J30" s="856">
        <f>F30</f>
        <v>5072</v>
      </c>
      <c r="K30" s="870">
        <f t="shared" si="8"/>
        <v>0</v>
      </c>
      <c r="L30" s="870">
        <f t="shared" si="8"/>
        <v>5072</v>
      </c>
      <c r="M30" s="874">
        <f t="shared" si="8"/>
        <v>0</v>
      </c>
    </row>
    <row r="31" spans="1:13" ht="15">
      <c r="A31" s="429"/>
      <c r="B31" s="338"/>
      <c r="C31" s="170"/>
      <c r="D31" s="170"/>
      <c r="E31" s="339"/>
      <c r="F31" s="870"/>
      <c r="G31" s="170"/>
      <c r="H31" s="170"/>
      <c r="I31" s="339"/>
      <c r="J31" s="856"/>
      <c r="K31" s="170"/>
      <c r="L31" s="170"/>
      <c r="M31" s="339"/>
    </row>
    <row r="32" spans="1:13" s="873" customFormat="1" ht="16.5" customHeight="1">
      <c r="A32" s="430" t="s">
        <v>135</v>
      </c>
      <c r="B32" s="340">
        <f aca="true" t="shared" si="9" ref="B32:I32">SUM(B33:B35)</f>
        <v>6553</v>
      </c>
      <c r="C32" s="171">
        <f t="shared" si="9"/>
        <v>0</v>
      </c>
      <c r="D32" s="171">
        <f t="shared" si="9"/>
        <v>6553</v>
      </c>
      <c r="E32" s="233">
        <f t="shared" si="9"/>
        <v>0</v>
      </c>
      <c r="F32" s="871">
        <f t="shared" si="9"/>
        <v>6553</v>
      </c>
      <c r="G32" s="871">
        <f t="shared" si="9"/>
        <v>0</v>
      </c>
      <c r="H32" s="871">
        <f t="shared" si="9"/>
        <v>6553</v>
      </c>
      <c r="I32" s="872">
        <f t="shared" si="9"/>
        <v>0</v>
      </c>
      <c r="J32" s="436">
        <f>SUM(J33:J35)</f>
        <v>6553</v>
      </c>
      <c r="K32" s="871">
        <f>SUM(K33:K35)</f>
        <v>0</v>
      </c>
      <c r="L32" s="871">
        <f>SUM(L33:L35)</f>
        <v>6553</v>
      </c>
      <c r="M32" s="872">
        <f>SUM(M33:M35)</f>
        <v>0</v>
      </c>
    </row>
    <row r="33" spans="1:13" ht="15">
      <c r="A33" s="429" t="s">
        <v>93</v>
      </c>
      <c r="B33" s="338">
        <v>739</v>
      </c>
      <c r="C33" s="170"/>
      <c r="D33" s="170">
        <f>B33-C33</f>
        <v>739</v>
      </c>
      <c r="E33" s="339"/>
      <c r="F33" s="870">
        <v>739</v>
      </c>
      <c r="G33" s="170"/>
      <c r="H33" s="170">
        <v>739</v>
      </c>
      <c r="I33" s="339"/>
      <c r="J33" s="856">
        <f>F33</f>
        <v>739</v>
      </c>
      <c r="K33" s="870">
        <f aca="true" t="shared" si="10" ref="K33:M35">G33</f>
        <v>0</v>
      </c>
      <c r="L33" s="870">
        <f t="shared" si="10"/>
        <v>739</v>
      </c>
      <c r="M33" s="874">
        <f t="shared" si="10"/>
        <v>0</v>
      </c>
    </row>
    <row r="34" spans="1:13" ht="15">
      <c r="A34" s="429" t="s">
        <v>329</v>
      </c>
      <c r="B34" s="338">
        <v>2314</v>
      </c>
      <c r="C34" s="170"/>
      <c r="D34" s="170">
        <f>B34-C34</f>
        <v>2314</v>
      </c>
      <c r="E34" s="339"/>
      <c r="F34" s="870">
        <v>2314</v>
      </c>
      <c r="G34" s="170"/>
      <c r="H34" s="170">
        <v>2314</v>
      </c>
      <c r="I34" s="339"/>
      <c r="J34" s="856">
        <f>F34</f>
        <v>2314</v>
      </c>
      <c r="K34" s="870">
        <f t="shared" si="10"/>
        <v>0</v>
      </c>
      <c r="L34" s="870">
        <f t="shared" si="10"/>
        <v>2314</v>
      </c>
      <c r="M34" s="874">
        <f t="shared" si="10"/>
        <v>0</v>
      </c>
    </row>
    <row r="35" spans="1:13" ht="15">
      <c r="A35" s="429" t="s">
        <v>330</v>
      </c>
      <c r="B35" s="338">
        <v>3500</v>
      </c>
      <c r="C35" s="170"/>
      <c r="D35" s="170">
        <f>B35-C35</f>
        <v>3500</v>
      </c>
      <c r="E35" s="339"/>
      <c r="F35" s="870">
        <v>3500</v>
      </c>
      <c r="G35" s="170"/>
      <c r="H35" s="170">
        <v>3500</v>
      </c>
      <c r="I35" s="339"/>
      <c r="J35" s="856">
        <f>F35</f>
        <v>3500</v>
      </c>
      <c r="K35" s="870">
        <f t="shared" si="10"/>
        <v>0</v>
      </c>
      <c r="L35" s="870">
        <f t="shared" si="10"/>
        <v>3500</v>
      </c>
      <c r="M35" s="874">
        <f t="shared" si="10"/>
        <v>0</v>
      </c>
    </row>
    <row r="36" spans="1:13" ht="15">
      <c r="A36" s="429"/>
      <c r="B36" s="338"/>
      <c r="C36" s="170"/>
      <c r="D36" s="170"/>
      <c r="E36" s="339"/>
      <c r="F36" s="870"/>
      <c r="G36" s="170"/>
      <c r="H36" s="170"/>
      <c r="I36" s="339"/>
      <c r="J36" s="856"/>
      <c r="K36" s="170"/>
      <c r="L36" s="170"/>
      <c r="M36" s="339"/>
    </row>
    <row r="37" spans="1:13" ht="15.75" thickBot="1">
      <c r="A37" s="431" t="s">
        <v>382</v>
      </c>
      <c r="B37" s="341">
        <f aca="true" t="shared" si="11" ref="B37:I37">SUM(B8,B14,B18,B22,B27,B32)</f>
        <v>1377840</v>
      </c>
      <c r="C37" s="172">
        <f t="shared" si="11"/>
        <v>849017</v>
      </c>
      <c r="D37" s="172">
        <f t="shared" si="11"/>
        <v>479958</v>
      </c>
      <c r="E37" s="173">
        <f t="shared" si="11"/>
        <v>59262</v>
      </c>
      <c r="F37" s="855">
        <f t="shared" si="11"/>
        <v>1377840</v>
      </c>
      <c r="G37" s="172">
        <f t="shared" si="11"/>
        <v>849017</v>
      </c>
      <c r="H37" s="172">
        <f t="shared" si="11"/>
        <v>479958</v>
      </c>
      <c r="I37" s="173">
        <f t="shared" si="11"/>
        <v>59262</v>
      </c>
      <c r="J37" s="341">
        <f>SUM(J8,J14,J18,J22,J27,J32)</f>
        <v>1538976</v>
      </c>
      <c r="K37" s="172">
        <f>SUM(K8,K14,K18,K22,K27,K32)</f>
        <v>849017</v>
      </c>
      <c r="L37" s="172">
        <f>SUM(L8,L14,L18,L22,L27,L32)</f>
        <v>641094</v>
      </c>
      <c r="M37" s="173">
        <f>SUM(M8,M14,M18,M22,M27,M32)</f>
        <v>59262</v>
      </c>
    </row>
    <row r="38" spans="1:13" ht="15">
      <c r="A38" s="230"/>
      <c r="B38" s="230"/>
      <c r="C38" s="230"/>
      <c r="D38" s="230"/>
      <c r="E38" s="230"/>
      <c r="F38" s="875"/>
      <c r="G38" s="875"/>
      <c r="H38" s="875"/>
      <c r="I38" s="875"/>
      <c r="J38" s="875"/>
      <c r="K38" s="875"/>
      <c r="L38" s="875"/>
      <c r="M38" s="875"/>
    </row>
    <row r="39" spans="1:13" ht="15" customHeight="1">
      <c r="A39" s="1204" t="s">
        <v>815</v>
      </c>
      <c r="B39" s="1204"/>
      <c r="C39" s="1204"/>
      <c r="D39" s="1204"/>
      <c r="E39" s="1204"/>
      <c r="F39" s="1204"/>
      <c r="G39" s="1204"/>
      <c r="H39" s="1204"/>
      <c r="I39" s="1204"/>
      <c r="J39" s="1204"/>
      <c r="K39" s="1204"/>
      <c r="L39" s="1204"/>
      <c r="M39" s="1204"/>
    </row>
    <row r="40" spans="1:13" ht="2.25" customHeight="1">
      <c r="A40" s="1204"/>
      <c r="B40" s="1204"/>
      <c r="C40" s="1204"/>
      <c r="D40" s="1204"/>
      <c r="E40" s="1204"/>
      <c r="F40" s="1204"/>
      <c r="G40" s="1204"/>
      <c r="H40" s="1204"/>
      <c r="I40" s="1204"/>
      <c r="J40" s="1204"/>
      <c r="K40" s="1204"/>
      <c r="L40" s="1204"/>
      <c r="M40" s="1204"/>
    </row>
    <row r="41" spans="1:13" ht="15">
      <c r="A41" s="1204"/>
      <c r="B41" s="1204"/>
      <c r="C41" s="1204"/>
      <c r="D41" s="1204"/>
      <c r="E41" s="1204"/>
      <c r="F41" s="1204"/>
      <c r="G41" s="1204"/>
      <c r="H41" s="1204"/>
      <c r="I41" s="1204"/>
      <c r="J41" s="1204"/>
      <c r="K41" s="1204"/>
      <c r="L41" s="1204"/>
      <c r="M41" s="1204"/>
    </row>
    <row r="42" spans="1:13" ht="15">
      <c r="A42" s="1204"/>
      <c r="B42" s="1204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</row>
    <row r="43" spans="1:13" ht="15">
      <c r="A43" s="230"/>
      <c r="B43" s="230"/>
      <c r="C43" s="230"/>
      <c r="D43" s="230"/>
      <c r="E43" s="230"/>
      <c r="F43" s="875"/>
      <c r="G43" s="875"/>
      <c r="H43" s="875"/>
      <c r="I43" s="875"/>
      <c r="J43" s="875"/>
      <c r="K43" s="875"/>
      <c r="L43" s="875"/>
      <c r="M43" s="875"/>
    </row>
    <row r="44" spans="1:13" ht="15">
      <c r="A44" s="1201" t="s">
        <v>753</v>
      </c>
      <c r="B44" s="1201"/>
      <c r="C44" s="1201"/>
      <c r="D44" s="1201"/>
      <c r="E44" s="1201"/>
      <c r="F44" s="1201"/>
      <c r="G44" s="1201"/>
      <c r="H44" s="1201"/>
      <c r="I44" s="1201"/>
      <c r="J44" s="1201"/>
      <c r="K44" s="1201"/>
      <c r="L44" s="1201"/>
      <c r="M44" s="1201"/>
    </row>
    <row r="45" spans="1:13" ht="15.75" thickBot="1">
      <c r="A45" s="432"/>
      <c r="B45" s="432"/>
      <c r="C45" s="432"/>
      <c r="D45" s="432"/>
      <c r="E45" s="432"/>
      <c r="F45" s="875"/>
      <c r="G45" s="875"/>
      <c r="H45" s="875"/>
      <c r="I45" s="875"/>
      <c r="J45" s="875"/>
      <c r="K45" s="875"/>
      <c r="L45" s="875"/>
      <c r="M45" s="875"/>
    </row>
    <row r="46" spans="1:13" ht="15.75" thickBot="1">
      <c r="A46" s="1194" t="s">
        <v>390</v>
      </c>
      <c r="B46" s="1192" t="s">
        <v>4</v>
      </c>
      <c r="C46" s="1192"/>
      <c r="D46" s="1192"/>
      <c r="E46" s="1193"/>
      <c r="F46" s="1192" t="s">
        <v>816</v>
      </c>
      <c r="G46" s="1192"/>
      <c r="H46" s="1192"/>
      <c r="I46" s="1193"/>
      <c r="J46" s="1187" t="s">
        <v>895</v>
      </c>
      <c r="K46" s="1188"/>
      <c r="L46" s="1188"/>
      <c r="M46" s="1189"/>
    </row>
    <row r="47" spans="1:13" ht="15">
      <c r="A47" s="1195"/>
      <c r="B47" s="1197" t="s">
        <v>412</v>
      </c>
      <c r="C47" s="1199" t="s">
        <v>391</v>
      </c>
      <c r="D47" s="1199"/>
      <c r="E47" s="1200"/>
      <c r="F47" s="1197" t="s">
        <v>412</v>
      </c>
      <c r="G47" s="1199" t="s">
        <v>391</v>
      </c>
      <c r="H47" s="1199"/>
      <c r="I47" s="1200"/>
      <c r="J47" s="1202" t="s">
        <v>412</v>
      </c>
      <c r="K47" s="1199" t="s">
        <v>391</v>
      </c>
      <c r="L47" s="1199"/>
      <c r="M47" s="1200"/>
    </row>
    <row r="48" spans="1:13" ht="57.75" thickBot="1">
      <c r="A48" s="1196"/>
      <c r="B48" s="1198"/>
      <c r="C48" s="433" t="s">
        <v>392</v>
      </c>
      <c r="D48" s="433" t="s">
        <v>599</v>
      </c>
      <c r="E48" s="434" t="s">
        <v>600</v>
      </c>
      <c r="F48" s="1198"/>
      <c r="G48" s="433" t="s">
        <v>392</v>
      </c>
      <c r="H48" s="433" t="s">
        <v>599</v>
      </c>
      <c r="I48" s="434" t="s">
        <v>600</v>
      </c>
      <c r="J48" s="1203"/>
      <c r="K48" s="433" t="s">
        <v>392</v>
      </c>
      <c r="L48" s="433" t="s">
        <v>599</v>
      </c>
      <c r="M48" s="434" t="s">
        <v>600</v>
      </c>
    </row>
    <row r="49" spans="1:13" ht="15">
      <c r="A49" s="435"/>
      <c r="B49" s="236"/>
      <c r="C49" s="236"/>
      <c r="D49" s="236"/>
      <c r="E49" s="237"/>
      <c r="F49" s="236"/>
      <c r="G49" s="236"/>
      <c r="H49" s="236"/>
      <c r="I49" s="237"/>
      <c r="J49" s="435"/>
      <c r="K49" s="236"/>
      <c r="L49" s="236"/>
      <c r="M49" s="237"/>
    </row>
    <row r="50" spans="1:13" s="876" customFormat="1" ht="15">
      <c r="A50" s="436" t="s">
        <v>750</v>
      </c>
      <c r="B50" s="171">
        <f aca="true" t="shared" si="12" ref="B50:I50">SUM(B51)</f>
        <v>147300</v>
      </c>
      <c r="C50" s="171">
        <f t="shared" si="12"/>
        <v>0</v>
      </c>
      <c r="D50" s="171">
        <f t="shared" si="12"/>
        <v>147300</v>
      </c>
      <c r="E50" s="233">
        <f t="shared" si="12"/>
        <v>0</v>
      </c>
      <c r="F50" s="171">
        <f>SUM(F51)</f>
        <v>147300</v>
      </c>
      <c r="G50" s="171">
        <f t="shared" si="12"/>
        <v>0</v>
      </c>
      <c r="H50" s="171">
        <f t="shared" si="12"/>
        <v>147300</v>
      </c>
      <c r="I50" s="233">
        <f t="shared" si="12"/>
        <v>0</v>
      </c>
      <c r="J50" s="436">
        <f>SUM(J51)</f>
        <v>0</v>
      </c>
      <c r="K50" s="171">
        <f>SUM(K51)</f>
        <v>0</v>
      </c>
      <c r="L50" s="171">
        <f>SUM(L51)</f>
        <v>0</v>
      </c>
      <c r="M50" s="233">
        <f>SUM(M51)</f>
        <v>0</v>
      </c>
    </row>
    <row r="51" spans="1:13" ht="15">
      <c r="A51" s="877" t="s">
        <v>52</v>
      </c>
      <c r="B51" s="170">
        <v>147300</v>
      </c>
      <c r="C51" s="170">
        <v>0</v>
      </c>
      <c r="D51" s="170">
        <f>B51-C51</f>
        <v>147300</v>
      </c>
      <c r="E51" s="232"/>
      <c r="F51" s="170">
        <v>147300</v>
      </c>
      <c r="G51" s="170">
        <v>0</v>
      </c>
      <c r="H51" s="170">
        <f>F51-G51</f>
        <v>147300</v>
      </c>
      <c r="I51" s="232"/>
      <c r="J51" s="856">
        <v>0</v>
      </c>
      <c r="K51" s="170">
        <f>G51</f>
        <v>0</v>
      </c>
      <c r="L51" s="170">
        <v>0</v>
      </c>
      <c r="M51" s="339">
        <f>I51</f>
        <v>0</v>
      </c>
    </row>
    <row r="52" spans="1:13" ht="15">
      <c r="A52" s="437"/>
      <c r="B52" s="231"/>
      <c r="C52" s="231"/>
      <c r="D52" s="231"/>
      <c r="E52" s="232"/>
      <c r="F52" s="231"/>
      <c r="G52" s="231"/>
      <c r="H52" s="231"/>
      <c r="I52" s="232"/>
      <c r="J52" s="437"/>
      <c r="K52" s="231"/>
      <c r="L52" s="231"/>
      <c r="M52" s="232"/>
    </row>
    <row r="53" spans="1:13" ht="15">
      <c r="A53" s="878" t="s">
        <v>748</v>
      </c>
      <c r="B53" s="879">
        <f aca="true" t="shared" si="13" ref="B53:I53">SUM(B54:B55)</f>
        <v>6350</v>
      </c>
      <c r="C53" s="879">
        <f t="shared" si="13"/>
        <v>0</v>
      </c>
      <c r="D53" s="879">
        <f t="shared" si="13"/>
        <v>6350</v>
      </c>
      <c r="E53" s="880">
        <f t="shared" si="13"/>
        <v>0</v>
      </c>
      <c r="F53" s="879">
        <f t="shared" si="13"/>
        <v>6350</v>
      </c>
      <c r="G53" s="879">
        <f t="shared" si="13"/>
        <v>0</v>
      </c>
      <c r="H53" s="879">
        <f t="shared" si="13"/>
        <v>6350</v>
      </c>
      <c r="I53" s="880">
        <f t="shared" si="13"/>
        <v>0</v>
      </c>
      <c r="J53" s="340">
        <f>SUM(J54)</f>
        <v>6350</v>
      </c>
      <c r="K53" s="879">
        <f>SUM(K54)</f>
        <v>0</v>
      </c>
      <c r="L53" s="879">
        <f>SUM(L54)</f>
        <v>6350</v>
      </c>
      <c r="M53" s="880">
        <f>SUM(M54)</f>
        <v>0</v>
      </c>
    </row>
    <row r="54" spans="1:13" ht="15">
      <c r="A54" s="877" t="s">
        <v>749</v>
      </c>
      <c r="B54" s="881">
        <v>6350</v>
      </c>
      <c r="C54" s="231"/>
      <c r="D54" s="170">
        <f>B54-C54</f>
        <v>6350</v>
      </c>
      <c r="E54" s="232"/>
      <c r="F54" s="881">
        <v>6350</v>
      </c>
      <c r="G54" s="231"/>
      <c r="H54" s="170">
        <f>F54-G54</f>
        <v>6350</v>
      </c>
      <c r="I54" s="232"/>
      <c r="J54" s="338">
        <f>F54</f>
        <v>6350</v>
      </c>
      <c r="K54" s="881">
        <f>G54</f>
        <v>0</v>
      </c>
      <c r="L54" s="881">
        <f>H54</f>
        <v>6350</v>
      </c>
      <c r="M54" s="882">
        <f>I54</f>
        <v>0</v>
      </c>
    </row>
    <row r="55" spans="1:13" ht="15">
      <c r="A55" s="437"/>
      <c r="B55" s="231"/>
      <c r="C55" s="231"/>
      <c r="D55" s="231"/>
      <c r="E55" s="232"/>
      <c r="F55" s="231"/>
      <c r="G55" s="231"/>
      <c r="H55" s="231"/>
      <c r="I55" s="232"/>
      <c r="J55" s="437"/>
      <c r="K55" s="231"/>
      <c r="L55" s="231"/>
      <c r="M55" s="232"/>
    </row>
    <row r="56" spans="1:13" ht="15">
      <c r="A56" s="878" t="s">
        <v>132</v>
      </c>
      <c r="B56" s="879">
        <f>SUM(B57:B58)</f>
        <v>16392</v>
      </c>
      <c r="C56" s="231"/>
      <c r="D56" s="231">
        <f>B56-C56</f>
        <v>16392</v>
      </c>
      <c r="E56" s="232"/>
      <c r="F56" s="879">
        <f>SUM(F57:F58)</f>
        <v>16392</v>
      </c>
      <c r="G56" s="231"/>
      <c r="H56" s="231">
        <f>F56-G56</f>
        <v>16392</v>
      </c>
      <c r="I56" s="232"/>
      <c r="J56" s="340">
        <f>SUM(J57:J58)</f>
        <v>2556</v>
      </c>
      <c r="K56" s="879">
        <f>SUM(K57:K58)</f>
        <v>0</v>
      </c>
      <c r="L56" s="879">
        <f>SUM(L57:L58)</f>
        <v>2556</v>
      </c>
      <c r="M56" s="880">
        <f>SUM(M57:M58)</f>
        <v>0</v>
      </c>
    </row>
    <row r="57" spans="1:13" ht="30">
      <c r="A57" s="877" t="s">
        <v>61</v>
      </c>
      <c r="B57" s="881">
        <v>15000</v>
      </c>
      <c r="C57" s="231"/>
      <c r="D57" s="170">
        <f>B57-C57</f>
        <v>15000</v>
      </c>
      <c r="E57" s="232"/>
      <c r="F57" s="881">
        <v>15000</v>
      </c>
      <c r="G57" s="231"/>
      <c r="H57" s="170">
        <f>F57-G57</f>
        <v>15000</v>
      </c>
      <c r="I57" s="232"/>
      <c r="J57" s="338">
        <f>F57-13836</f>
        <v>1164</v>
      </c>
      <c r="K57" s="881">
        <f aca="true" t="shared" si="14" ref="K57:M58">G57</f>
        <v>0</v>
      </c>
      <c r="L57" s="881">
        <f>J57</f>
        <v>1164</v>
      </c>
      <c r="M57" s="882">
        <f t="shared" si="14"/>
        <v>0</v>
      </c>
    </row>
    <row r="58" spans="1:13" ht="15">
      <c r="A58" s="877" t="s">
        <v>751</v>
      </c>
      <c r="B58" s="881">
        <v>1392</v>
      </c>
      <c r="C58" s="231"/>
      <c r="D58" s="170">
        <f>B58-C58</f>
        <v>1392</v>
      </c>
      <c r="E58" s="232"/>
      <c r="F58" s="881">
        <v>1392</v>
      </c>
      <c r="G58" s="231"/>
      <c r="H58" s="170">
        <f>F58-G58</f>
        <v>1392</v>
      </c>
      <c r="I58" s="232"/>
      <c r="J58" s="338">
        <f>F58</f>
        <v>1392</v>
      </c>
      <c r="K58" s="881">
        <f t="shared" si="14"/>
        <v>0</v>
      </c>
      <c r="L58" s="881">
        <f t="shared" si="14"/>
        <v>1392</v>
      </c>
      <c r="M58" s="882">
        <f t="shared" si="14"/>
        <v>0</v>
      </c>
    </row>
    <row r="59" spans="1:13" ht="15">
      <c r="A59" s="437"/>
      <c r="B59" s="231"/>
      <c r="C59" s="231"/>
      <c r="D59" s="231"/>
      <c r="E59" s="232"/>
      <c r="F59" s="231"/>
      <c r="G59" s="231"/>
      <c r="H59" s="231"/>
      <c r="I59" s="232"/>
      <c r="J59" s="437"/>
      <c r="K59" s="231"/>
      <c r="L59" s="231"/>
      <c r="M59" s="232"/>
    </row>
    <row r="60" spans="1:13" ht="15.75" thickBot="1">
      <c r="A60" s="341" t="s">
        <v>382</v>
      </c>
      <c r="B60" s="172">
        <f aca="true" t="shared" si="15" ref="B60:I60">B50+B53+B56</f>
        <v>170042</v>
      </c>
      <c r="C60" s="172">
        <f t="shared" si="15"/>
        <v>0</v>
      </c>
      <c r="D60" s="172">
        <f t="shared" si="15"/>
        <v>170042</v>
      </c>
      <c r="E60" s="173">
        <f t="shared" si="15"/>
        <v>0</v>
      </c>
      <c r="F60" s="172">
        <f t="shared" si="15"/>
        <v>170042</v>
      </c>
      <c r="G60" s="172">
        <f t="shared" si="15"/>
        <v>0</v>
      </c>
      <c r="H60" s="172">
        <f t="shared" si="15"/>
        <v>170042</v>
      </c>
      <c r="I60" s="173">
        <f t="shared" si="15"/>
        <v>0</v>
      </c>
      <c r="J60" s="341">
        <f>SUM(J50,J53,J56)</f>
        <v>8906</v>
      </c>
      <c r="K60" s="172">
        <f>SUM(K50,K53,K56)</f>
        <v>0</v>
      </c>
      <c r="L60" s="172">
        <f>SUM(L50,L53,L56)</f>
        <v>8906</v>
      </c>
      <c r="M60" s="173">
        <f>SUM(M50,M53,M56)</f>
        <v>0</v>
      </c>
    </row>
    <row r="61" spans="1:5" ht="15">
      <c r="A61" s="229"/>
      <c r="B61" s="230"/>
      <c r="C61" s="230"/>
      <c r="D61" s="230"/>
      <c r="E61" s="230"/>
    </row>
    <row r="62" spans="1:13" ht="15">
      <c r="A62" s="883" t="s">
        <v>754</v>
      </c>
      <c r="B62" s="884"/>
      <c r="C62" s="884"/>
      <c r="D62" s="884">
        <f>SUM(D37,D60)</f>
        <v>650000</v>
      </c>
      <c r="E62" s="884">
        <f>SUM(E37,E60)</f>
        <v>59262</v>
      </c>
      <c r="F62" s="884"/>
      <c r="G62" s="884"/>
      <c r="H62" s="884">
        <f>SUM(H37,H60)</f>
        <v>650000</v>
      </c>
      <c r="I62" s="884">
        <f>SUM(I37,I60)</f>
        <v>59262</v>
      </c>
      <c r="J62" s="884"/>
      <c r="K62" s="884"/>
      <c r="L62" s="884">
        <f>SUM(L37,L60)</f>
        <v>650000</v>
      </c>
      <c r="M62" s="884">
        <f>SUM(M37,M60)</f>
        <v>59262</v>
      </c>
    </row>
    <row r="63" spans="2:5" ht="15">
      <c r="B63" s="875"/>
      <c r="C63" s="875"/>
      <c r="D63" s="875"/>
      <c r="E63" s="875"/>
    </row>
    <row r="68" spans="2:5" ht="15">
      <c r="B68" s="875"/>
      <c r="C68" s="875"/>
      <c r="D68" s="875"/>
      <c r="E68" s="875"/>
    </row>
    <row r="69" spans="2:5" ht="15">
      <c r="B69" s="875"/>
      <c r="C69" s="875"/>
      <c r="D69" s="875"/>
      <c r="E69" s="875"/>
    </row>
    <row r="70" spans="2:5" ht="15">
      <c r="B70" s="875"/>
      <c r="C70" s="875"/>
      <c r="D70" s="875"/>
      <c r="E70" s="875"/>
    </row>
    <row r="71" spans="2:5" ht="15">
      <c r="B71" s="875"/>
      <c r="C71" s="875"/>
      <c r="D71" s="875"/>
      <c r="E71" s="875"/>
    </row>
    <row r="72" spans="2:5" ht="15">
      <c r="B72" s="875"/>
      <c r="C72" s="875"/>
      <c r="D72" s="875"/>
      <c r="E72" s="875"/>
    </row>
    <row r="73" spans="2:5" ht="15">
      <c r="B73" s="875"/>
      <c r="C73" s="875"/>
      <c r="D73" s="875"/>
      <c r="E73" s="875"/>
    </row>
    <row r="74" spans="2:5" ht="15">
      <c r="B74" s="875"/>
      <c r="C74" s="875"/>
      <c r="D74" s="875"/>
      <c r="E74" s="875"/>
    </row>
    <row r="75" spans="2:5" ht="15">
      <c r="B75" s="875"/>
      <c r="C75" s="875"/>
      <c r="D75" s="875"/>
      <c r="E75" s="875"/>
    </row>
    <row r="76" spans="2:5" ht="15">
      <c r="B76" s="875"/>
      <c r="C76" s="875"/>
      <c r="D76" s="875"/>
      <c r="E76" s="875"/>
    </row>
    <row r="77" spans="2:5" ht="15">
      <c r="B77" s="875"/>
      <c r="C77" s="875"/>
      <c r="D77" s="875"/>
      <c r="E77" s="875"/>
    </row>
    <row r="78" spans="2:5" ht="15">
      <c r="B78" s="875"/>
      <c r="C78" s="875"/>
      <c r="D78" s="875"/>
      <c r="E78" s="875"/>
    </row>
    <row r="79" spans="2:5" ht="15">
      <c r="B79" s="875"/>
      <c r="C79" s="875"/>
      <c r="D79" s="875"/>
      <c r="E79" s="875"/>
    </row>
  </sheetData>
  <sheetProtection/>
  <mergeCells count="24">
    <mergeCell ref="A44:M44"/>
    <mergeCell ref="J5:M5"/>
    <mergeCell ref="J6:J7"/>
    <mergeCell ref="K6:M6"/>
    <mergeCell ref="J46:M46"/>
    <mergeCell ref="J47:J48"/>
    <mergeCell ref="K47:M47"/>
    <mergeCell ref="A39:M42"/>
    <mergeCell ref="A5:A7"/>
    <mergeCell ref="F5:I5"/>
    <mergeCell ref="B46:E46"/>
    <mergeCell ref="A46:A48"/>
    <mergeCell ref="F46:I46"/>
    <mergeCell ref="F47:F48"/>
    <mergeCell ref="G47:I47"/>
    <mergeCell ref="B47:B48"/>
    <mergeCell ref="C47:E47"/>
    <mergeCell ref="F6:F7"/>
    <mergeCell ref="G6:I6"/>
    <mergeCell ref="B6:B7"/>
    <mergeCell ref="C6:E6"/>
    <mergeCell ref="B5:E5"/>
    <mergeCell ref="A1:M1"/>
    <mergeCell ref="A3:M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4" r:id="rId1"/>
  <headerFooter alignWithMargins="0">
    <oddHeader>&amp;L16. melléklet a 21/2015.(X.2.) önkormányzati rendelethez
16. melléklet az 1/2015.(I.30.) önkormányzati rendelethez</oddHeader>
  </headerFooter>
  <rowBreaks count="1" manualBreakCount="1">
    <brk id="42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view="pageBreakPreview" zoomScale="89" zoomScaleSheetLayoutView="89" workbookViewId="0" topLeftCell="A1">
      <selection activeCell="M76" sqref="M76"/>
    </sheetView>
  </sheetViews>
  <sheetFormatPr defaultColWidth="9.00390625" defaultRowHeight="12.75"/>
  <cols>
    <col min="1" max="1" width="15.125" style="342" customWidth="1"/>
    <col min="2" max="2" width="95.375" style="371" customWidth="1"/>
    <col min="3" max="3" width="0" style="342" hidden="1" customWidth="1"/>
    <col min="4" max="4" width="0" style="372" hidden="1" customWidth="1"/>
    <col min="5" max="5" width="0" style="373" hidden="1" customWidth="1"/>
    <col min="6" max="6" width="0" style="374" hidden="1" customWidth="1"/>
    <col min="7" max="7" width="16.375" style="342" hidden="1" customWidth="1"/>
    <col min="8" max="8" width="7.625" style="372" hidden="1" customWidth="1"/>
    <col min="9" max="9" width="18.875" style="373" hidden="1" customWidth="1"/>
    <col min="10" max="10" width="9.125" style="374" hidden="1" customWidth="1"/>
    <col min="11" max="12" width="13.00390625" style="342" customWidth="1"/>
    <col min="13" max="13" width="12.00390625" style="342" customWidth="1"/>
    <col min="14" max="16384" width="9.125" style="342" customWidth="1"/>
  </cols>
  <sheetData>
    <row r="1" spans="1:256" ht="15.75">
      <c r="A1" s="1207" t="s">
        <v>342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1207" t="s">
        <v>747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5" thickBot="1">
      <c r="A3"/>
      <c r="B3" s="175"/>
      <c r="C3" s="174"/>
      <c r="D3" s="343"/>
      <c r="E3" s="344"/>
      <c r="F3" s="345"/>
      <c r="G3" s="174"/>
      <c r="H3" s="343"/>
      <c r="I3" s="344"/>
      <c r="J3" s="34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 thickBot="1" thickTop="1">
      <c r="A4" s="1208" t="s">
        <v>189</v>
      </c>
      <c r="B4" s="1209" t="s">
        <v>190</v>
      </c>
      <c r="C4" s="1210" t="s">
        <v>711</v>
      </c>
      <c r="D4" s="1210"/>
      <c r="E4" s="1210"/>
      <c r="F4" s="1210"/>
      <c r="G4" s="1213" t="s">
        <v>712</v>
      </c>
      <c r="H4" s="1213"/>
      <c r="I4" s="1213"/>
      <c r="J4" s="1213"/>
      <c r="K4" s="1213"/>
      <c r="L4" s="1213"/>
      <c r="M4" s="121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82.5" customHeight="1" thickBot="1" thickTop="1">
      <c r="A5" s="1208"/>
      <c r="B5" s="1209"/>
      <c r="C5" s="1211" t="s">
        <v>191</v>
      </c>
      <c r="D5" s="1211"/>
      <c r="E5" s="682" t="s">
        <v>192</v>
      </c>
      <c r="F5" s="683" t="s">
        <v>193</v>
      </c>
      <c r="G5" s="1212" t="s">
        <v>191</v>
      </c>
      <c r="H5" s="1212"/>
      <c r="I5" s="684" t="s">
        <v>192</v>
      </c>
      <c r="J5" s="685" t="s">
        <v>818</v>
      </c>
      <c r="K5" s="686" t="s">
        <v>819</v>
      </c>
      <c r="L5" s="686" t="s">
        <v>820</v>
      </c>
      <c r="M5" s="687" t="s">
        <v>901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 thickTop="1">
      <c r="A6" s="688" t="s">
        <v>194</v>
      </c>
      <c r="B6" s="689" t="s">
        <v>195</v>
      </c>
      <c r="C6" s="690"/>
      <c r="D6" s="691"/>
      <c r="E6" s="692"/>
      <c r="F6" s="690"/>
      <c r="G6" s="690"/>
      <c r="H6" s="691"/>
      <c r="I6" s="692"/>
      <c r="J6" s="693"/>
      <c r="K6" s="694"/>
      <c r="L6" s="695"/>
      <c r="M6" s="69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 s="697" t="s">
        <v>196</v>
      </c>
      <c r="B7" s="698" t="s">
        <v>197</v>
      </c>
      <c r="C7" s="699">
        <v>58.77</v>
      </c>
      <c r="D7" s="700" t="s">
        <v>198</v>
      </c>
      <c r="E7" s="701">
        <v>4580000</v>
      </c>
      <c r="F7" s="702">
        <f>C7*E7</f>
        <v>269166600</v>
      </c>
      <c r="G7" s="699">
        <v>58.59</v>
      </c>
      <c r="H7" s="700" t="s">
        <v>198</v>
      </c>
      <c r="I7" s="701">
        <v>4580000</v>
      </c>
      <c r="J7" s="702">
        <f>G7*I7</f>
        <v>268342200.00000003</v>
      </c>
      <c r="K7" s="703">
        <v>268342</v>
      </c>
      <c r="L7" s="704">
        <v>268342</v>
      </c>
      <c r="M7" s="705">
        <v>268342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7.25" customHeight="1">
      <c r="A8" s="706" t="s">
        <v>199</v>
      </c>
      <c r="B8" s="707" t="s">
        <v>200</v>
      </c>
      <c r="C8" s="346"/>
      <c r="D8" s="347"/>
      <c r="E8" s="348"/>
      <c r="F8" s="708"/>
      <c r="G8" s="346"/>
      <c r="H8" s="347"/>
      <c r="I8" s="709"/>
      <c r="J8" s="710"/>
      <c r="K8" s="708"/>
      <c r="L8" s="711"/>
      <c r="M8" s="71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7.25" customHeight="1">
      <c r="A9" s="713" t="s">
        <v>201</v>
      </c>
      <c r="B9" s="714" t="s">
        <v>202</v>
      </c>
      <c r="C9" s="349">
        <v>1698.6</v>
      </c>
      <c r="D9" s="347" t="s">
        <v>203</v>
      </c>
      <c r="E9" s="348">
        <v>22300</v>
      </c>
      <c r="F9" s="715">
        <f>C9*E9</f>
        <v>37878780</v>
      </c>
      <c r="G9" s="349">
        <v>1697.7</v>
      </c>
      <c r="H9" s="347" t="s">
        <v>203</v>
      </c>
      <c r="I9" s="709">
        <v>22300</v>
      </c>
      <c r="J9" s="716">
        <v>37859535</v>
      </c>
      <c r="K9" s="715">
        <v>37859</v>
      </c>
      <c r="L9" s="717">
        <v>37859</v>
      </c>
      <c r="M9" s="718">
        <v>37859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3" s="176" customFormat="1" ht="17.25" customHeight="1">
      <c r="A10" s="713" t="s">
        <v>204</v>
      </c>
      <c r="B10" s="719" t="s">
        <v>205</v>
      </c>
      <c r="C10" s="350"/>
      <c r="D10" s="351" t="s">
        <v>206</v>
      </c>
      <c r="E10" s="352"/>
      <c r="F10" s="715">
        <v>76483200</v>
      </c>
      <c r="G10" s="350">
        <v>206.4</v>
      </c>
      <c r="H10" s="351" t="s">
        <v>713</v>
      </c>
      <c r="I10" s="720">
        <v>400000</v>
      </c>
      <c r="J10" s="716">
        <v>82560000</v>
      </c>
      <c r="K10" s="715">
        <v>82560</v>
      </c>
      <c r="L10" s="717">
        <v>82560</v>
      </c>
      <c r="M10" s="718">
        <v>82560</v>
      </c>
    </row>
    <row r="11" spans="1:13" s="356" customFormat="1" ht="17.25" customHeight="1">
      <c r="A11" s="713" t="s">
        <v>207</v>
      </c>
      <c r="B11" s="714" t="s">
        <v>208</v>
      </c>
      <c r="C11" s="353"/>
      <c r="D11" s="351" t="s">
        <v>206</v>
      </c>
      <c r="E11" s="354"/>
      <c r="F11" s="715">
        <v>13458016</v>
      </c>
      <c r="G11" s="355">
        <v>129404</v>
      </c>
      <c r="H11" s="351" t="s">
        <v>714</v>
      </c>
      <c r="I11" s="709" t="s">
        <v>715</v>
      </c>
      <c r="J11" s="716">
        <v>13458016</v>
      </c>
      <c r="K11" s="715">
        <v>13458</v>
      </c>
      <c r="L11" s="717">
        <v>13458</v>
      </c>
      <c r="M11" s="718">
        <v>13458</v>
      </c>
    </row>
    <row r="12" spans="1:256" ht="17.25" customHeight="1">
      <c r="A12" s="713" t="s">
        <v>209</v>
      </c>
      <c r="B12" s="714" t="s">
        <v>210</v>
      </c>
      <c r="C12" s="353"/>
      <c r="D12" s="351" t="s">
        <v>206</v>
      </c>
      <c r="E12" s="348"/>
      <c r="F12" s="715">
        <v>30149000</v>
      </c>
      <c r="G12" s="357">
        <v>102.31</v>
      </c>
      <c r="H12" s="351" t="s">
        <v>713</v>
      </c>
      <c r="I12" s="709" t="s">
        <v>716</v>
      </c>
      <c r="J12" s="716">
        <v>30181450</v>
      </c>
      <c r="K12" s="715">
        <v>30181</v>
      </c>
      <c r="L12" s="717">
        <v>30181</v>
      </c>
      <c r="M12" s="718">
        <v>30181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721" t="s">
        <v>199</v>
      </c>
      <c r="B13" s="722" t="s">
        <v>211</v>
      </c>
      <c r="C13" s="355"/>
      <c r="D13" s="351"/>
      <c r="E13" s="358"/>
      <c r="F13" s="703">
        <f>SUM(F9:F12)</f>
        <v>157968996</v>
      </c>
      <c r="G13" s="355"/>
      <c r="H13" s="351"/>
      <c r="I13" s="723"/>
      <c r="J13" s="724">
        <f>SUM(J9:J12)</f>
        <v>164059001</v>
      </c>
      <c r="K13" s="703">
        <f>SUM(K9:K12)</f>
        <v>164058</v>
      </c>
      <c r="L13" s="703">
        <f>SUM(L9:L12)</f>
        <v>164058</v>
      </c>
      <c r="M13" s="359">
        <f>SUM(M9:M12)</f>
        <v>164058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7.25" customHeight="1">
      <c r="A14" s="721" t="s">
        <v>212</v>
      </c>
      <c r="B14" s="722" t="s">
        <v>717</v>
      </c>
      <c r="C14" s="348">
        <v>23733</v>
      </c>
      <c r="D14" s="347" t="s">
        <v>198</v>
      </c>
      <c r="E14" s="348">
        <v>2700</v>
      </c>
      <c r="F14" s="703">
        <f>C14*E14</f>
        <v>64079100</v>
      </c>
      <c r="G14" s="348">
        <v>23630</v>
      </c>
      <c r="H14" s="347" t="s">
        <v>198</v>
      </c>
      <c r="I14" s="709">
        <v>2700</v>
      </c>
      <c r="J14" s="724">
        <f>G14*I14</f>
        <v>63801000</v>
      </c>
      <c r="K14" s="703">
        <v>63801</v>
      </c>
      <c r="L14" s="704">
        <v>63801</v>
      </c>
      <c r="M14" s="705">
        <v>63801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721" t="s">
        <v>718</v>
      </c>
      <c r="B15" s="722" t="s">
        <v>719</v>
      </c>
      <c r="C15" s="348"/>
      <c r="D15" s="347"/>
      <c r="E15" s="348"/>
      <c r="F15" s="703"/>
      <c r="G15" s="348">
        <v>703</v>
      </c>
      <c r="H15" s="347" t="s">
        <v>198</v>
      </c>
      <c r="I15" s="725" t="s">
        <v>720</v>
      </c>
      <c r="J15" s="724">
        <v>1792650</v>
      </c>
      <c r="K15" s="703">
        <v>1793</v>
      </c>
      <c r="L15" s="704">
        <v>1793</v>
      </c>
      <c r="M15" s="705">
        <v>1793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721" t="s">
        <v>721</v>
      </c>
      <c r="B16" s="722" t="s">
        <v>157</v>
      </c>
      <c r="C16" s="348"/>
      <c r="D16" s="347"/>
      <c r="E16" s="348"/>
      <c r="F16" s="703"/>
      <c r="G16" s="348">
        <v>27053549</v>
      </c>
      <c r="H16" s="347" t="s">
        <v>158</v>
      </c>
      <c r="I16" s="725" t="s">
        <v>722</v>
      </c>
      <c r="J16" s="724">
        <v>41933700</v>
      </c>
      <c r="K16" s="703">
        <v>41934</v>
      </c>
      <c r="L16" s="704">
        <v>41934</v>
      </c>
      <c r="M16" s="705">
        <v>41934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726" t="s">
        <v>213</v>
      </c>
      <c r="B17" s="727" t="s">
        <v>214</v>
      </c>
      <c r="C17" s="360"/>
      <c r="D17" s="361"/>
      <c r="E17" s="362"/>
      <c r="F17" s="728">
        <f>F7+F13+F14</f>
        <v>491214696</v>
      </c>
      <c r="G17" s="360"/>
      <c r="H17" s="361"/>
      <c r="I17" s="729"/>
      <c r="J17" s="730">
        <f>J7+J13+J14+J15+J16</f>
        <v>539928551</v>
      </c>
      <c r="K17" s="728">
        <f>K7+K13+K14+K15+K16</f>
        <v>539928</v>
      </c>
      <c r="L17" s="728">
        <f>L7+L13+L14+L15+L16</f>
        <v>539928</v>
      </c>
      <c r="M17" s="363">
        <f>M7+M13+M14+M15+M16</f>
        <v>539928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726" t="s">
        <v>215</v>
      </c>
      <c r="B18" s="727" t="s">
        <v>216</v>
      </c>
      <c r="C18" s="360">
        <v>317</v>
      </c>
      <c r="D18" s="361" t="s">
        <v>217</v>
      </c>
      <c r="E18" s="362" t="s">
        <v>218</v>
      </c>
      <c r="F18" s="728">
        <f>C18*100</f>
        <v>31700</v>
      </c>
      <c r="G18" s="360">
        <v>317</v>
      </c>
      <c r="H18" s="361" t="s">
        <v>217</v>
      </c>
      <c r="I18" s="729" t="s">
        <v>218</v>
      </c>
      <c r="J18" s="730">
        <v>31700</v>
      </c>
      <c r="K18" s="728">
        <v>32</v>
      </c>
      <c r="L18" s="731">
        <v>32</v>
      </c>
      <c r="M18" s="732">
        <v>32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726" t="s">
        <v>194</v>
      </c>
      <c r="B19" s="727"/>
      <c r="C19" s="360"/>
      <c r="D19" s="361"/>
      <c r="E19" s="362"/>
      <c r="F19" s="728">
        <f>SUM(F17:F18)</f>
        <v>491246396</v>
      </c>
      <c r="G19" s="360"/>
      <c r="H19" s="361"/>
      <c r="I19" s="729"/>
      <c r="J19" s="733">
        <f>SUM(J17:J18)</f>
        <v>539960251</v>
      </c>
      <c r="K19" s="734">
        <f>SUM(K17:K18)</f>
        <v>539960</v>
      </c>
      <c r="L19" s="730">
        <f>SUM(L17:L18)</f>
        <v>539960</v>
      </c>
      <c r="M19" s="363">
        <f>SUM(M17:M18)</f>
        <v>539960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721" t="s">
        <v>219</v>
      </c>
      <c r="B20" s="735" t="s">
        <v>220</v>
      </c>
      <c r="C20" s="364"/>
      <c r="D20" s="347"/>
      <c r="E20" s="348"/>
      <c r="F20" s="703"/>
      <c r="G20" s="364"/>
      <c r="H20" s="347"/>
      <c r="I20" s="709"/>
      <c r="J20" s="736"/>
      <c r="K20" s="724"/>
      <c r="L20" s="704"/>
      <c r="M20" s="70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 customHeight="1">
      <c r="A21" s="721"/>
      <c r="B21" s="735" t="s">
        <v>221</v>
      </c>
      <c r="C21" s="365">
        <v>54.1</v>
      </c>
      <c r="D21" s="347" t="s">
        <v>198</v>
      </c>
      <c r="E21" s="348">
        <v>4012000</v>
      </c>
      <c r="F21" s="708">
        <f>C21*E21*8/12</f>
        <v>144699466.66666666</v>
      </c>
      <c r="G21" s="365">
        <v>52.4</v>
      </c>
      <c r="H21" s="347" t="s">
        <v>198</v>
      </c>
      <c r="I21" s="709">
        <v>4152000</v>
      </c>
      <c r="J21" s="737">
        <f>G21*I21/12*8</f>
        <v>145043200</v>
      </c>
      <c r="K21" s="710">
        <v>145043</v>
      </c>
      <c r="L21" s="711">
        <v>145043</v>
      </c>
      <c r="M21" s="712">
        <f>145043+830</f>
        <v>145873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7.25" customHeight="1">
      <c r="A22" s="721"/>
      <c r="B22" s="735" t="s">
        <v>222</v>
      </c>
      <c r="C22" s="365">
        <v>53.5</v>
      </c>
      <c r="D22" s="347" t="s">
        <v>198</v>
      </c>
      <c r="E22" s="348">
        <v>4012000</v>
      </c>
      <c r="F22" s="708">
        <f>C22*E22*4/12</f>
        <v>71547333.33333333</v>
      </c>
      <c r="G22" s="365">
        <v>51.6</v>
      </c>
      <c r="H22" s="347" t="s">
        <v>198</v>
      </c>
      <c r="I22" s="709">
        <v>4152000</v>
      </c>
      <c r="J22" s="737">
        <f>G22*I22/12*4</f>
        <v>71414400</v>
      </c>
      <c r="K22" s="710">
        <v>71415</v>
      </c>
      <c r="L22" s="711">
        <v>71415</v>
      </c>
      <c r="M22" s="712">
        <f>71415+138</f>
        <v>71553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25" customHeight="1">
      <c r="A23" s="721"/>
      <c r="B23" s="735" t="s">
        <v>723</v>
      </c>
      <c r="C23" s="365">
        <v>53.5</v>
      </c>
      <c r="D23" s="347" t="s">
        <v>198</v>
      </c>
      <c r="E23" s="348">
        <v>34400</v>
      </c>
      <c r="F23" s="708">
        <f>C23*E23</f>
        <v>1840400</v>
      </c>
      <c r="G23" s="365">
        <v>51.6</v>
      </c>
      <c r="H23" s="347" t="s">
        <v>198</v>
      </c>
      <c r="I23" s="709">
        <v>35000</v>
      </c>
      <c r="J23" s="737">
        <f>G23*I23</f>
        <v>1806000</v>
      </c>
      <c r="K23" s="710">
        <v>1806</v>
      </c>
      <c r="L23" s="711">
        <v>1806</v>
      </c>
      <c r="M23" s="712">
        <f>1806+4</f>
        <v>1810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7.25" customHeight="1">
      <c r="A24" s="721"/>
      <c r="B24" s="735" t="s">
        <v>223</v>
      </c>
      <c r="C24" s="365">
        <v>33</v>
      </c>
      <c r="D24" s="347" t="s">
        <v>198</v>
      </c>
      <c r="E24" s="348">
        <v>1800000</v>
      </c>
      <c r="F24" s="708">
        <f>C24*E24*8/12</f>
        <v>39600000</v>
      </c>
      <c r="G24" s="365">
        <v>34</v>
      </c>
      <c r="H24" s="347" t="s">
        <v>198</v>
      </c>
      <c r="I24" s="709">
        <v>1800000</v>
      </c>
      <c r="J24" s="737">
        <f>G24*I24/12*8</f>
        <v>40800000</v>
      </c>
      <c r="K24" s="710">
        <v>40800</v>
      </c>
      <c r="L24" s="711">
        <v>40800</v>
      </c>
      <c r="M24" s="712">
        <v>40800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7.25" customHeight="1">
      <c r="A25" s="721"/>
      <c r="B25" s="735" t="s">
        <v>224</v>
      </c>
      <c r="C25" s="365">
        <v>33</v>
      </c>
      <c r="D25" s="347" t="s">
        <v>198</v>
      </c>
      <c r="E25" s="348">
        <v>1800000</v>
      </c>
      <c r="F25" s="708">
        <f>C25*E25*4/12</f>
        <v>19800000</v>
      </c>
      <c r="G25" s="365">
        <v>34</v>
      </c>
      <c r="H25" s="347" t="s">
        <v>198</v>
      </c>
      <c r="I25" s="709">
        <v>1800000</v>
      </c>
      <c r="J25" s="737">
        <f>G25*I25/12*4</f>
        <v>20400000</v>
      </c>
      <c r="K25" s="710">
        <v>20400</v>
      </c>
      <c r="L25" s="711">
        <v>20400</v>
      </c>
      <c r="M25" s="712">
        <v>20400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8.5" customHeight="1">
      <c r="A26" s="726" t="s">
        <v>219</v>
      </c>
      <c r="B26" s="738" t="s">
        <v>225</v>
      </c>
      <c r="C26" s="364"/>
      <c r="D26" s="347"/>
      <c r="E26" s="348"/>
      <c r="F26" s="728">
        <f>SUM(F21:F25)</f>
        <v>277487200</v>
      </c>
      <c r="G26" s="364"/>
      <c r="H26" s="347"/>
      <c r="I26" s="709"/>
      <c r="J26" s="733">
        <f>SUM(J21:J25)</f>
        <v>279463600</v>
      </c>
      <c r="K26" s="734">
        <f>SUM(K21:K25)</f>
        <v>279464</v>
      </c>
      <c r="L26" s="730">
        <f>SUM(L21:L25)</f>
        <v>279464</v>
      </c>
      <c r="M26" s="363">
        <f>SUM(M21:M25)</f>
        <v>280436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7.25" customHeight="1">
      <c r="A27" s="721" t="s">
        <v>226</v>
      </c>
      <c r="B27" s="707" t="s">
        <v>227</v>
      </c>
      <c r="C27" s="357"/>
      <c r="D27" s="347"/>
      <c r="E27" s="348"/>
      <c r="F27" s="703"/>
      <c r="G27" s="357"/>
      <c r="H27" s="347"/>
      <c r="I27" s="709"/>
      <c r="J27" s="736"/>
      <c r="K27" s="724"/>
      <c r="L27" s="704"/>
      <c r="M27" s="70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7.25" customHeight="1">
      <c r="A28" s="721"/>
      <c r="B28" s="707" t="s">
        <v>228</v>
      </c>
      <c r="C28" s="357">
        <v>6</v>
      </c>
      <c r="D28" s="347" t="s">
        <v>198</v>
      </c>
      <c r="E28" s="348">
        <v>56000</v>
      </c>
      <c r="F28" s="708">
        <f>C28*E28*8/12</f>
        <v>224000</v>
      </c>
      <c r="G28" s="357">
        <v>4</v>
      </c>
      <c r="H28" s="347" t="s">
        <v>198</v>
      </c>
      <c r="I28" s="709">
        <v>70000</v>
      </c>
      <c r="J28" s="737">
        <f>G28*I28/12*8</f>
        <v>186666.66666666666</v>
      </c>
      <c r="K28" s="710">
        <v>187</v>
      </c>
      <c r="L28" s="711">
        <v>187</v>
      </c>
      <c r="M28" s="712">
        <f>187-47</f>
        <v>140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 customHeight="1">
      <c r="A29" s="721"/>
      <c r="B29" s="707" t="s">
        <v>229</v>
      </c>
      <c r="C29" s="357">
        <v>586</v>
      </c>
      <c r="D29" s="347"/>
      <c r="E29" s="348">
        <v>56000</v>
      </c>
      <c r="F29" s="708">
        <f>C29*E29*8/12</f>
        <v>21877333.333333332</v>
      </c>
      <c r="G29" s="357">
        <v>575</v>
      </c>
      <c r="H29" s="347" t="s">
        <v>198</v>
      </c>
      <c r="I29" s="709">
        <v>70000</v>
      </c>
      <c r="J29" s="737">
        <f>G29*I29/12*8</f>
        <v>26833333.333333332</v>
      </c>
      <c r="K29" s="710">
        <v>26833</v>
      </c>
      <c r="L29" s="711">
        <v>26833</v>
      </c>
      <c r="M29" s="712">
        <f>26833+140</f>
        <v>26973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 customHeight="1">
      <c r="A30" s="721"/>
      <c r="B30" s="707" t="s">
        <v>230</v>
      </c>
      <c r="C30" s="357">
        <v>589</v>
      </c>
      <c r="D30" s="347" t="s">
        <v>198</v>
      </c>
      <c r="E30" s="348">
        <v>56000</v>
      </c>
      <c r="F30" s="708">
        <f>C30*E30*4/12</f>
        <v>10994666.666666666</v>
      </c>
      <c r="G30" s="357">
        <v>0</v>
      </c>
      <c r="H30" s="347" t="s">
        <v>198</v>
      </c>
      <c r="I30" s="709">
        <v>70000</v>
      </c>
      <c r="J30" s="737">
        <f>G30*I30/12*4</f>
        <v>0</v>
      </c>
      <c r="K30" s="710">
        <v>0</v>
      </c>
      <c r="L30" s="711"/>
      <c r="M30" s="71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 customHeight="1">
      <c r="A31" s="721"/>
      <c r="B31" s="707" t="s">
        <v>724</v>
      </c>
      <c r="C31" s="357"/>
      <c r="D31" s="347"/>
      <c r="E31" s="348"/>
      <c r="F31" s="708"/>
      <c r="G31" s="357">
        <v>568</v>
      </c>
      <c r="H31" s="347" t="s">
        <v>198</v>
      </c>
      <c r="I31" s="709">
        <v>70000</v>
      </c>
      <c r="J31" s="737">
        <f>G31*I31/12*4</f>
        <v>13253333.333333334</v>
      </c>
      <c r="K31" s="710">
        <v>13253</v>
      </c>
      <c r="L31" s="711">
        <v>13253</v>
      </c>
      <c r="M31" s="712">
        <v>13253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726" t="s">
        <v>226</v>
      </c>
      <c r="B32" s="739" t="s">
        <v>231</v>
      </c>
      <c r="C32" s="357"/>
      <c r="D32" s="347"/>
      <c r="E32" s="348"/>
      <c r="F32" s="728">
        <f>SUM(F28:F30)</f>
        <v>33096000</v>
      </c>
      <c r="G32" s="357"/>
      <c r="H32" s="347"/>
      <c r="I32" s="709"/>
      <c r="J32" s="733">
        <f>SUM(J28:J31)</f>
        <v>40273333.333333336</v>
      </c>
      <c r="K32" s="734">
        <f>SUM(K28:K31)</f>
        <v>40273</v>
      </c>
      <c r="L32" s="730">
        <f>SUM(L28:L31)</f>
        <v>40273</v>
      </c>
      <c r="M32" s="363">
        <f>SUM(M28:M31)</f>
        <v>40366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721" t="s">
        <v>725</v>
      </c>
      <c r="B33" s="735" t="s">
        <v>726</v>
      </c>
      <c r="C33" s="357"/>
      <c r="D33" s="347"/>
      <c r="E33" s="348"/>
      <c r="F33" s="728"/>
      <c r="G33" s="357"/>
      <c r="H33" s="347"/>
      <c r="I33" s="709"/>
      <c r="J33" s="733"/>
      <c r="K33" s="730"/>
      <c r="L33" s="731"/>
      <c r="M33" s="73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721"/>
      <c r="B34" s="735" t="s">
        <v>727</v>
      </c>
      <c r="C34" s="357"/>
      <c r="D34" s="347"/>
      <c r="E34" s="348"/>
      <c r="F34" s="728"/>
      <c r="G34" s="357">
        <v>11</v>
      </c>
      <c r="H34" s="347" t="s">
        <v>198</v>
      </c>
      <c r="I34" s="740" t="s">
        <v>728</v>
      </c>
      <c r="J34" s="733">
        <f>G34*352000</f>
        <v>3872000</v>
      </c>
      <c r="K34" s="730">
        <v>3872</v>
      </c>
      <c r="L34" s="731">
        <v>3872</v>
      </c>
      <c r="M34" s="732">
        <v>3872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726"/>
      <c r="B35" s="735" t="s">
        <v>729</v>
      </c>
      <c r="C35" s="357"/>
      <c r="D35" s="347"/>
      <c r="E35" s="348"/>
      <c r="F35" s="728"/>
      <c r="G35" s="357">
        <v>0</v>
      </c>
      <c r="H35" s="347" t="s">
        <v>730</v>
      </c>
      <c r="I35" s="740" t="s">
        <v>731</v>
      </c>
      <c r="J35" s="737">
        <v>0</v>
      </c>
      <c r="K35" s="710"/>
      <c r="L35" s="711"/>
      <c r="M35" s="71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726"/>
      <c r="B36" s="735" t="s">
        <v>732</v>
      </c>
      <c r="C36" s="357"/>
      <c r="D36" s="347"/>
      <c r="E36" s="348"/>
      <c r="F36" s="728"/>
      <c r="G36" s="357">
        <v>0</v>
      </c>
      <c r="H36" s="347" t="s">
        <v>730</v>
      </c>
      <c r="I36" s="740" t="s">
        <v>733</v>
      </c>
      <c r="J36" s="737">
        <v>0</v>
      </c>
      <c r="K36" s="710"/>
      <c r="L36" s="711"/>
      <c r="M36" s="71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726"/>
      <c r="B37" s="735" t="s">
        <v>734</v>
      </c>
      <c r="C37" s="357"/>
      <c r="D37" s="347"/>
      <c r="E37" s="348"/>
      <c r="F37" s="728"/>
      <c r="G37" s="357">
        <v>0</v>
      </c>
      <c r="H37" s="347" t="s">
        <v>730</v>
      </c>
      <c r="I37" s="740" t="s">
        <v>735</v>
      </c>
      <c r="J37" s="737">
        <v>0</v>
      </c>
      <c r="K37" s="710"/>
      <c r="L37" s="711"/>
      <c r="M37" s="71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" customHeight="1">
      <c r="A38" s="726" t="s">
        <v>232</v>
      </c>
      <c r="B38" s="738" t="s">
        <v>233</v>
      </c>
      <c r="C38" s="357"/>
      <c r="D38" s="347"/>
      <c r="E38" s="348"/>
      <c r="F38" s="728">
        <f>F26+F32</f>
        <v>310583200</v>
      </c>
      <c r="G38" s="357"/>
      <c r="H38" s="347"/>
      <c r="I38" s="709"/>
      <c r="J38" s="733">
        <f>J26+J32+J34</f>
        <v>323608933.3333333</v>
      </c>
      <c r="K38" s="734">
        <f>K26+K32+K34</f>
        <v>323609</v>
      </c>
      <c r="L38" s="730">
        <f>L26+L32+L34</f>
        <v>323609</v>
      </c>
      <c r="M38" s="363">
        <f>M26+M32+M34</f>
        <v>324674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726" t="s">
        <v>234</v>
      </c>
      <c r="B39" s="738" t="s">
        <v>736</v>
      </c>
      <c r="C39" s="357"/>
      <c r="D39" s="347"/>
      <c r="E39" s="348"/>
      <c r="F39" s="363">
        <v>92850000</v>
      </c>
      <c r="G39" s="357"/>
      <c r="H39" s="347"/>
      <c r="I39" s="709"/>
      <c r="J39" s="733">
        <v>12701000</v>
      </c>
      <c r="K39" s="730">
        <v>12701</v>
      </c>
      <c r="L39" s="731">
        <f>12701+6267</f>
        <v>18968</v>
      </c>
      <c r="M39" s="732">
        <f>12701+6267</f>
        <v>18968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706" t="s">
        <v>235</v>
      </c>
      <c r="B40" s="707" t="s">
        <v>236</v>
      </c>
      <c r="C40" s="357"/>
      <c r="D40" s="347"/>
      <c r="E40" s="348"/>
      <c r="F40" s="708"/>
      <c r="G40" s="357"/>
      <c r="H40" s="347"/>
      <c r="I40" s="709"/>
      <c r="J40" s="737"/>
      <c r="K40" s="710"/>
      <c r="L40" s="711"/>
      <c r="M40" s="71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706" t="s">
        <v>237</v>
      </c>
      <c r="B41" s="707" t="s">
        <v>259</v>
      </c>
      <c r="C41" s="366">
        <v>7.831</v>
      </c>
      <c r="D41" s="347" t="s">
        <v>198</v>
      </c>
      <c r="E41" s="348">
        <v>3950000</v>
      </c>
      <c r="F41" s="708">
        <f>C41*3950000</f>
        <v>30932450</v>
      </c>
      <c r="G41" s="367">
        <v>7.8076</v>
      </c>
      <c r="H41" s="347" t="s">
        <v>737</v>
      </c>
      <c r="I41" s="709">
        <v>3950000</v>
      </c>
      <c r="J41" s="737">
        <f>G41*I41</f>
        <v>30840020</v>
      </c>
      <c r="K41" s="710">
        <v>30840</v>
      </c>
      <c r="L41" s="711">
        <v>30840</v>
      </c>
      <c r="M41" s="712">
        <v>30840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 s="706" t="s">
        <v>738</v>
      </c>
      <c r="B42" s="739" t="s">
        <v>260</v>
      </c>
      <c r="C42" s="348">
        <v>39155</v>
      </c>
      <c r="D42" s="347" t="s">
        <v>198</v>
      </c>
      <c r="E42" s="348">
        <v>300</v>
      </c>
      <c r="F42" s="708">
        <f>C42*E42</f>
        <v>11746500</v>
      </c>
      <c r="G42" s="348">
        <v>39038</v>
      </c>
      <c r="H42" s="347" t="s">
        <v>198</v>
      </c>
      <c r="I42" s="709">
        <v>300</v>
      </c>
      <c r="J42" s="737">
        <f>G42*I42</f>
        <v>11711400</v>
      </c>
      <c r="K42" s="710">
        <v>11711</v>
      </c>
      <c r="L42" s="711">
        <v>11711</v>
      </c>
      <c r="M42" s="712">
        <v>11711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 customHeight="1">
      <c r="A43" s="706" t="s">
        <v>738</v>
      </c>
      <c r="B43" s="739" t="s">
        <v>821</v>
      </c>
      <c r="C43" s="348">
        <v>6599</v>
      </c>
      <c r="D43" s="347" t="s">
        <v>198</v>
      </c>
      <c r="E43" s="348">
        <v>1200</v>
      </c>
      <c r="F43" s="708">
        <f>C43*E43</f>
        <v>7918800</v>
      </c>
      <c r="G43" s="348">
        <v>6564</v>
      </c>
      <c r="H43" s="347" t="s">
        <v>198</v>
      </c>
      <c r="I43" s="709">
        <v>1200</v>
      </c>
      <c r="J43" s="737">
        <f>G43*I43</f>
        <v>7876800</v>
      </c>
      <c r="K43" s="710">
        <v>7877</v>
      </c>
      <c r="L43" s="711">
        <v>7877</v>
      </c>
      <c r="M43" s="712">
        <v>7877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 customHeight="1">
      <c r="A44" s="721" t="s">
        <v>261</v>
      </c>
      <c r="B44" s="707" t="s">
        <v>262</v>
      </c>
      <c r="C44" s="366"/>
      <c r="D44" s="347"/>
      <c r="E44" s="348"/>
      <c r="F44" s="703">
        <f>SUM(F41:F43)</f>
        <v>50597750</v>
      </c>
      <c r="G44" s="366"/>
      <c r="H44" s="347"/>
      <c r="I44" s="709"/>
      <c r="J44" s="736">
        <f>SUM(J41:J43)</f>
        <v>50428220</v>
      </c>
      <c r="K44" s="741">
        <f>SUM(K41:K43)</f>
        <v>50428</v>
      </c>
      <c r="L44" s="724">
        <f>SUM(L41:L43)</f>
        <v>50428</v>
      </c>
      <c r="M44" s="359">
        <f>SUM(M41:M43)</f>
        <v>50428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 s="721" t="s">
        <v>263</v>
      </c>
      <c r="B45" s="707" t="s">
        <v>739</v>
      </c>
      <c r="C45" s="357">
        <v>80</v>
      </c>
      <c r="D45" s="347" t="s">
        <v>198</v>
      </c>
      <c r="E45" s="348">
        <v>60896</v>
      </c>
      <c r="F45" s="703">
        <f>C45*E45</f>
        <v>4871680</v>
      </c>
      <c r="G45" s="357">
        <v>63</v>
      </c>
      <c r="H45" s="347" t="s">
        <v>198</v>
      </c>
      <c r="I45" s="709">
        <v>55360</v>
      </c>
      <c r="J45" s="736">
        <f>G45*I45*1.1</f>
        <v>3836448.0000000005</v>
      </c>
      <c r="K45" s="724">
        <v>3836</v>
      </c>
      <c r="L45" s="704">
        <v>3836</v>
      </c>
      <c r="M45" s="705">
        <v>3836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9.25" customHeight="1">
      <c r="A46" s="721" t="s">
        <v>264</v>
      </c>
      <c r="B46" s="735" t="s">
        <v>265</v>
      </c>
      <c r="C46" s="357">
        <v>22</v>
      </c>
      <c r="D46" s="347" t="s">
        <v>198</v>
      </c>
      <c r="E46" s="348">
        <v>145000</v>
      </c>
      <c r="F46" s="703">
        <f>C46*(E46*1.3)</f>
        <v>4147000</v>
      </c>
      <c r="G46" s="357">
        <v>20</v>
      </c>
      <c r="H46" s="347" t="s">
        <v>198</v>
      </c>
      <c r="I46" s="709">
        <f>145000</f>
        <v>145000</v>
      </c>
      <c r="J46" s="736">
        <f>G46*I46*1.3</f>
        <v>3770000</v>
      </c>
      <c r="K46" s="724">
        <v>3770</v>
      </c>
      <c r="L46" s="704">
        <v>3770</v>
      </c>
      <c r="M46" s="705">
        <v>3770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>
      <c r="A47" s="721" t="s">
        <v>266</v>
      </c>
      <c r="B47" s="735" t="s">
        <v>267</v>
      </c>
      <c r="C47" s="357">
        <v>65</v>
      </c>
      <c r="D47" s="347" t="s">
        <v>198</v>
      </c>
      <c r="E47" s="348">
        <v>109000</v>
      </c>
      <c r="F47" s="703">
        <f>C47*(E47*1.5)</f>
        <v>10627500</v>
      </c>
      <c r="G47" s="357">
        <v>65</v>
      </c>
      <c r="H47" s="347" t="s">
        <v>198</v>
      </c>
      <c r="I47" s="709">
        <v>109000</v>
      </c>
      <c r="J47" s="736">
        <f>G47*I47*1.5</f>
        <v>10627500</v>
      </c>
      <c r="K47" s="724">
        <v>10628</v>
      </c>
      <c r="L47" s="704">
        <v>10628</v>
      </c>
      <c r="M47" s="705">
        <v>10628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1.5">
      <c r="A48" s="721" t="s">
        <v>268</v>
      </c>
      <c r="B48" s="735" t="s">
        <v>269</v>
      </c>
      <c r="C48" s="357">
        <v>25</v>
      </c>
      <c r="D48" s="347" t="s">
        <v>198</v>
      </c>
      <c r="E48" s="348">
        <v>500000</v>
      </c>
      <c r="F48" s="703">
        <f>C48*(E48*1.1)</f>
        <v>13750000</v>
      </c>
      <c r="G48" s="357">
        <v>25</v>
      </c>
      <c r="H48" s="347" t="s">
        <v>198</v>
      </c>
      <c r="I48" s="709">
        <v>500000</v>
      </c>
      <c r="J48" s="736">
        <f>G48*I48*1.1</f>
        <v>13750000.000000002</v>
      </c>
      <c r="K48" s="724">
        <v>13750</v>
      </c>
      <c r="L48" s="704">
        <v>13750</v>
      </c>
      <c r="M48" s="705">
        <v>13750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721" t="s">
        <v>270</v>
      </c>
      <c r="B49" s="735" t="s">
        <v>271</v>
      </c>
      <c r="C49" s="357">
        <v>33</v>
      </c>
      <c r="D49" s="347" t="s">
        <v>198</v>
      </c>
      <c r="E49" s="348">
        <v>206100</v>
      </c>
      <c r="F49" s="703">
        <f>C49*(E49*1.2)</f>
        <v>8161560</v>
      </c>
      <c r="G49" s="357">
        <v>33</v>
      </c>
      <c r="H49" s="347" t="s">
        <v>198</v>
      </c>
      <c r="I49" s="709">
        <v>206100</v>
      </c>
      <c r="J49" s="736">
        <f>G49*I49*1.2</f>
        <v>8161560</v>
      </c>
      <c r="K49" s="724">
        <v>8162</v>
      </c>
      <c r="L49" s="704">
        <v>8162</v>
      </c>
      <c r="M49" s="705">
        <v>8162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>
      <c r="A50" s="726" t="s">
        <v>272</v>
      </c>
      <c r="B50" s="739" t="s">
        <v>273</v>
      </c>
      <c r="C50" s="742"/>
      <c r="D50" s="347"/>
      <c r="E50" s="348"/>
      <c r="F50" s="728"/>
      <c r="G50" s="742"/>
      <c r="H50" s="347"/>
      <c r="I50" s="709"/>
      <c r="J50" s="733"/>
      <c r="K50" s="730"/>
      <c r="L50" s="731"/>
      <c r="M50" s="73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713" t="s">
        <v>274</v>
      </c>
      <c r="B51" s="735" t="s">
        <v>740</v>
      </c>
      <c r="C51" s="357">
        <v>61</v>
      </c>
      <c r="D51" s="347" t="s">
        <v>198</v>
      </c>
      <c r="E51" s="348">
        <v>494100</v>
      </c>
      <c r="F51" s="708">
        <f>C51*E51</f>
        <v>30140100</v>
      </c>
      <c r="G51" s="357">
        <v>65</v>
      </c>
      <c r="H51" s="347" t="s">
        <v>198</v>
      </c>
      <c r="I51" s="709">
        <v>494100</v>
      </c>
      <c r="J51" s="737">
        <f>G51*I51</f>
        <v>32116500</v>
      </c>
      <c r="K51" s="710">
        <v>32116</v>
      </c>
      <c r="L51" s="711">
        <v>32116</v>
      </c>
      <c r="M51" s="712">
        <v>32116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>
      <c r="A52" s="713" t="s">
        <v>274</v>
      </c>
      <c r="B52" s="735" t="s">
        <v>275</v>
      </c>
      <c r="C52" s="357">
        <v>8</v>
      </c>
      <c r="D52" s="347" t="s">
        <v>198</v>
      </c>
      <c r="E52" s="348">
        <v>518805</v>
      </c>
      <c r="F52" s="708">
        <f>C52*E52</f>
        <v>4150440</v>
      </c>
      <c r="G52" s="357">
        <v>0</v>
      </c>
      <c r="H52" s="347" t="s">
        <v>198</v>
      </c>
      <c r="I52" s="709">
        <v>494100</v>
      </c>
      <c r="J52" s="737">
        <v>0</v>
      </c>
      <c r="K52" s="710"/>
      <c r="L52" s="711"/>
      <c r="M52" s="71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>
      <c r="A53" s="713" t="s">
        <v>274</v>
      </c>
      <c r="B53" s="735" t="s">
        <v>276</v>
      </c>
      <c r="C53" s="357">
        <v>6</v>
      </c>
      <c r="D53" s="347" t="s">
        <v>198</v>
      </c>
      <c r="E53" s="348">
        <v>543510</v>
      </c>
      <c r="F53" s="708">
        <f>C53*E53</f>
        <v>3261060</v>
      </c>
      <c r="G53" s="357">
        <v>0</v>
      </c>
      <c r="H53" s="347" t="s">
        <v>198</v>
      </c>
      <c r="I53" s="709">
        <v>494100</v>
      </c>
      <c r="J53" s="737">
        <v>0</v>
      </c>
      <c r="K53" s="710"/>
      <c r="L53" s="711"/>
      <c r="M53" s="71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7.25" customHeight="1">
      <c r="A54" s="713" t="s">
        <v>274</v>
      </c>
      <c r="B54" s="707" t="s">
        <v>277</v>
      </c>
      <c r="C54" s="357">
        <v>4</v>
      </c>
      <c r="D54" s="347" t="s">
        <v>198</v>
      </c>
      <c r="E54" s="348">
        <v>741150</v>
      </c>
      <c r="F54" s="708">
        <f>C54*E54</f>
        <v>2964600</v>
      </c>
      <c r="G54" s="357">
        <v>4</v>
      </c>
      <c r="H54" s="347" t="s">
        <v>198</v>
      </c>
      <c r="I54" s="709">
        <v>494100</v>
      </c>
      <c r="J54" s="737">
        <f>G54*I54*1.5</f>
        <v>2964600</v>
      </c>
      <c r="K54" s="710">
        <v>2965</v>
      </c>
      <c r="L54" s="711">
        <v>2965</v>
      </c>
      <c r="M54" s="712">
        <v>2965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25" customHeight="1">
      <c r="A55" s="726" t="s">
        <v>272</v>
      </c>
      <c r="B55" s="739" t="s">
        <v>278</v>
      </c>
      <c r="C55" s="357"/>
      <c r="D55" s="347"/>
      <c r="E55" s="348"/>
      <c r="F55" s="728">
        <f>SUM(F51:F54)</f>
        <v>40516200</v>
      </c>
      <c r="G55" s="357"/>
      <c r="H55" s="347"/>
      <c r="I55" s="709"/>
      <c r="J55" s="733">
        <f>SUM(J51:J54)</f>
        <v>35081100</v>
      </c>
      <c r="K55" s="730">
        <f>SUM(K51:K54)</f>
        <v>35081</v>
      </c>
      <c r="L55" s="728">
        <f>SUM(L51:L54)</f>
        <v>35081</v>
      </c>
      <c r="M55" s="363">
        <f>SUM(M51:M54)</f>
        <v>35081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>
      <c r="A56" s="721" t="s">
        <v>279</v>
      </c>
      <c r="B56" s="735" t="s">
        <v>280</v>
      </c>
      <c r="C56" s="357">
        <v>32</v>
      </c>
      <c r="D56" s="347" t="s">
        <v>281</v>
      </c>
      <c r="E56" s="348">
        <v>468350</v>
      </c>
      <c r="F56" s="703">
        <f>C56*(E56*1.1)</f>
        <v>16485920.000000002</v>
      </c>
      <c r="G56" s="357">
        <v>32</v>
      </c>
      <c r="H56" s="347" t="s">
        <v>281</v>
      </c>
      <c r="I56" s="709">
        <v>468350</v>
      </c>
      <c r="J56" s="736">
        <f>G56*I56*1.1</f>
        <v>16485920.000000002</v>
      </c>
      <c r="K56" s="724">
        <v>16486</v>
      </c>
      <c r="L56" s="704">
        <v>16486</v>
      </c>
      <c r="M56" s="705">
        <v>16486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 customHeight="1">
      <c r="A57" s="726" t="s">
        <v>235</v>
      </c>
      <c r="B57" s="739" t="s">
        <v>282</v>
      </c>
      <c r="C57" s="357"/>
      <c r="D57" s="347"/>
      <c r="E57" s="348"/>
      <c r="F57" s="728">
        <f>F44+F45+F46+F47+F48+F49+F55+F56</f>
        <v>149157610</v>
      </c>
      <c r="G57" s="357"/>
      <c r="H57" s="347"/>
      <c r="I57" s="709"/>
      <c r="J57" s="733">
        <f>J44+J45+J46+J47+J48+J49+J55+J56</f>
        <v>142140748</v>
      </c>
      <c r="K57" s="734">
        <f>K44+K45+K46+K47+K48+K49+K55+K56</f>
        <v>142141</v>
      </c>
      <c r="L57" s="730">
        <f>L44+L45+L46+L47+L48+L49+L55+L56</f>
        <v>142141</v>
      </c>
      <c r="M57" s="363">
        <f>M44+M45+M46+M47+M48+M49+M55+M56</f>
        <v>142141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" customHeight="1">
      <c r="A58" s="743" t="s">
        <v>283</v>
      </c>
      <c r="B58" s="744" t="s">
        <v>284</v>
      </c>
      <c r="C58" s="708">
        <v>42</v>
      </c>
      <c r="D58" s="347" t="s">
        <v>198</v>
      </c>
      <c r="E58" s="348">
        <v>2606040</v>
      </c>
      <c r="F58" s="728">
        <f>C58*E58</f>
        <v>109453680</v>
      </c>
      <c r="G58" s="708">
        <v>42</v>
      </c>
      <c r="H58" s="347" t="s">
        <v>198</v>
      </c>
      <c r="I58" s="709">
        <v>2606040</v>
      </c>
      <c r="J58" s="733">
        <f>G58*I58</f>
        <v>109453680</v>
      </c>
      <c r="K58" s="730">
        <v>109454</v>
      </c>
      <c r="L58" s="731">
        <v>109454</v>
      </c>
      <c r="M58" s="732">
        <v>109454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" customHeight="1">
      <c r="A59" s="743" t="s">
        <v>283</v>
      </c>
      <c r="B59" s="744" t="s">
        <v>285</v>
      </c>
      <c r="C59" s="708"/>
      <c r="D59" s="347"/>
      <c r="E59" s="349"/>
      <c r="F59" s="728">
        <v>47306000</v>
      </c>
      <c r="G59" s="745"/>
      <c r="H59" s="347"/>
      <c r="I59" s="746"/>
      <c r="J59" s="733">
        <v>50179000</v>
      </c>
      <c r="K59" s="730">
        <v>50179</v>
      </c>
      <c r="L59" s="731">
        <v>50179</v>
      </c>
      <c r="M59" s="732">
        <v>50179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" customHeight="1">
      <c r="A60" s="726" t="s">
        <v>286</v>
      </c>
      <c r="B60" s="744" t="s">
        <v>287</v>
      </c>
      <c r="C60" s="708"/>
      <c r="D60" s="347"/>
      <c r="E60" s="349"/>
      <c r="F60" s="728">
        <f>SUM(F58:F59)</f>
        <v>156759680</v>
      </c>
      <c r="G60" s="708"/>
      <c r="H60" s="347"/>
      <c r="I60" s="746"/>
      <c r="J60" s="733">
        <f>SUM(J58:J59)</f>
        <v>159632680</v>
      </c>
      <c r="K60" s="730">
        <f>SUM(K58:K59)</f>
        <v>159633</v>
      </c>
      <c r="L60" s="728">
        <f>SUM(L58:L59)</f>
        <v>159633</v>
      </c>
      <c r="M60" s="363">
        <f>SUM(M58:M59)</f>
        <v>159633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.5" customHeight="1">
      <c r="A61" s="721" t="s">
        <v>288</v>
      </c>
      <c r="B61" s="722" t="s">
        <v>289</v>
      </c>
      <c r="C61" s="357"/>
      <c r="D61" s="347"/>
      <c r="E61" s="348"/>
      <c r="F61" s="703"/>
      <c r="G61" s="357"/>
      <c r="H61" s="347"/>
      <c r="I61" s="709"/>
      <c r="J61" s="736"/>
      <c r="K61" s="724"/>
      <c r="L61" s="704"/>
      <c r="M61" s="705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25" customHeight="1">
      <c r="A62" s="713" t="s">
        <v>290</v>
      </c>
      <c r="B62" s="735" t="s">
        <v>741</v>
      </c>
      <c r="C62" s="357">
        <v>43.22</v>
      </c>
      <c r="D62" s="347" t="s">
        <v>291</v>
      </c>
      <c r="E62" s="348">
        <v>1632000</v>
      </c>
      <c r="F62" s="708">
        <f>C62*E62</f>
        <v>70535040</v>
      </c>
      <c r="G62" s="357">
        <v>37.38</v>
      </c>
      <c r="H62" s="347" t="s">
        <v>291</v>
      </c>
      <c r="I62" s="709">
        <v>1632000</v>
      </c>
      <c r="J62" s="737">
        <f>G62*I62</f>
        <v>61004160.00000001</v>
      </c>
      <c r="K62" s="710">
        <v>61004</v>
      </c>
      <c r="L62" s="711">
        <v>61004</v>
      </c>
      <c r="M62" s="712">
        <f>61004+2269</f>
        <v>63273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7.25" customHeight="1">
      <c r="A63" s="713" t="s">
        <v>292</v>
      </c>
      <c r="B63" s="707" t="s">
        <v>293</v>
      </c>
      <c r="C63" s="355" t="s">
        <v>742</v>
      </c>
      <c r="D63" s="347"/>
      <c r="E63" s="348"/>
      <c r="F63" s="708">
        <v>0</v>
      </c>
      <c r="G63" s="355"/>
      <c r="H63" s="347"/>
      <c r="I63" s="709"/>
      <c r="J63" s="737">
        <v>55253191</v>
      </c>
      <c r="K63" s="710">
        <v>55253</v>
      </c>
      <c r="L63" s="711">
        <v>55253</v>
      </c>
      <c r="M63" s="712">
        <f>55253-354</f>
        <v>54899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 customHeight="1">
      <c r="A64" s="726" t="s">
        <v>288</v>
      </c>
      <c r="B64" s="739" t="s">
        <v>294</v>
      </c>
      <c r="C64" s="355"/>
      <c r="D64" s="347"/>
      <c r="E64" s="348"/>
      <c r="F64" s="728">
        <f>SUM(F62:F63)</f>
        <v>70535040</v>
      </c>
      <c r="G64" s="355"/>
      <c r="H64" s="347"/>
      <c r="I64" s="709"/>
      <c r="J64" s="733">
        <f>SUM(J62:J63)</f>
        <v>116257351</v>
      </c>
      <c r="K64" s="730">
        <f>SUM(K62:K63)</f>
        <v>116257</v>
      </c>
      <c r="L64" s="728">
        <f>SUM(L62:L63)</f>
        <v>116257</v>
      </c>
      <c r="M64" s="363">
        <f>SUM(M62:M63)</f>
        <v>118172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 customHeight="1">
      <c r="A65" s="747" t="s">
        <v>822</v>
      </c>
      <c r="B65" s="748" t="s">
        <v>823</v>
      </c>
      <c r="C65" s="749"/>
      <c r="D65" s="700"/>
      <c r="E65" s="701"/>
      <c r="F65" s="750"/>
      <c r="G65" s="749"/>
      <c r="H65" s="700"/>
      <c r="I65" s="709" t="s">
        <v>824</v>
      </c>
      <c r="J65" s="751"/>
      <c r="K65" s="752">
        <v>0</v>
      </c>
      <c r="L65" s="731">
        <v>8941</v>
      </c>
      <c r="M65" s="732">
        <f>8941+4918</f>
        <v>13859</v>
      </c>
      <c r="N65"/>
      <c r="O65" s="753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 s="754" t="s">
        <v>295</v>
      </c>
      <c r="B66" s="755" t="s">
        <v>296</v>
      </c>
      <c r="C66" s="756"/>
      <c r="D66" s="700"/>
      <c r="E66" s="701"/>
      <c r="F66" s="750" t="e">
        <f>#N/A</f>
        <v>#N/A</v>
      </c>
      <c r="G66" s="756"/>
      <c r="H66" s="700"/>
      <c r="I66" s="709"/>
      <c r="J66" s="751">
        <f>J39+J57+J60+J64</f>
        <v>430731779</v>
      </c>
      <c r="K66" s="734">
        <f>K39+K57+K60+K64+K65</f>
        <v>430732</v>
      </c>
      <c r="L66" s="752">
        <f>L39+L57+L60+L64+L65</f>
        <v>445940</v>
      </c>
      <c r="M66" s="757">
        <f>M39+M57+M60+M64+M65</f>
        <v>452773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 s="726" t="s">
        <v>297</v>
      </c>
      <c r="B67" s="758" t="s">
        <v>298</v>
      </c>
      <c r="C67" s="357"/>
      <c r="D67" s="347"/>
      <c r="E67" s="348"/>
      <c r="F67" s="728"/>
      <c r="G67" s="357"/>
      <c r="H67" s="347"/>
      <c r="I67" s="709"/>
      <c r="J67" s="733"/>
      <c r="K67" s="734"/>
      <c r="L67" s="759"/>
      <c r="M67" s="73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 s="721" t="s">
        <v>299</v>
      </c>
      <c r="B68" s="735" t="s">
        <v>300</v>
      </c>
      <c r="C68" s="357"/>
      <c r="D68" s="347"/>
      <c r="E68" s="348"/>
      <c r="F68" s="703">
        <v>88000000</v>
      </c>
      <c r="G68" s="357"/>
      <c r="H68" s="347"/>
      <c r="I68" s="709"/>
      <c r="J68" s="736">
        <v>97200000</v>
      </c>
      <c r="K68" s="741">
        <v>97200</v>
      </c>
      <c r="L68" s="760">
        <v>97200</v>
      </c>
      <c r="M68" s="705">
        <v>97200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 s="721" t="s">
        <v>301</v>
      </c>
      <c r="B69" s="707" t="s">
        <v>302</v>
      </c>
      <c r="C69" s="348">
        <v>23733</v>
      </c>
      <c r="D69" s="347" t="s">
        <v>198</v>
      </c>
      <c r="E69" s="348">
        <v>1140</v>
      </c>
      <c r="F69" s="703">
        <f>C69*E69</f>
        <v>27055620</v>
      </c>
      <c r="G69" s="348">
        <v>23630</v>
      </c>
      <c r="H69" s="347" t="s">
        <v>198</v>
      </c>
      <c r="I69" s="709">
        <v>1140</v>
      </c>
      <c r="J69" s="736">
        <f>G69*I69</f>
        <v>26938200</v>
      </c>
      <c r="K69" s="741">
        <v>26938</v>
      </c>
      <c r="L69" s="760">
        <v>26938</v>
      </c>
      <c r="M69" s="705">
        <v>26938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743" t="s">
        <v>303</v>
      </c>
      <c r="B70" s="739" t="s">
        <v>304</v>
      </c>
      <c r="C70" s="756"/>
      <c r="D70" s="700"/>
      <c r="E70" s="701"/>
      <c r="F70" s="761">
        <f>SUM(F68:F69)</f>
        <v>115055620</v>
      </c>
      <c r="G70" s="756"/>
      <c r="H70" s="700"/>
      <c r="I70" s="709"/>
      <c r="J70" s="733">
        <f>SUM(J68:J69)</f>
        <v>124138200</v>
      </c>
      <c r="K70" s="734">
        <f>SUM(K68:K69)</f>
        <v>124138</v>
      </c>
      <c r="L70" s="730">
        <f>SUM(L68:L69)</f>
        <v>124138</v>
      </c>
      <c r="M70" s="363">
        <f>SUM(M68:M69)</f>
        <v>124138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1.75" customHeight="1">
      <c r="A71" s="762" t="s">
        <v>305</v>
      </c>
      <c r="B71" s="707" t="s">
        <v>306</v>
      </c>
      <c r="C71" s="742"/>
      <c r="D71" s="763"/>
      <c r="E71" s="764"/>
      <c r="F71" s="761"/>
      <c r="G71" s="742"/>
      <c r="H71" s="763"/>
      <c r="I71" s="765"/>
      <c r="J71" s="766"/>
      <c r="K71" s="730"/>
      <c r="L71" s="731"/>
      <c r="M71" s="732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0.25" customHeight="1">
      <c r="A72" s="713"/>
      <c r="B72" s="707" t="s">
        <v>825</v>
      </c>
      <c r="C72" s="355">
        <v>53815280559</v>
      </c>
      <c r="D72" s="351"/>
      <c r="E72" s="368" t="s">
        <v>307</v>
      </c>
      <c r="F72" s="715">
        <f>C72*E72</f>
        <v>269076402.795</v>
      </c>
      <c r="G72" s="355">
        <v>62880855440</v>
      </c>
      <c r="H72" s="351" t="s">
        <v>158</v>
      </c>
      <c r="I72" s="767" t="s">
        <v>743</v>
      </c>
      <c r="J72" s="768">
        <f>G72*I72</f>
        <v>345844704.91999996</v>
      </c>
      <c r="K72" s="716">
        <v>345845</v>
      </c>
      <c r="L72" s="717">
        <v>345845</v>
      </c>
      <c r="M72" s="718">
        <v>345845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31.5">
      <c r="A73" s="713"/>
      <c r="B73" s="769" t="s">
        <v>744</v>
      </c>
      <c r="C73" s="715">
        <f>F72</f>
        <v>269076402.795</v>
      </c>
      <c r="D73" s="351" t="s">
        <v>308</v>
      </c>
      <c r="E73" s="368" t="s">
        <v>309</v>
      </c>
      <c r="F73" s="715">
        <f>C73*E73</f>
        <v>255622582.65525</v>
      </c>
      <c r="G73" s="715">
        <f>J72</f>
        <v>345844704.91999996</v>
      </c>
      <c r="H73" s="369" t="s">
        <v>745</v>
      </c>
      <c r="I73" s="767" t="s">
        <v>746</v>
      </c>
      <c r="J73" s="768">
        <f>G73*I73-2</f>
        <v>311260232.428</v>
      </c>
      <c r="K73" s="716">
        <v>311260</v>
      </c>
      <c r="L73" s="717">
        <v>311260</v>
      </c>
      <c r="M73" s="718">
        <v>311260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1.5">
      <c r="A74" s="726" t="s">
        <v>310</v>
      </c>
      <c r="B74" s="735" t="s">
        <v>826</v>
      </c>
      <c r="C74" s="715"/>
      <c r="D74" s="351"/>
      <c r="E74" s="368"/>
      <c r="F74" s="728">
        <f>-F73</f>
        <v>-255622582.65525</v>
      </c>
      <c r="G74" s="715"/>
      <c r="H74" s="351"/>
      <c r="I74" s="767"/>
      <c r="J74" s="733">
        <v>-311260232</v>
      </c>
      <c r="K74" s="730">
        <v>-311260</v>
      </c>
      <c r="L74" s="731">
        <v>-311260</v>
      </c>
      <c r="M74" s="732">
        <v>-311260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3" s="370" customFormat="1" ht="29.25" customHeight="1" thickBot="1">
      <c r="A75" s="770"/>
      <c r="B75" s="771" t="s">
        <v>311</v>
      </c>
      <c r="C75" s="772"/>
      <c r="D75" s="773"/>
      <c r="E75" s="774"/>
      <c r="F75" s="775" t="e">
        <f>F19+F38+F66+F70+F74</f>
        <v>#N/A</v>
      </c>
      <c r="G75" s="772"/>
      <c r="H75" s="773"/>
      <c r="I75" s="776"/>
      <c r="J75" s="777">
        <f>J19+J38+J66+J70+J74</f>
        <v>1107178931.3333333</v>
      </c>
      <c r="K75" s="778">
        <f>K19+K38+K66+K70+K74</f>
        <v>1107179</v>
      </c>
      <c r="L75" s="779">
        <f>L19+L38+L66+L70+L74</f>
        <v>1122387</v>
      </c>
      <c r="M75" s="780">
        <f>M19+M38+M66+M70+M74</f>
        <v>1130285</v>
      </c>
    </row>
    <row r="76" ht="16.5" customHeight="1" thickTop="1"/>
  </sheetData>
  <sheetProtection/>
  <mergeCells count="8">
    <mergeCell ref="A1:L1"/>
    <mergeCell ref="A2:L2"/>
    <mergeCell ref="A4:A5"/>
    <mergeCell ref="B4:B5"/>
    <mergeCell ref="C4:F4"/>
    <mergeCell ref="C5:D5"/>
    <mergeCell ref="G5:H5"/>
    <mergeCell ref="G4:M4"/>
  </mergeCells>
  <printOptions horizontalCentered="1"/>
  <pageMargins left="0.4330708661417323" right="0.3937007874015748" top="0.984251968503937" bottom="0.984251968503937" header="0.5118110236220472" footer="0.5118110236220472"/>
  <pageSetup fitToHeight="0" fitToWidth="1" horizontalDpi="600" verticalDpi="600" orientation="portrait" paperSize="9" scale="65" r:id="rId1"/>
  <headerFooter alignWithMargins="0">
    <oddHeader>&amp;L17. melléklet a 21/2015.(X.2.)  önkormányzati rendelethez
17. melléklet az 1/2015.(I.30.) önkormányzati rendelethez</oddHeader>
  </headerFooter>
  <rowBreaks count="1" manualBreakCount="1">
    <brk id="5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56.125" style="1025" customWidth="1"/>
    <col min="2" max="2" width="11.25390625" style="152" customWidth="1"/>
    <col min="3" max="3" width="12.125" style="152" customWidth="1"/>
    <col min="4" max="4" width="13.375" style="152" customWidth="1"/>
    <col min="5" max="5" width="22.125" style="149" customWidth="1"/>
    <col min="6" max="6" width="9.75390625" style="149" customWidth="1"/>
    <col min="7" max="7" width="17.25390625" style="149" customWidth="1"/>
    <col min="8" max="16384" width="9.125" style="149" customWidth="1"/>
  </cols>
  <sheetData>
    <row r="1" spans="1:2" ht="15">
      <c r="A1" s="1012"/>
      <c r="B1" s="168"/>
    </row>
    <row r="2" spans="1:2" ht="15">
      <c r="A2" s="1215" t="s">
        <v>343</v>
      </c>
      <c r="B2" s="1215"/>
    </row>
    <row r="3" spans="1:2" ht="15.75" thickBot="1">
      <c r="A3" s="1012"/>
      <c r="B3" s="168"/>
    </row>
    <row r="4" spans="1:7" ht="15">
      <c r="A4" s="1013" t="s">
        <v>776</v>
      </c>
      <c r="B4" s="471" t="s">
        <v>777</v>
      </c>
      <c r="C4" s="1014" t="s">
        <v>816</v>
      </c>
      <c r="D4" s="1015" t="s">
        <v>895</v>
      </c>
      <c r="E4" s="677"/>
      <c r="F4" s="677"/>
      <c r="G4" s="677"/>
    </row>
    <row r="5" spans="1:4" s="150" customFormat="1" ht="14.25">
      <c r="A5" s="1016" t="s">
        <v>148</v>
      </c>
      <c r="B5" s="469">
        <f>SUM(B7,B10,B14)</f>
        <v>193800</v>
      </c>
      <c r="C5" s="678">
        <f>SUM(C7,C10,C14)</f>
        <v>79045</v>
      </c>
      <c r="D5" s="897">
        <f>SUM(D7,D10,D14)</f>
        <v>27498</v>
      </c>
    </row>
    <row r="6" spans="1:4" s="150" customFormat="1" ht="14.25">
      <c r="A6" s="1017"/>
      <c r="B6" s="470"/>
      <c r="C6" s="1018"/>
      <c r="D6" s="1019"/>
    </row>
    <row r="7" spans="1:4" s="151" customFormat="1" ht="14.25">
      <c r="A7" s="1016" t="s">
        <v>802</v>
      </c>
      <c r="B7" s="469">
        <f>SUM(B8)</f>
        <v>15000</v>
      </c>
      <c r="C7" s="678">
        <f>SUM(C8)</f>
        <v>12274</v>
      </c>
      <c r="D7" s="897">
        <f>SUM(D8)</f>
        <v>6086</v>
      </c>
    </row>
    <row r="8" spans="1:4" ht="15">
      <c r="A8" s="1020" t="s">
        <v>802</v>
      </c>
      <c r="B8" s="235">
        <v>15000</v>
      </c>
      <c r="C8" s="1021">
        <v>12274</v>
      </c>
      <c r="D8" s="1022">
        <v>6086</v>
      </c>
    </row>
    <row r="9" spans="1:4" ht="15">
      <c r="A9" s="1020"/>
      <c r="B9" s="235"/>
      <c r="C9" s="1021"/>
      <c r="D9" s="1022"/>
    </row>
    <row r="10" spans="1:4" s="151" customFormat="1" ht="14.25">
      <c r="A10" s="1016" t="s">
        <v>803</v>
      </c>
      <c r="B10" s="469">
        <f>SUM(B11:B12)</f>
        <v>100000</v>
      </c>
      <c r="C10" s="678">
        <f>SUM(C11:C12)</f>
        <v>42344</v>
      </c>
      <c r="D10" s="897">
        <f>SUM(D11:D12)</f>
        <v>7373</v>
      </c>
    </row>
    <row r="11" spans="1:4" ht="15">
      <c r="A11" s="1020" t="s">
        <v>803</v>
      </c>
      <c r="B11" s="235">
        <v>100000</v>
      </c>
      <c r="C11" s="1021">
        <v>42344</v>
      </c>
      <c r="D11" s="1022">
        <v>7373</v>
      </c>
    </row>
    <row r="12" spans="1:4" ht="15">
      <c r="A12" s="1020"/>
      <c r="B12" s="235"/>
      <c r="C12" s="1021"/>
      <c r="D12" s="1022"/>
    </row>
    <row r="13" spans="1:4" ht="15">
      <c r="A13" s="1020"/>
      <c r="B13" s="235"/>
      <c r="C13" s="1021"/>
      <c r="D13" s="1022"/>
    </row>
    <row r="14" spans="1:4" ht="15">
      <c r="A14" s="1016" t="s">
        <v>804</v>
      </c>
      <c r="B14" s="469">
        <f>SUM(B15:B17)</f>
        <v>78800</v>
      </c>
      <c r="C14" s="678">
        <f>SUM(C15:C17)</f>
        <v>24427</v>
      </c>
      <c r="D14" s="897">
        <f>SUM(D15:D17)</f>
        <v>14039</v>
      </c>
    </row>
    <row r="15" spans="1:4" ht="16.5" customHeight="1">
      <c r="A15" s="1020" t="s">
        <v>604</v>
      </c>
      <c r="B15" s="235">
        <v>62000</v>
      </c>
      <c r="C15" s="1021">
        <v>9427</v>
      </c>
      <c r="D15" s="1022">
        <v>0</v>
      </c>
    </row>
    <row r="16" spans="1:4" ht="15">
      <c r="A16" s="1020" t="s">
        <v>605</v>
      </c>
      <c r="B16" s="235">
        <v>15000</v>
      </c>
      <c r="C16" s="1021">
        <v>15000</v>
      </c>
      <c r="D16" s="1022">
        <v>14039</v>
      </c>
    </row>
    <row r="17" spans="1:4" ht="30.75" customHeight="1">
      <c r="A17" s="1020" t="s">
        <v>608</v>
      </c>
      <c r="B17" s="235">
        <v>1800</v>
      </c>
      <c r="C17" s="1021">
        <v>0</v>
      </c>
      <c r="D17" s="1022">
        <v>0</v>
      </c>
    </row>
    <row r="18" spans="1:4" ht="15">
      <c r="A18" s="1020"/>
      <c r="B18" s="235"/>
      <c r="C18" s="1021"/>
      <c r="D18" s="1022"/>
    </row>
    <row r="19" spans="1:4" s="150" customFormat="1" ht="14.25">
      <c r="A19" s="1016" t="s">
        <v>147</v>
      </c>
      <c r="B19" s="469">
        <f>SUM(B21,B25)</f>
        <v>247117</v>
      </c>
      <c r="C19" s="678">
        <f>SUM(C21,C25)</f>
        <v>203380</v>
      </c>
      <c r="D19" s="897">
        <f>SUM(D21,D25)</f>
        <v>40380</v>
      </c>
    </row>
    <row r="20" spans="1:4" s="150" customFormat="1" ht="14.25">
      <c r="A20" s="1016"/>
      <c r="B20" s="469"/>
      <c r="C20" s="1018"/>
      <c r="D20" s="1019"/>
    </row>
    <row r="21" spans="1:4" s="151" customFormat="1" ht="14.25">
      <c r="A21" s="1016" t="s">
        <v>0</v>
      </c>
      <c r="B21" s="469">
        <f>SUM(B22:B23)</f>
        <v>77075</v>
      </c>
      <c r="C21" s="678">
        <f>SUM(C22:C23)</f>
        <v>33338</v>
      </c>
      <c r="D21" s="897">
        <f>SUM(D22:D23)</f>
        <v>31474</v>
      </c>
    </row>
    <row r="22" spans="1:4" ht="15">
      <c r="A22" s="1020" t="s">
        <v>0</v>
      </c>
      <c r="B22" s="235">
        <v>50000</v>
      </c>
      <c r="C22" s="1021">
        <v>6263</v>
      </c>
      <c r="D22" s="1022">
        <v>4399</v>
      </c>
    </row>
    <row r="23" spans="1:4" ht="30">
      <c r="A23" s="1020" t="s">
        <v>603</v>
      </c>
      <c r="B23" s="235">
        <v>27075</v>
      </c>
      <c r="C23" s="1021">
        <v>27075</v>
      </c>
      <c r="D23" s="1022">
        <v>27075</v>
      </c>
    </row>
    <row r="24" spans="1:4" ht="15">
      <c r="A24" s="1020"/>
      <c r="B24" s="235"/>
      <c r="C24" s="1021"/>
      <c r="D24" s="1022"/>
    </row>
    <row r="25" spans="1:4" s="151" customFormat="1" ht="14.25">
      <c r="A25" s="1016" t="s">
        <v>1</v>
      </c>
      <c r="B25" s="469">
        <f>SUM(B30,B27,B34)</f>
        <v>170042</v>
      </c>
      <c r="C25" s="678">
        <f>SUM(C30,C27,C34)</f>
        <v>170042</v>
      </c>
      <c r="D25" s="897">
        <f>SUM(D30,D27,D34)</f>
        <v>8906</v>
      </c>
    </row>
    <row r="26" spans="1:4" s="151" customFormat="1" ht="14.25">
      <c r="A26" s="1016"/>
      <c r="B26" s="469"/>
      <c r="C26" s="678"/>
      <c r="D26" s="897"/>
    </row>
    <row r="27" spans="1:4" s="169" customFormat="1" ht="15">
      <c r="A27" s="1023" t="s">
        <v>750</v>
      </c>
      <c r="B27" s="234">
        <f>SUM(B28:B28)</f>
        <v>147300</v>
      </c>
      <c r="C27" s="679">
        <f>SUM(C28:C28)</f>
        <v>147300</v>
      </c>
      <c r="D27" s="898">
        <f>SUM(D28:D28)</f>
        <v>0</v>
      </c>
    </row>
    <row r="28" spans="1:4" ht="15">
      <c r="A28" s="1020" t="s">
        <v>52</v>
      </c>
      <c r="B28" s="235">
        <v>147300</v>
      </c>
      <c r="C28" s="1021">
        <v>147300</v>
      </c>
      <c r="D28" s="1022">
        <v>0</v>
      </c>
    </row>
    <row r="29" spans="1:4" ht="15">
      <c r="A29" s="1020"/>
      <c r="B29" s="235"/>
      <c r="C29" s="1021"/>
      <c r="D29" s="1022"/>
    </row>
    <row r="30" spans="1:4" s="169" customFormat="1" ht="15">
      <c r="A30" s="1023" t="s">
        <v>132</v>
      </c>
      <c r="B30" s="234">
        <f>SUM(B31:B32)</f>
        <v>16392</v>
      </c>
      <c r="C30" s="679">
        <f>SUM(C31:C32)</f>
        <v>16392</v>
      </c>
      <c r="D30" s="898">
        <f>SUM(D31:D32)</f>
        <v>2556</v>
      </c>
    </row>
    <row r="31" spans="1:4" ht="45">
      <c r="A31" s="1020" t="s">
        <v>61</v>
      </c>
      <c r="B31" s="235">
        <v>15000</v>
      </c>
      <c r="C31" s="1021">
        <v>15000</v>
      </c>
      <c r="D31" s="1022">
        <v>1164</v>
      </c>
    </row>
    <row r="32" spans="1:4" ht="15">
      <c r="A32" s="1020" t="s">
        <v>751</v>
      </c>
      <c r="B32" s="235">
        <v>1392</v>
      </c>
      <c r="C32" s="1021">
        <v>1392</v>
      </c>
      <c r="D32" s="1022">
        <v>1392</v>
      </c>
    </row>
    <row r="33" spans="1:4" ht="15">
      <c r="A33" s="1020"/>
      <c r="B33" s="235"/>
      <c r="C33" s="1021"/>
      <c r="D33" s="1022"/>
    </row>
    <row r="34" spans="1:4" s="169" customFormat="1" ht="15">
      <c r="A34" s="1023" t="s">
        <v>748</v>
      </c>
      <c r="B34" s="234">
        <f>SUM(B35:B36)</f>
        <v>6350</v>
      </c>
      <c r="C34" s="679">
        <f>SUM(C35:C36)</f>
        <v>6350</v>
      </c>
      <c r="D34" s="898">
        <f>SUM(D35:D36)</f>
        <v>6350</v>
      </c>
    </row>
    <row r="35" spans="1:4" ht="30">
      <c r="A35" s="1020" t="s">
        <v>749</v>
      </c>
      <c r="B35" s="235">
        <v>6350</v>
      </c>
      <c r="C35" s="1021">
        <v>6350</v>
      </c>
      <c r="D35" s="1022">
        <v>6350</v>
      </c>
    </row>
    <row r="36" spans="1:4" ht="15">
      <c r="A36" s="1020"/>
      <c r="B36" s="235"/>
      <c r="C36" s="1021"/>
      <c r="D36" s="1022"/>
    </row>
    <row r="37" spans="1:4" ht="15">
      <c r="A37" s="1020"/>
      <c r="B37" s="235"/>
      <c r="C37" s="1021"/>
      <c r="D37" s="1022"/>
    </row>
    <row r="38" spans="1:4" s="151" customFormat="1" ht="15" thickBot="1">
      <c r="A38" s="1024" t="s">
        <v>2</v>
      </c>
      <c r="B38" s="472">
        <f>SUM(B5,B19)</f>
        <v>440917</v>
      </c>
      <c r="C38" s="680">
        <f>SUM(C5,C19)</f>
        <v>282425</v>
      </c>
      <c r="D38" s="899">
        <f>SUM(D5,D19)</f>
        <v>67878</v>
      </c>
    </row>
  </sheetData>
  <sheetProtection/>
  <mergeCells count="1">
    <mergeCell ref="A2:B2"/>
  </mergeCells>
  <printOptions horizontalCentered="1"/>
  <pageMargins left="0.4724409448818898" right="0.4724409448818898" top="0.6299212598425197" bottom="0.7874015748031497" header="0.4724409448818898" footer="0.5118110236220472"/>
  <pageSetup fitToWidth="0" horizontalDpi="600" verticalDpi="600" orientation="portrait" paperSize="9" scale="97" r:id="rId1"/>
  <headerFooter alignWithMargins="0">
    <oddHeader>&amp;L18. melléklet a 21/2015.(X.2.)  önkormányzati rendelethez
19. melléklet az 1/2015.(I.30.)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view="pageBreakPreview" zoomScale="75" zoomScaleSheetLayoutView="75" workbookViewId="0" topLeftCell="A13">
      <selection activeCell="D32" sqref="D32"/>
    </sheetView>
  </sheetViews>
  <sheetFormatPr defaultColWidth="9.00390625" defaultRowHeight="12.75"/>
  <cols>
    <col min="1" max="1" width="60.875" style="144" customWidth="1"/>
    <col min="2" max="4" width="14.625" style="75" customWidth="1"/>
    <col min="5" max="5" width="56.00390625" style="144" customWidth="1"/>
    <col min="6" max="6" width="14.625" style="75" customWidth="1"/>
    <col min="7" max="7" width="14.00390625" style="76" customWidth="1"/>
    <col min="8" max="8" width="14.25390625" style="76" customWidth="1"/>
    <col min="9" max="16384" width="9.125" style="76" customWidth="1"/>
  </cols>
  <sheetData>
    <row r="1" spans="1:6" s="74" customFormat="1" ht="15" customHeight="1">
      <c r="A1" s="1049" t="s">
        <v>25</v>
      </c>
      <c r="B1" s="1049"/>
      <c r="C1" s="1049"/>
      <c r="D1" s="1049"/>
      <c r="E1" s="1049"/>
      <c r="F1" s="1049"/>
    </row>
    <row r="2" ht="15.75" thickBot="1"/>
    <row r="3" spans="1:8" ht="15" thickBot="1">
      <c r="A3" s="1050" t="s">
        <v>369</v>
      </c>
      <c r="B3" s="1051"/>
      <c r="C3" s="1051"/>
      <c r="D3" s="929"/>
      <c r="E3" s="1052" t="s">
        <v>370</v>
      </c>
      <c r="F3" s="1053"/>
      <c r="G3" s="1054"/>
      <c r="H3" s="271"/>
    </row>
    <row r="4" spans="1:8" ht="15" thickBot="1">
      <c r="A4" s="495" t="s">
        <v>776</v>
      </c>
      <c r="B4" s="279" t="s">
        <v>4</v>
      </c>
      <c r="C4" s="928" t="s">
        <v>816</v>
      </c>
      <c r="D4" s="278" t="s">
        <v>895</v>
      </c>
      <c r="E4" s="598" t="s">
        <v>776</v>
      </c>
      <c r="F4" s="599" t="s">
        <v>4</v>
      </c>
      <c r="G4" s="607" t="s">
        <v>816</v>
      </c>
      <c r="H4" s="278" t="s">
        <v>895</v>
      </c>
    </row>
    <row r="5" spans="1:8" ht="14.25">
      <c r="A5" s="496" t="s">
        <v>705</v>
      </c>
      <c r="B5" s="510">
        <f>SUM(B6)</f>
        <v>1107179</v>
      </c>
      <c r="C5" s="588">
        <f>SUM(C6:C8)</f>
        <v>1130568</v>
      </c>
      <c r="D5" s="930">
        <f>SUM(D6:D8)</f>
        <v>1164464</v>
      </c>
      <c r="E5" s="520" t="s">
        <v>371</v>
      </c>
      <c r="F5" s="493">
        <f>'4.sz. melléklet'!P6</f>
        <v>1161453</v>
      </c>
      <c r="G5" s="601">
        <f>'4.sz. melléklet'!Q6</f>
        <v>1189660</v>
      </c>
      <c r="H5" s="493">
        <f>'4.sz. melléklet'!R6</f>
        <v>1197396</v>
      </c>
    </row>
    <row r="6" spans="1:8" ht="15">
      <c r="A6" s="497" t="s">
        <v>845</v>
      </c>
      <c r="B6" s="511">
        <f>'3. sz. melléklet'!N7</f>
        <v>1107179</v>
      </c>
      <c r="C6" s="589">
        <f>'3. sz. melléklet'!O7</f>
        <v>1122387</v>
      </c>
      <c r="D6" s="511">
        <f>'3. sz. melléklet'!P7</f>
        <v>1130285</v>
      </c>
      <c r="E6" s="521" t="s">
        <v>372</v>
      </c>
      <c r="F6" s="488">
        <f>'4.sz. melléklet'!P7</f>
        <v>308445</v>
      </c>
      <c r="G6" s="602">
        <f>'4.sz. melléklet'!Q7</f>
        <v>315780</v>
      </c>
      <c r="H6" s="488">
        <f>'4.sz. melléklet'!R7</f>
        <v>316596</v>
      </c>
    </row>
    <row r="7" spans="1:8" ht="15">
      <c r="A7" s="497" t="s">
        <v>917</v>
      </c>
      <c r="B7" s="511"/>
      <c r="C7" s="589"/>
      <c r="D7" s="511">
        <f>'3. sz. melléklet'!P8</f>
        <v>4841</v>
      </c>
      <c r="E7" s="521"/>
      <c r="F7" s="488"/>
      <c r="G7" s="602"/>
      <c r="H7" s="488"/>
    </row>
    <row r="8" spans="1:8" ht="15">
      <c r="A8" s="497" t="s">
        <v>856</v>
      </c>
      <c r="B8" s="511"/>
      <c r="C8" s="589">
        <f>'3. sz. melléklet'!O9</f>
        <v>8181</v>
      </c>
      <c r="D8" s="511">
        <f>'3. sz. melléklet'!P9</f>
        <v>29338</v>
      </c>
      <c r="E8" s="521"/>
      <c r="F8" s="488"/>
      <c r="G8" s="602"/>
      <c r="H8" s="268"/>
    </row>
    <row r="9" spans="1:8" ht="14.25">
      <c r="A9" s="498" t="s">
        <v>707</v>
      </c>
      <c r="B9" s="512">
        <f>SUM(B10:B11)</f>
        <v>421160</v>
      </c>
      <c r="C9" s="590">
        <f>SUM(C10:C11)</f>
        <v>414045</v>
      </c>
      <c r="D9" s="512">
        <f>SUM(D10:D11)</f>
        <v>498282</v>
      </c>
      <c r="E9" s="521" t="s">
        <v>373</v>
      </c>
      <c r="F9" s="488">
        <f>'4.sz. melléklet'!P8</f>
        <v>1723449</v>
      </c>
      <c r="G9" s="602">
        <f>'4.sz. melléklet'!Q8</f>
        <v>1676588</v>
      </c>
      <c r="H9" s="488">
        <f>'4.sz. melléklet'!R8</f>
        <v>1839860</v>
      </c>
    </row>
    <row r="10" spans="1:8" ht="15">
      <c r="A10" s="499" t="s">
        <v>683</v>
      </c>
      <c r="B10" s="266">
        <f>'3. sz. melléklet'!N11</f>
        <v>107209</v>
      </c>
      <c r="C10" s="591">
        <f>'3. sz. melléklet'!O11</f>
        <v>10000</v>
      </c>
      <c r="D10" s="266">
        <f>'3. sz. melléklet'!P11</f>
        <v>10000</v>
      </c>
      <c r="E10" s="521" t="s">
        <v>686</v>
      </c>
      <c r="F10" s="488">
        <f>'4.sz. melléklet'!P9</f>
        <v>62251</v>
      </c>
      <c r="G10" s="602">
        <f>'4.sz. melléklet'!Q9</f>
        <v>69166</v>
      </c>
      <c r="H10" s="488">
        <f>'4.sz. melléklet'!R9</f>
        <v>72284</v>
      </c>
    </row>
    <row r="11" spans="1:8" ht="15">
      <c r="A11" s="499" t="s">
        <v>709</v>
      </c>
      <c r="B11" s="266">
        <f>'3. sz. melléklet'!N12</f>
        <v>313951</v>
      </c>
      <c r="C11" s="591">
        <f>'3. sz. melléklet'!O12</f>
        <v>404045</v>
      </c>
      <c r="D11" s="266">
        <f>'3. sz. melléklet'!P12</f>
        <v>488282</v>
      </c>
      <c r="E11" s="521" t="s">
        <v>681</v>
      </c>
      <c r="F11" s="488">
        <f>SUM(F12+F13+F14+F18)</f>
        <v>1111548</v>
      </c>
      <c r="G11" s="602">
        <f>SUM(G12+G13+G14+G18)</f>
        <v>1216557</v>
      </c>
      <c r="H11" s="488">
        <f>SUM(H12+H13+H14+H18)</f>
        <v>1187887</v>
      </c>
    </row>
    <row r="12" spans="1:8" ht="15">
      <c r="A12" s="498" t="s">
        <v>374</v>
      </c>
      <c r="B12" s="512">
        <f>SUM(B13:B16)</f>
        <v>1918951</v>
      </c>
      <c r="C12" s="590">
        <f>SUM(C13:C16)</f>
        <v>1918981</v>
      </c>
      <c r="D12" s="512">
        <f>SUM(D13:D16)</f>
        <v>1918981</v>
      </c>
      <c r="E12" s="494" t="s">
        <v>693</v>
      </c>
      <c r="F12" s="489">
        <f>'4.sz. melléklet'!P11</f>
        <v>42220</v>
      </c>
      <c r="G12" s="603">
        <f>'4.sz. melléklet'!Q11</f>
        <v>40220</v>
      </c>
      <c r="H12" s="489">
        <f>'4.sz. melléklet'!R11</f>
        <v>40220</v>
      </c>
    </row>
    <row r="13" spans="1:8" ht="15">
      <c r="A13" s="499" t="s">
        <v>756</v>
      </c>
      <c r="B13" s="266">
        <f>'3. sz. melléklet'!N20</f>
        <v>430000</v>
      </c>
      <c r="C13" s="591">
        <f>'3. sz. melléklet'!O20</f>
        <v>430000</v>
      </c>
      <c r="D13" s="266">
        <f>'3. sz. melléklet'!P20</f>
        <v>430000</v>
      </c>
      <c r="E13" s="522" t="s">
        <v>694</v>
      </c>
      <c r="F13" s="489">
        <f>'4.sz. melléklet'!P12</f>
        <v>867928</v>
      </c>
      <c r="G13" s="603">
        <f>'4.sz. melléklet'!Q12</f>
        <v>1092659</v>
      </c>
      <c r="H13" s="489">
        <f>'4.sz. melléklet'!R12</f>
        <v>1105148</v>
      </c>
    </row>
    <row r="14" spans="1:8" ht="15">
      <c r="A14" s="499" t="s">
        <v>689</v>
      </c>
      <c r="B14" s="266">
        <f>'3. sz. melléklet'!N23</f>
        <v>1468951</v>
      </c>
      <c r="C14" s="591">
        <f>'3. sz. melléklet'!O23</f>
        <v>1468951</v>
      </c>
      <c r="D14" s="266">
        <f>'3. sz. melléklet'!P23</f>
        <v>1468951</v>
      </c>
      <c r="E14" s="522" t="s">
        <v>801</v>
      </c>
      <c r="F14" s="489">
        <f>SUM(F15:F17)</f>
        <v>193800</v>
      </c>
      <c r="G14" s="603">
        <f>SUM(G15:G17)</f>
        <v>79045</v>
      </c>
      <c r="H14" s="489">
        <f>SUM(H15:H17)</f>
        <v>27498</v>
      </c>
    </row>
    <row r="15" spans="1:8" ht="15">
      <c r="A15" s="499" t="s">
        <v>35</v>
      </c>
      <c r="B15" s="266">
        <f>'3. sz. melléklet'!N28</f>
        <v>19500</v>
      </c>
      <c r="C15" s="591">
        <f>'3. sz. melléklet'!O28</f>
        <v>19500</v>
      </c>
      <c r="D15" s="266">
        <f>'3. sz. melléklet'!P28</f>
        <v>19500</v>
      </c>
      <c r="E15" s="523" t="s">
        <v>685</v>
      </c>
      <c r="F15" s="490">
        <f>'4.sz. melléklet'!P14</f>
        <v>15000</v>
      </c>
      <c r="G15" s="604">
        <f>'4.sz. melléklet'!Q14</f>
        <v>12274</v>
      </c>
      <c r="H15" s="490">
        <f>'4.sz. melléklet'!R14</f>
        <v>6086</v>
      </c>
    </row>
    <row r="16" spans="1:8" ht="15" customHeight="1">
      <c r="A16" s="499" t="s">
        <v>606</v>
      </c>
      <c r="B16" s="266">
        <f>'3. sz. melléklet'!N29</f>
        <v>500</v>
      </c>
      <c r="C16" s="591">
        <f>'3. sz. melléklet'!O29</f>
        <v>530</v>
      </c>
      <c r="D16" s="266">
        <f>'3. sz. melléklet'!P29</f>
        <v>530</v>
      </c>
      <c r="E16" s="523" t="s">
        <v>32</v>
      </c>
      <c r="F16" s="490">
        <f>'4.sz. melléklet'!P15</f>
        <v>100000</v>
      </c>
      <c r="G16" s="604">
        <f>'4.sz. melléklet'!Q15</f>
        <v>42344</v>
      </c>
      <c r="H16" s="490">
        <f>'4.sz. melléklet'!R15</f>
        <v>7373</v>
      </c>
    </row>
    <row r="17" spans="1:8" ht="15">
      <c r="A17" s="498" t="s">
        <v>763</v>
      </c>
      <c r="B17" s="512">
        <f>SUM(B18:B25)</f>
        <v>1224609</v>
      </c>
      <c r="C17" s="590">
        <f>SUM(C18:C25)</f>
        <v>1243608</v>
      </c>
      <c r="D17" s="512">
        <f>SUM(D18:D25)</f>
        <v>1249257</v>
      </c>
      <c r="E17" s="523" t="s">
        <v>695</v>
      </c>
      <c r="F17" s="490">
        <f>'4.sz. melléklet'!P16</f>
        <v>78800</v>
      </c>
      <c r="G17" s="604">
        <f>'4.sz. melléklet'!Q16</f>
        <v>24427</v>
      </c>
      <c r="H17" s="490">
        <f>'4.sz. melléklet'!R16</f>
        <v>14039</v>
      </c>
    </row>
    <row r="18" spans="1:8" ht="30">
      <c r="A18" s="500" t="s">
        <v>258</v>
      </c>
      <c r="B18" s="266">
        <f>'3. sz. melléklet'!N31</f>
        <v>523842</v>
      </c>
      <c r="C18" s="591">
        <f>'3. sz. melléklet'!O31</f>
        <v>521842</v>
      </c>
      <c r="D18" s="266">
        <f>'3. sz. melléklet'!P31</f>
        <v>520520</v>
      </c>
      <c r="E18" s="524" t="s">
        <v>33</v>
      </c>
      <c r="F18" s="490">
        <f>'4.sz. melléklet'!P17</f>
        <v>7600</v>
      </c>
      <c r="G18" s="604">
        <f>'4.sz. melléklet'!Q17</f>
        <v>4633</v>
      </c>
      <c r="H18" s="490">
        <f>'4.sz. melléklet'!R17</f>
        <v>15021</v>
      </c>
    </row>
    <row r="19" spans="1:8" ht="15">
      <c r="A19" s="500" t="s">
        <v>690</v>
      </c>
      <c r="B19" s="266">
        <f>'3. sz. melléklet'!N32</f>
        <v>90640</v>
      </c>
      <c r="C19" s="591">
        <f>'3. sz. melléklet'!O32</f>
        <v>107115</v>
      </c>
      <c r="D19" s="266">
        <f>'3. sz. melléklet'!P32</f>
        <v>109239</v>
      </c>
      <c r="E19" s="525"/>
      <c r="F19" s="490"/>
      <c r="G19" s="605"/>
      <c r="H19" s="268"/>
    </row>
    <row r="20" spans="1:8" ht="15">
      <c r="A20" s="500" t="s">
        <v>37</v>
      </c>
      <c r="B20" s="266">
        <f>'3. sz. melléklet'!N33</f>
        <v>32100</v>
      </c>
      <c r="C20" s="591">
        <f>'3. sz. melléklet'!O33</f>
        <v>32464</v>
      </c>
      <c r="D20" s="266">
        <f>'3. sz. melléklet'!P33</f>
        <v>33064</v>
      </c>
      <c r="E20" s="525"/>
      <c r="F20" s="490"/>
      <c r="G20" s="605"/>
      <c r="H20" s="268"/>
    </row>
    <row r="21" spans="1:8" ht="15">
      <c r="A21" s="500" t="s">
        <v>691</v>
      </c>
      <c r="B21" s="266">
        <f>'3. sz. melléklet'!N34</f>
        <v>101169</v>
      </c>
      <c r="C21" s="591">
        <f>'3. sz. melléklet'!O34</f>
        <v>101169</v>
      </c>
      <c r="D21" s="266">
        <f>'3. sz. melléklet'!P34</f>
        <v>101169</v>
      </c>
      <c r="E21" s="526"/>
      <c r="F21" s="489"/>
      <c r="G21" s="605"/>
      <c r="H21" s="268"/>
    </row>
    <row r="22" spans="1:8" ht="15">
      <c r="A22" s="500" t="s">
        <v>765</v>
      </c>
      <c r="B22" s="266">
        <f>'3. sz. melléklet'!N36</f>
        <v>92312</v>
      </c>
      <c r="C22" s="591">
        <f>'3. sz. melléklet'!O36</f>
        <v>92312</v>
      </c>
      <c r="D22" s="266">
        <f>'3. sz. melléklet'!P36</f>
        <v>94111</v>
      </c>
      <c r="E22" s="527"/>
      <c r="F22" s="491"/>
      <c r="G22" s="605"/>
      <c r="H22" s="268"/>
    </row>
    <row r="23" spans="1:8" ht="15">
      <c r="A23" s="500" t="s">
        <v>154</v>
      </c>
      <c r="B23" s="266">
        <f>'3. sz. melléklet'!N37</f>
        <v>237476</v>
      </c>
      <c r="C23" s="591">
        <f>'3. sz. melléklet'!O37</f>
        <v>241352</v>
      </c>
      <c r="D23" s="266">
        <f>'3. sz. melléklet'!P37</f>
        <v>243593</v>
      </c>
      <c r="E23" s="527"/>
      <c r="F23" s="491"/>
      <c r="G23" s="605"/>
      <c r="H23" s="268"/>
    </row>
    <row r="24" spans="1:8" ht="15">
      <c r="A24" s="500" t="s">
        <v>766</v>
      </c>
      <c r="B24" s="266">
        <f>'3. sz. melléklet'!N38</f>
        <v>16766</v>
      </c>
      <c r="C24" s="591">
        <f>'3. sz. melléklet'!O38</f>
        <v>16876</v>
      </c>
      <c r="D24" s="266">
        <f>'3. sz. melléklet'!P38</f>
        <v>17000</v>
      </c>
      <c r="E24" s="494"/>
      <c r="F24" s="489"/>
      <c r="G24" s="605"/>
      <c r="H24" s="268"/>
    </row>
    <row r="25" spans="1:8" ht="15">
      <c r="A25" s="500" t="s">
        <v>137</v>
      </c>
      <c r="B25" s="266">
        <f>'3. sz. melléklet'!N39</f>
        <v>130304</v>
      </c>
      <c r="C25" s="591">
        <f>'3. sz. melléklet'!O39</f>
        <v>130478</v>
      </c>
      <c r="D25" s="266">
        <f>'3. sz. melléklet'!P39</f>
        <v>130561</v>
      </c>
      <c r="E25" s="528"/>
      <c r="F25" s="489"/>
      <c r="G25" s="605"/>
      <c r="H25" s="268"/>
    </row>
    <row r="26" spans="1:8" ht="15">
      <c r="A26" s="501" t="s">
        <v>375</v>
      </c>
      <c r="B26" s="512">
        <f>SUM(B27:B28)</f>
        <v>304753</v>
      </c>
      <c r="C26" s="590">
        <f>SUM(C27:C28)</f>
        <v>392370</v>
      </c>
      <c r="D26" s="512">
        <f>SUM(D27:D28)</f>
        <v>373228</v>
      </c>
      <c r="E26" s="494"/>
      <c r="F26" s="489"/>
      <c r="G26" s="605"/>
      <c r="H26" s="268"/>
    </row>
    <row r="27" spans="1:256" ht="15">
      <c r="A27" s="500" t="s">
        <v>692</v>
      </c>
      <c r="B27" s="266">
        <v>174449</v>
      </c>
      <c r="C27" s="591">
        <v>262066</v>
      </c>
      <c r="D27" s="266">
        <v>242921</v>
      </c>
      <c r="E27" s="494"/>
      <c r="F27" s="489"/>
      <c r="G27" s="605"/>
      <c r="H27" s="268"/>
      <c r="IU27" s="78"/>
      <c r="IV27" s="78"/>
    </row>
    <row r="28" spans="1:256" ht="15">
      <c r="A28" s="502" t="s">
        <v>413</v>
      </c>
      <c r="B28" s="513">
        <f>'3. sz. melléklet'!B39</f>
        <v>130304</v>
      </c>
      <c r="C28" s="513">
        <f>'3. sz. melléklet'!C39</f>
        <v>130304</v>
      </c>
      <c r="D28" s="513">
        <f>'3. sz. melléklet'!D39</f>
        <v>130307</v>
      </c>
      <c r="E28" s="494"/>
      <c r="F28" s="489"/>
      <c r="G28" s="605"/>
      <c r="H28" s="268"/>
      <c r="IU28" s="78"/>
      <c r="IV28" s="78"/>
    </row>
    <row r="29" spans="1:256" ht="15" customHeight="1">
      <c r="A29" s="503" t="s">
        <v>881</v>
      </c>
      <c r="B29" s="514"/>
      <c r="C29" s="592">
        <f>SUM(C30:C31)</f>
        <v>99560</v>
      </c>
      <c r="D29" s="931">
        <f>SUM(D30:D31)</f>
        <v>102908</v>
      </c>
      <c r="E29" s="494"/>
      <c r="F29" s="489"/>
      <c r="G29" s="605"/>
      <c r="H29" s="268"/>
      <c r="IU29" s="78"/>
      <c r="IV29" s="78"/>
    </row>
    <row r="30" spans="1:256" ht="15">
      <c r="A30" s="504" t="s">
        <v>683</v>
      </c>
      <c r="B30" s="514"/>
      <c r="C30" s="591">
        <f>'3. sz. melléklet'!O45</f>
        <v>96209</v>
      </c>
      <c r="D30" s="266">
        <f>'3. sz. melléklet'!P45</f>
        <v>96209</v>
      </c>
      <c r="E30" s="494"/>
      <c r="F30" s="489"/>
      <c r="G30" s="605"/>
      <c r="H30" s="268"/>
      <c r="IU30" s="78"/>
      <c r="IV30" s="78"/>
    </row>
    <row r="31" spans="1:256" ht="15">
      <c r="A31" s="504" t="s">
        <v>709</v>
      </c>
      <c r="B31" s="514"/>
      <c r="C31" s="591">
        <f>'3. sz. melléklet'!O46</f>
        <v>3351</v>
      </c>
      <c r="D31" s="266">
        <f>'3. sz. melléklet'!P46</f>
        <v>6699</v>
      </c>
      <c r="E31" s="494"/>
      <c r="F31" s="489"/>
      <c r="G31" s="605"/>
      <c r="H31" s="268"/>
      <c r="IU31" s="78"/>
      <c r="IV31" s="78"/>
    </row>
    <row r="32" spans="1:8" s="78" customFormat="1" ht="15" thickBot="1">
      <c r="A32" s="505" t="s">
        <v>376</v>
      </c>
      <c r="B32" s="515">
        <f>SUM(B5+B9+B12+B17-B26)</f>
        <v>4367146</v>
      </c>
      <c r="C32" s="593">
        <f>SUM(C5+C9+C12+C17-C26+C29)</f>
        <v>4414392</v>
      </c>
      <c r="D32" s="515">
        <f>SUM(D5+D9+D12+D17-D26+D29)</f>
        <v>4560664</v>
      </c>
      <c r="E32" s="521" t="s">
        <v>377</v>
      </c>
      <c r="F32" s="488">
        <f>SUM(F5+F6+F9+F10+F11)</f>
        <v>4367146</v>
      </c>
      <c r="G32" s="602">
        <f>SUM(G5+G6+G9+G10+G11)</f>
        <v>4467751</v>
      </c>
      <c r="H32" s="488">
        <f>SUM(H5+H6+H9+H10+H11)</f>
        <v>4614023</v>
      </c>
    </row>
    <row r="33" spans="1:8" s="78" customFormat="1" ht="15" thickBot="1">
      <c r="A33" s="506" t="s">
        <v>378</v>
      </c>
      <c r="B33" s="516">
        <f>B32-F32</f>
        <v>0</v>
      </c>
      <c r="C33" s="594">
        <f>C32-G32</f>
        <v>-53359</v>
      </c>
      <c r="D33" s="516"/>
      <c r="E33" s="529" t="s">
        <v>877</v>
      </c>
      <c r="F33" s="488"/>
      <c r="G33" s="602">
        <f>'4.sz. melléklet'!Q32</f>
        <v>200000</v>
      </c>
      <c r="H33" s="488">
        <f>'4.sz. melléklet'!R32</f>
        <v>420000</v>
      </c>
    </row>
    <row r="34" spans="1:8" s="78" customFormat="1" ht="15" thickBot="1">
      <c r="A34" s="506" t="s">
        <v>368</v>
      </c>
      <c r="B34" s="516"/>
      <c r="C34" s="594">
        <v>53359</v>
      </c>
      <c r="D34" s="516">
        <v>53359</v>
      </c>
      <c r="E34" s="529" t="s">
        <v>607</v>
      </c>
      <c r="F34" s="488">
        <f>'4.sz. melléklet'!P33</f>
        <v>1656216</v>
      </c>
      <c r="G34" s="602">
        <f>'4.sz. melléklet'!Q33</f>
        <v>1677686</v>
      </c>
      <c r="H34" s="488">
        <f>'4.sz. melléklet'!R33</f>
        <v>1701357</v>
      </c>
    </row>
    <row r="35" spans="1:8" s="78" customFormat="1" ht="15">
      <c r="A35" s="927" t="s">
        <v>921</v>
      </c>
      <c r="B35" s="591"/>
      <c r="C35" s="591"/>
      <c r="D35" s="266">
        <f>'3. sz. melléklet'!P55</f>
        <v>560500</v>
      </c>
      <c r="E35" s="529" t="s">
        <v>916</v>
      </c>
      <c r="F35" s="488"/>
      <c r="G35" s="602"/>
      <c r="H35" s="488">
        <f>'4.sz. melléklet'!R31</f>
        <v>560500</v>
      </c>
    </row>
    <row r="36" spans="1:8" s="78" customFormat="1" ht="15">
      <c r="A36" s="505" t="s">
        <v>893</v>
      </c>
      <c r="B36" s="515"/>
      <c r="C36" s="591">
        <f>'3. sz. melléklet'!O58</f>
        <v>200000</v>
      </c>
      <c r="D36" s="266">
        <f>'3. sz. melléklet'!P58</f>
        <v>420000</v>
      </c>
      <c r="E36" s="529"/>
      <c r="F36" s="488"/>
      <c r="G36" s="602"/>
      <c r="H36" s="268"/>
    </row>
    <row r="37" spans="1:8" s="78" customFormat="1" ht="16.5" thickBot="1">
      <c r="A37" s="507" t="s">
        <v>379</v>
      </c>
      <c r="B37" s="517">
        <f>'3. sz. melléklet'!N57</f>
        <v>1656216</v>
      </c>
      <c r="C37" s="595">
        <f>'3. sz. melléklet'!O57</f>
        <v>1677686</v>
      </c>
      <c r="D37" s="517">
        <f>'3. sz. melléklet'!P57</f>
        <v>1701357</v>
      </c>
      <c r="E37" s="530"/>
      <c r="F37" s="488"/>
      <c r="G37" s="605"/>
      <c r="H37" s="268"/>
    </row>
    <row r="38" spans="1:8" s="78" customFormat="1" ht="15" thickBot="1">
      <c r="A38" s="508" t="s">
        <v>380</v>
      </c>
      <c r="B38" s="518">
        <f>SUM(B33:B37)</f>
        <v>1656216</v>
      </c>
      <c r="C38" s="596">
        <f>SUM(C34:C37)</f>
        <v>1931045</v>
      </c>
      <c r="D38" s="518">
        <f>SUM(D34:D37)</f>
        <v>2735216</v>
      </c>
      <c r="E38" s="521" t="s">
        <v>381</v>
      </c>
      <c r="F38" s="488">
        <f>SUM(F33:F37)</f>
        <v>1656216</v>
      </c>
      <c r="G38" s="602">
        <f>SUM(G33:G37)</f>
        <v>1877686</v>
      </c>
      <c r="H38" s="488">
        <f>SUM(H33:H37)</f>
        <v>2681857</v>
      </c>
    </row>
    <row r="39" spans="1:8" s="78" customFormat="1" ht="15" thickBot="1">
      <c r="A39" s="509" t="s">
        <v>382</v>
      </c>
      <c r="B39" s="519">
        <f>SUM(B32+B38)</f>
        <v>6023362</v>
      </c>
      <c r="C39" s="597">
        <f>SUM(C32+C38)</f>
        <v>6345437</v>
      </c>
      <c r="D39" s="519">
        <f>SUM(D32+D38)</f>
        <v>7295880</v>
      </c>
      <c r="E39" s="531" t="s">
        <v>382</v>
      </c>
      <c r="F39" s="492">
        <f>F32+F38</f>
        <v>6023362</v>
      </c>
      <c r="G39" s="606">
        <f>G32+G38</f>
        <v>6345437</v>
      </c>
      <c r="H39" s="492">
        <f>H32+H38</f>
        <v>7295880</v>
      </c>
    </row>
    <row r="40" spans="1:6" s="78" customFormat="1" ht="15">
      <c r="A40" s="145"/>
      <c r="B40" s="79"/>
      <c r="C40" s="79"/>
      <c r="D40" s="79"/>
      <c r="E40" s="145"/>
      <c r="F40" s="80"/>
    </row>
    <row r="41" spans="1:6" s="78" customFormat="1" ht="15">
      <c r="A41" s="145"/>
      <c r="B41" s="79"/>
      <c r="C41" s="79"/>
      <c r="D41" s="79"/>
      <c r="E41" s="145"/>
      <c r="F41" s="80"/>
    </row>
    <row r="42" spans="1:6" s="74" customFormat="1" ht="15" customHeight="1">
      <c r="A42" s="1049" t="s">
        <v>337</v>
      </c>
      <c r="B42" s="1049"/>
      <c r="C42" s="1049"/>
      <c r="D42" s="1049"/>
      <c r="E42" s="1049"/>
      <c r="F42" s="1049"/>
    </row>
    <row r="43" ht="14.25" customHeight="1" thickBot="1">
      <c r="E43" s="146"/>
    </row>
    <row r="44" spans="1:8" s="74" customFormat="1" ht="15" thickBot="1">
      <c r="A44" s="1050" t="s">
        <v>369</v>
      </c>
      <c r="B44" s="1051"/>
      <c r="C44" s="1055"/>
      <c r="D44" s="572"/>
      <c r="E44" s="1056" t="s">
        <v>370</v>
      </c>
      <c r="F44" s="1053"/>
      <c r="G44" s="1053"/>
      <c r="H44" s="609"/>
    </row>
    <row r="45" spans="1:8" s="74" customFormat="1" ht="15" thickBot="1">
      <c r="A45" s="485" t="s">
        <v>776</v>
      </c>
      <c r="B45" s="540" t="s">
        <v>4</v>
      </c>
      <c r="C45" s="278" t="s">
        <v>816</v>
      </c>
      <c r="D45" s="278" t="s">
        <v>895</v>
      </c>
      <c r="E45" s="554" t="s">
        <v>776</v>
      </c>
      <c r="F45" s="608" t="s">
        <v>777</v>
      </c>
      <c r="G45" s="600" t="s">
        <v>816</v>
      </c>
      <c r="H45" s="278" t="s">
        <v>895</v>
      </c>
    </row>
    <row r="46" spans="1:8" s="74" customFormat="1" ht="14.25">
      <c r="A46" s="532" t="s">
        <v>710</v>
      </c>
      <c r="B46" s="541">
        <f>SUM(B47:B48)</f>
        <v>1606819</v>
      </c>
      <c r="C46" s="541">
        <f>SUM(C47:C48)</f>
        <v>1512784</v>
      </c>
      <c r="D46" s="541">
        <f>SUM(D47:D48)</f>
        <v>1462851</v>
      </c>
      <c r="E46" s="555" t="s">
        <v>383</v>
      </c>
      <c r="F46" s="541">
        <f>'4.sz. melléklet'!P18</f>
        <v>2245365</v>
      </c>
      <c r="G46" s="541">
        <f>'4.sz. melléklet'!Q18</f>
        <v>2171950</v>
      </c>
      <c r="H46" s="541">
        <f>'4.sz. melléklet'!R18</f>
        <v>2233463</v>
      </c>
    </row>
    <row r="47" spans="1:8" s="74" customFormat="1" ht="15">
      <c r="A47" s="487" t="s">
        <v>683</v>
      </c>
      <c r="B47" s="265">
        <f>'3. sz. melléklet'!N14</f>
        <v>2290</v>
      </c>
      <c r="C47" s="265">
        <f>'3. sz. melléklet'!O14</f>
        <v>380</v>
      </c>
      <c r="D47" s="265">
        <f>'3. sz. melléklet'!P14</f>
        <v>380</v>
      </c>
      <c r="E47" s="556"/>
      <c r="F47" s="510"/>
      <c r="G47" s="267"/>
      <c r="H47" s="267"/>
    </row>
    <row r="48" spans="1:8" s="74" customFormat="1" ht="15">
      <c r="A48" s="533" t="s">
        <v>709</v>
      </c>
      <c r="B48" s="266">
        <f>'3. sz. melléklet'!N15</f>
        <v>1604529</v>
      </c>
      <c r="C48" s="266">
        <f>'3. sz. melléklet'!O15</f>
        <v>1512404</v>
      </c>
      <c r="D48" s="266">
        <f>'3. sz. melléklet'!P15</f>
        <v>1462471</v>
      </c>
      <c r="E48" s="269" t="s">
        <v>384</v>
      </c>
      <c r="F48" s="563">
        <f>'4.sz. melléklet'!P19</f>
        <v>253927</v>
      </c>
      <c r="G48" s="563">
        <f>'4.sz. melléklet'!Q19</f>
        <v>263763</v>
      </c>
      <c r="H48" s="563">
        <f>'4.sz. melléklet'!R19</f>
        <v>247194</v>
      </c>
    </row>
    <row r="49" spans="1:8" s="74" customFormat="1" ht="15">
      <c r="A49" s="533"/>
      <c r="B49" s="265"/>
      <c r="C49" s="265"/>
      <c r="D49" s="265"/>
      <c r="E49" s="269"/>
      <c r="F49" s="563"/>
      <c r="G49" s="515"/>
      <c r="H49" s="515"/>
    </row>
    <row r="50" spans="1:8" s="74" customFormat="1" ht="15">
      <c r="A50" s="534" t="s">
        <v>883</v>
      </c>
      <c r="B50" s="265"/>
      <c r="C50" s="517">
        <f>SUM(C51)</f>
        <v>1</v>
      </c>
      <c r="D50" s="517">
        <f>SUM(D51:D52)</f>
        <v>2908</v>
      </c>
      <c r="E50" s="269"/>
      <c r="F50" s="563"/>
      <c r="G50" s="515"/>
      <c r="H50" s="515"/>
    </row>
    <row r="51" spans="1:8" ht="15">
      <c r="A51" s="533" t="s">
        <v>856</v>
      </c>
      <c r="B51" s="265"/>
      <c r="C51" s="266">
        <f>'3. sz. melléklet'!O17</f>
        <v>1</v>
      </c>
      <c r="D51" s="266">
        <f>'3. sz. melléklet'!P17</f>
        <v>1</v>
      </c>
      <c r="E51" s="557"/>
      <c r="F51" s="563"/>
      <c r="G51" s="268"/>
      <c r="H51" s="268"/>
    </row>
    <row r="52" spans="1:8" ht="15.75">
      <c r="A52" s="206" t="s">
        <v>918</v>
      </c>
      <c r="B52" s="265"/>
      <c r="C52" s="265"/>
      <c r="D52" s="266">
        <f>'3. sz. melléklet'!P18</f>
        <v>2907</v>
      </c>
      <c r="E52" s="557"/>
      <c r="F52" s="563"/>
      <c r="G52" s="932"/>
      <c r="H52" s="932"/>
    </row>
    <row r="53" spans="1:8" ht="14.25">
      <c r="A53" s="535" t="s">
        <v>767</v>
      </c>
      <c r="B53" s="517">
        <f>SUM(B54)</f>
        <v>191090</v>
      </c>
      <c r="C53" s="517">
        <f>SUM(C54)</f>
        <v>194088</v>
      </c>
      <c r="D53" s="517">
        <f>SUM(D54:D56)</f>
        <v>162348</v>
      </c>
      <c r="E53" s="557" t="s">
        <v>385</v>
      </c>
      <c r="F53" s="512">
        <f>SUM(F54:F57)</f>
        <v>440707</v>
      </c>
      <c r="G53" s="512">
        <f>SUM(G54:G57)</f>
        <v>426746</v>
      </c>
      <c r="H53" s="512">
        <f>SUM(H54:H57)</f>
        <v>302792</v>
      </c>
    </row>
    <row r="54" spans="1:8" ht="15">
      <c r="A54" s="487" t="s">
        <v>139</v>
      </c>
      <c r="B54" s="266">
        <f>'3. sz. melléklet'!N41</f>
        <v>191090</v>
      </c>
      <c r="C54" s="266">
        <f>'3. sz. melléklet'!O41</f>
        <v>194088</v>
      </c>
      <c r="D54" s="266">
        <f>'3. sz. melléklet'!P41</f>
        <v>162088</v>
      </c>
      <c r="E54" s="77" t="s">
        <v>699</v>
      </c>
      <c r="F54" s="266">
        <f>'4.sz. melléklet'!P22</f>
        <v>193590</v>
      </c>
      <c r="G54" s="266">
        <f>'4.sz. melléklet'!Q22</f>
        <v>209216</v>
      </c>
      <c r="H54" s="266">
        <f>'4.sz. melléklet'!R22</f>
        <v>232626</v>
      </c>
    </row>
    <row r="55" spans="1:8" ht="15">
      <c r="A55" s="487" t="s">
        <v>919</v>
      </c>
      <c r="B55" s="266"/>
      <c r="C55" s="266"/>
      <c r="D55" s="266">
        <f>'3. sz. melléklet'!P42</f>
        <v>10</v>
      </c>
      <c r="E55" s="77" t="s">
        <v>683</v>
      </c>
      <c r="F55" s="266"/>
      <c r="G55" s="266">
        <f>'4.sz. melléklet'!Q21</f>
        <v>14150</v>
      </c>
      <c r="H55" s="266">
        <f>'4.sz. melléklet'!R21</f>
        <v>29786</v>
      </c>
    </row>
    <row r="56" spans="1:8" ht="15">
      <c r="A56" s="944" t="s">
        <v>920</v>
      </c>
      <c r="B56" s="266"/>
      <c r="C56" s="266"/>
      <c r="D56" s="266">
        <f>'3. sz. melléklet'!P43</f>
        <v>250</v>
      </c>
      <c r="E56" s="77"/>
      <c r="F56" s="266"/>
      <c r="G56" s="266"/>
      <c r="H56" s="266"/>
    </row>
    <row r="57" spans="1:8" ht="32.25" customHeight="1">
      <c r="A57" s="535" t="s">
        <v>769</v>
      </c>
      <c r="B57" s="512">
        <f>SUM(B58)</f>
        <v>28075</v>
      </c>
      <c r="C57" s="512">
        <f>SUM(C58:C60)</f>
        <v>44635</v>
      </c>
      <c r="D57" s="512">
        <f>SUM(D58:D60)</f>
        <v>63533</v>
      </c>
      <c r="E57" s="77" t="s">
        <v>355</v>
      </c>
      <c r="F57" s="266">
        <f>SUM(F58:F59)</f>
        <v>247117</v>
      </c>
      <c r="G57" s="266">
        <f>SUM(G58:G59)</f>
        <v>203380</v>
      </c>
      <c r="H57" s="266">
        <f>SUM(H58:H59)</f>
        <v>40380</v>
      </c>
    </row>
    <row r="58" spans="1:8" ht="30">
      <c r="A58" s="487" t="s">
        <v>682</v>
      </c>
      <c r="B58" s="266">
        <f>'3. sz. melléklet'!N48</f>
        <v>28075</v>
      </c>
      <c r="C58" s="513">
        <f>'3. sz. melléklet'!O48</f>
        <v>28075</v>
      </c>
      <c r="D58" s="513">
        <f>'3. sz. melléklet'!P48</f>
        <v>28075</v>
      </c>
      <c r="E58" s="1006" t="s">
        <v>1003</v>
      </c>
      <c r="F58" s="564">
        <f>'4.sz. melléklet'!P24</f>
        <v>77075</v>
      </c>
      <c r="G58" s="564">
        <f>'4.sz. melléklet'!Q24</f>
        <v>33338</v>
      </c>
      <c r="H58" s="564">
        <f>'4.sz. melléklet'!R24</f>
        <v>31474</v>
      </c>
    </row>
    <row r="59" spans="1:8" ht="15">
      <c r="A59" s="487" t="s">
        <v>683</v>
      </c>
      <c r="B59" s="265"/>
      <c r="C59" s="513">
        <f>'3. sz. melléklet'!O49</f>
        <v>15060</v>
      </c>
      <c r="D59" s="513">
        <f>'3. sz. melléklet'!P49</f>
        <v>30696</v>
      </c>
      <c r="E59" s="559" t="s">
        <v>700</v>
      </c>
      <c r="F59" s="564">
        <f>'4.sz. melléklet'!P25</f>
        <v>170042</v>
      </c>
      <c r="G59" s="564">
        <f>'4.sz. melléklet'!Q25</f>
        <v>170042</v>
      </c>
      <c r="H59" s="564">
        <f>'4.sz. melléklet'!R25</f>
        <v>8906</v>
      </c>
    </row>
    <row r="60" spans="1:8" ht="15">
      <c r="A60" s="487" t="s">
        <v>709</v>
      </c>
      <c r="B60" s="265"/>
      <c r="C60" s="513">
        <f>'3. sz. melléklet'!O50</f>
        <v>1500</v>
      </c>
      <c r="D60" s="513">
        <f>'3. sz. melléklet'!P50</f>
        <v>4762</v>
      </c>
      <c r="E60" s="543"/>
      <c r="F60" s="564"/>
      <c r="G60" s="565"/>
      <c r="H60" s="565"/>
    </row>
    <row r="61" spans="1:8" ht="15.75">
      <c r="A61" s="487"/>
      <c r="B61" s="265"/>
      <c r="C61" s="514"/>
      <c r="D61" s="514"/>
      <c r="E61" s="558"/>
      <c r="F61" s="564"/>
      <c r="G61" s="268"/>
      <c r="H61" s="268"/>
    </row>
    <row r="62" spans="1:8" ht="15">
      <c r="A62" s="486" t="s">
        <v>386</v>
      </c>
      <c r="B62" s="517">
        <f>SUM(B63:B64)</f>
        <v>304753</v>
      </c>
      <c r="C62" s="517">
        <f>SUM(C63:C64)</f>
        <v>392370</v>
      </c>
      <c r="D62" s="517">
        <f>SUM(D63:D64)</f>
        <v>373228</v>
      </c>
      <c r="E62" s="559"/>
      <c r="F62" s="564"/>
      <c r="G62" s="268"/>
      <c r="H62" s="268"/>
    </row>
    <row r="63" spans="1:8" ht="15">
      <c r="A63" s="487" t="s">
        <v>692</v>
      </c>
      <c r="B63" s="265">
        <v>174449</v>
      </c>
      <c r="C63" s="265">
        <v>262066</v>
      </c>
      <c r="D63" s="265">
        <v>242921</v>
      </c>
      <c r="E63" s="559"/>
      <c r="F63" s="564"/>
      <c r="G63" s="268"/>
      <c r="H63" s="268"/>
    </row>
    <row r="64" spans="1:8" ht="15.75" thickBot="1">
      <c r="A64" s="536" t="s">
        <v>414</v>
      </c>
      <c r="B64" s="266">
        <f>'3. sz. melléklet'!B39</f>
        <v>130304</v>
      </c>
      <c r="C64" s="266">
        <f>'3. sz. melléklet'!C39</f>
        <v>130304</v>
      </c>
      <c r="D64" s="266">
        <f>'3. sz. melléklet'!D39</f>
        <v>130307</v>
      </c>
      <c r="E64" s="560"/>
      <c r="F64" s="564"/>
      <c r="G64" s="270"/>
      <c r="H64" s="270"/>
    </row>
    <row r="65" spans="1:8" ht="15" thickBot="1">
      <c r="A65" s="537" t="s">
        <v>376</v>
      </c>
      <c r="B65" s="518">
        <f>SUM(B46+B53+B57+B62)</f>
        <v>2130737</v>
      </c>
      <c r="C65" s="518">
        <f>SUM(C46+C53+C57+C62+C50)</f>
        <v>2143878</v>
      </c>
      <c r="D65" s="518">
        <f>SUM(D46+D53+D57+D62+D50)</f>
        <v>2064868</v>
      </c>
      <c r="E65" s="561" t="s">
        <v>377</v>
      </c>
      <c r="F65" s="518">
        <f>SUM(F46+F48+F53)</f>
        <v>2939999</v>
      </c>
      <c r="G65" s="518">
        <f>SUM(G46+G48+G53)</f>
        <v>2862459</v>
      </c>
      <c r="H65" s="518">
        <f>SUM(H46+H48+H53)</f>
        <v>2783449</v>
      </c>
    </row>
    <row r="66" spans="1:8" ht="15" thickBot="1">
      <c r="A66" s="537" t="s">
        <v>378</v>
      </c>
      <c r="B66" s="518">
        <f>B65-F65</f>
        <v>-809262</v>
      </c>
      <c r="C66" s="518">
        <f>C65-G65</f>
        <v>-718581</v>
      </c>
      <c r="D66" s="518">
        <f>D65-H65</f>
        <v>-718581</v>
      </c>
      <c r="E66" s="561"/>
      <c r="F66" s="518"/>
      <c r="G66" s="271"/>
      <c r="H66" s="271"/>
    </row>
    <row r="67" spans="1:8" ht="14.25">
      <c r="A67" s="532" t="s">
        <v>687</v>
      </c>
      <c r="B67" s="541">
        <f>SUM(B68)</f>
        <v>100000</v>
      </c>
      <c r="C67" s="541">
        <f>SUM(C68)</f>
        <v>100006</v>
      </c>
      <c r="D67" s="541">
        <f>SUM(D68)</f>
        <v>100006</v>
      </c>
      <c r="E67" s="555" t="s">
        <v>888</v>
      </c>
      <c r="F67" s="541"/>
      <c r="G67" s="544">
        <f>SUM(G68:G69)</f>
        <v>90687</v>
      </c>
      <c r="H67" s="544">
        <f>SUM(H68:H70)</f>
        <v>257081</v>
      </c>
    </row>
    <row r="68" spans="1:8" ht="15">
      <c r="A68" s="487" t="s">
        <v>368</v>
      </c>
      <c r="B68" s="266">
        <f>'3. sz. melléklet'!N56</f>
        <v>100000</v>
      </c>
      <c r="C68" s="266">
        <v>100006</v>
      </c>
      <c r="D68" s="266">
        <v>100006</v>
      </c>
      <c r="E68" s="269" t="s">
        <v>889</v>
      </c>
      <c r="F68" s="563"/>
      <c r="G68" s="933">
        <f>'4.sz. melléklet'!Q28</f>
        <v>35131</v>
      </c>
      <c r="H68" s="933">
        <f>'4.sz. melléklet'!R28</f>
        <v>35131</v>
      </c>
    </row>
    <row r="69" spans="1:8" ht="14.25">
      <c r="A69" s="486" t="s">
        <v>688</v>
      </c>
      <c r="B69" s="512">
        <f>SUM(B70:B70)</f>
        <v>709262</v>
      </c>
      <c r="C69" s="512">
        <f>SUM(C70:C70)</f>
        <v>709262</v>
      </c>
      <c r="D69" s="512">
        <f>SUM(D70:D71)</f>
        <v>875656</v>
      </c>
      <c r="E69" s="269" t="s">
        <v>890</v>
      </c>
      <c r="F69" s="563"/>
      <c r="G69" s="933">
        <f>'4.sz. melléklet'!Q29</f>
        <v>55556</v>
      </c>
      <c r="H69" s="933">
        <f>'4.sz. melléklet'!R29</f>
        <v>55556</v>
      </c>
    </row>
    <row r="70" spans="1:8" ht="15.75">
      <c r="A70" s="487" t="s">
        <v>806</v>
      </c>
      <c r="B70" s="266">
        <f>'3. sz. melléklet'!N53</f>
        <v>709262</v>
      </c>
      <c r="C70" s="266">
        <f>'3. sz. melléklet'!O53</f>
        <v>709262</v>
      </c>
      <c r="D70" s="266">
        <f>'3. sz. melléklet'!P53</f>
        <v>709262</v>
      </c>
      <c r="E70" s="56" t="s">
        <v>1001</v>
      </c>
      <c r="F70" s="563"/>
      <c r="G70" s="270"/>
      <c r="H70" s="933">
        <f>'4.sz. melléklet'!R30</f>
        <v>166394</v>
      </c>
    </row>
    <row r="71" spans="1:8" ht="15.75" thickBot="1">
      <c r="A71" s="960" t="s">
        <v>1001</v>
      </c>
      <c r="B71" s="959"/>
      <c r="C71" s="959"/>
      <c r="D71" s="266">
        <f>'3. sz. melléklet'!P54</f>
        <v>166394</v>
      </c>
      <c r="E71" s="147"/>
      <c r="F71" s="515"/>
      <c r="G71" s="932"/>
      <c r="H71" s="932"/>
    </row>
    <row r="72" spans="1:8" ht="15.75" customHeight="1" thickBot="1">
      <c r="A72" s="538" t="s">
        <v>380</v>
      </c>
      <c r="B72" s="518">
        <f>SUM(B69,B67)</f>
        <v>809262</v>
      </c>
      <c r="C72" s="518">
        <f>SUM(C69,C67)</f>
        <v>809268</v>
      </c>
      <c r="D72" s="518">
        <f>SUM(D69,D67)</f>
        <v>975662</v>
      </c>
      <c r="E72" s="561" t="s">
        <v>381</v>
      </c>
      <c r="F72" s="518">
        <f>SUM(F68:F70)</f>
        <v>0</v>
      </c>
      <c r="G72" s="518">
        <f>SUM(G68:G70)</f>
        <v>90687</v>
      </c>
      <c r="H72" s="518">
        <f>SUM(H68:H70)</f>
        <v>257081</v>
      </c>
    </row>
    <row r="73" spans="1:8" ht="15" thickBot="1">
      <c r="A73" s="539" t="s">
        <v>382</v>
      </c>
      <c r="B73" s="542">
        <f>SUM(B65+B72)</f>
        <v>2939999</v>
      </c>
      <c r="C73" s="542">
        <f>SUM(C65+C72)</f>
        <v>2953146</v>
      </c>
      <c r="D73" s="542">
        <f>SUM(D65+D72)</f>
        <v>3040530</v>
      </c>
      <c r="E73" s="562" t="s">
        <v>382</v>
      </c>
      <c r="F73" s="542">
        <f>SUM(F65+F72)</f>
        <v>2939999</v>
      </c>
      <c r="G73" s="542">
        <f>SUM(G65+G72)</f>
        <v>2953146</v>
      </c>
      <c r="H73" s="542">
        <f>SUM(H65+H72)</f>
        <v>3040530</v>
      </c>
    </row>
    <row r="74" spans="1:6" ht="14.25">
      <c r="A74" s="147"/>
      <c r="B74" s="81"/>
      <c r="C74" s="81"/>
      <c r="D74" s="81"/>
      <c r="E74" s="147"/>
      <c r="F74" s="81"/>
    </row>
    <row r="75" spans="1:8" ht="14.25">
      <c r="A75" s="148" t="s">
        <v>387</v>
      </c>
      <c r="B75" s="82">
        <f>SUM(B39,B73)</f>
        <v>8963361</v>
      </c>
      <c r="C75" s="82">
        <f>SUM(C39,C73)</f>
        <v>9298583</v>
      </c>
      <c r="D75" s="82">
        <f>SUM(D39,D73)</f>
        <v>10336410</v>
      </c>
      <c r="E75" s="148" t="s">
        <v>388</v>
      </c>
      <c r="F75" s="83">
        <f>SUM(F39,F73)</f>
        <v>8963361</v>
      </c>
      <c r="G75" s="83">
        <f>SUM(G39,G73)</f>
        <v>9298583</v>
      </c>
      <c r="H75" s="83">
        <f>SUM(H39,H73)</f>
        <v>10336410</v>
      </c>
    </row>
    <row r="77" spans="1:5" ht="15">
      <c r="A77" s="227"/>
      <c r="B77" s="228"/>
      <c r="C77" s="228"/>
      <c r="D77" s="228"/>
      <c r="E77" s="226"/>
    </row>
  </sheetData>
  <sheetProtection selectLockedCells="1" selectUnlockedCells="1"/>
  <mergeCells count="6">
    <mergeCell ref="A42:F42"/>
    <mergeCell ref="A1:F1"/>
    <mergeCell ref="A3:C3"/>
    <mergeCell ref="E3:G3"/>
    <mergeCell ref="A44:C44"/>
    <mergeCell ref="E44:G44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portrait" paperSize="9" scale="48" r:id="rId1"/>
  <headerFooter alignWithMargins="0">
    <oddHeader>&amp;L2. melléklet a 21/2015.(X.2.)  önkormányzati rendelethez
2. melléklet az 1/2015.(I.30.)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view="pageBreakPreview" zoomScale="64" zoomScaleNormal="78" zoomScaleSheetLayoutView="64" workbookViewId="0" topLeftCell="A13">
      <selection activeCell="L27" sqref="L27"/>
    </sheetView>
  </sheetViews>
  <sheetFormatPr defaultColWidth="9.00390625" defaultRowHeight="12.75"/>
  <cols>
    <col min="1" max="1" width="86.75390625" style="188" customWidth="1"/>
    <col min="2" max="3" width="19.75390625" style="188" customWidth="1"/>
    <col min="4" max="4" width="16.625" style="188" customWidth="1"/>
    <col min="5" max="6" width="19.75390625" style="188" customWidth="1"/>
    <col min="7" max="7" width="17.125" style="188" customWidth="1"/>
    <col min="8" max="9" width="19.75390625" style="188" customWidth="1"/>
    <col min="10" max="10" width="18.00390625" style="188" customWidth="1"/>
    <col min="11" max="14" width="19.75390625" style="188" customWidth="1"/>
    <col min="15" max="15" width="19.25390625" style="188" customWidth="1"/>
    <col min="16" max="16" width="18.625" style="188" customWidth="1"/>
    <col min="17" max="16384" width="9.125" style="188" customWidth="1"/>
  </cols>
  <sheetData>
    <row r="1" ht="15.75">
      <c r="A1" s="190"/>
    </row>
    <row r="2" spans="1:14" ht="15.75">
      <c r="A2" s="1062" t="s">
        <v>338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</row>
    <row r="3" ht="16.5" thickBot="1"/>
    <row r="4" spans="1:16" ht="45" customHeight="1">
      <c r="A4" s="1063" t="s">
        <v>704</v>
      </c>
      <c r="B4" s="1057" t="s">
        <v>5</v>
      </c>
      <c r="C4" s="1058"/>
      <c r="D4" s="1065"/>
      <c r="E4" s="1057" t="s">
        <v>12</v>
      </c>
      <c r="F4" s="1058"/>
      <c r="G4" s="1065"/>
      <c r="H4" s="1057" t="s">
        <v>675</v>
      </c>
      <c r="I4" s="1058"/>
      <c r="J4" s="1065"/>
      <c r="K4" s="1057" t="s">
        <v>14</v>
      </c>
      <c r="L4" s="1058"/>
      <c r="M4" s="1058"/>
      <c r="N4" s="1059" t="s">
        <v>367</v>
      </c>
      <c r="O4" s="1060"/>
      <c r="P4" s="1061"/>
    </row>
    <row r="5" spans="1:16" ht="18.75" customHeight="1">
      <c r="A5" s="1064"/>
      <c r="B5" s="202" t="s">
        <v>4</v>
      </c>
      <c r="C5" s="280" t="s">
        <v>816</v>
      </c>
      <c r="D5" s="280" t="s">
        <v>895</v>
      </c>
      <c r="E5" s="202" t="s">
        <v>4</v>
      </c>
      <c r="F5" s="280" t="s">
        <v>816</v>
      </c>
      <c r="G5" s="280" t="s">
        <v>895</v>
      </c>
      <c r="H5" s="202" t="s">
        <v>4</v>
      </c>
      <c r="I5" s="280" t="s">
        <v>816</v>
      </c>
      <c r="J5" s="280" t="s">
        <v>895</v>
      </c>
      <c r="K5" s="202" t="s">
        <v>4</v>
      </c>
      <c r="L5" s="611" t="s">
        <v>816</v>
      </c>
      <c r="M5" s="611" t="s">
        <v>895</v>
      </c>
      <c r="N5" s="202" t="s">
        <v>777</v>
      </c>
      <c r="O5" s="280" t="s">
        <v>816</v>
      </c>
      <c r="P5" s="610" t="s">
        <v>895</v>
      </c>
    </row>
    <row r="6" spans="1:16" s="190" customFormat="1" ht="18" customHeight="1">
      <c r="A6" s="203" t="s">
        <v>705</v>
      </c>
      <c r="B6" s="204">
        <f aca="true" t="shared" si="0" ref="B6:M6">SUM(B7:B7)</f>
        <v>1107179</v>
      </c>
      <c r="C6" s="204">
        <f>SUM(C7:C9)</f>
        <v>1130568</v>
      </c>
      <c r="D6" s="204">
        <f>SUM(D7:D9)</f>
        <v>1164464</v>
      </c>
      <c r="E6" s="204">
        <f t="shared" si="0"/>
        <v>0</v>
      </c>
      <c r="F6" s="204">
        <f t="shared" si="0"/>
        <v>0</v>
      </c>
      <c r="G6" s="204">
        <f t="shared" si="0"/>
        <v>0</v>
      </c>
      <c r="H6" s="204">
        <f t="shared" si="0"/>
        <v>0</v>
      </c>
      <c r="I6" s="204">
        <f t="shared" si="0"/>
        <v>0</v>
      </c>
      <c r="J6" s="204">
        <f t="shared" si="0"/>
        <v>0</v>
      </c>
      <c r="K6" s="204">
        <f t="shared" si="0"/>
        <v>0</v>
      </c>
      <c r="L6" s="204">
        <f t="shared" si="0"/>
        <v>0</v>
      </c>
      <c r="M6" s="998">
        <f t="shared" si="0"/>
        <v>0</v>
      </c>
      <c r="N6" s="204">
        <f>SUM(B6+E6+H6+K6)</f>
        <v>1107179</v>
      </c>
      <c r="O6" s="204">
        <f>SUM(C6+F6+I6+L6)</f>
        <v>1130568</v>
      </c>
      <c r="P6" s="204">
        <f>SUM(D6+G6+J6+M6)</f>
        <v>1164464</v>
      </c>
    </row>
    <row r="7" spans="1:16" s="208" customFormat="1" ht="18" customHeight="1">
      <c r="A7" s="206" t="s">
        <v>706</v>
      </c>
      <c r="B7" s="205">
        <v>1107179</v>
      </c>
      <c r="C7" s="205">
        <v>1122387</v>
      </c>
      <c r="D7" s="205">
        <v>1130285</v>
      </c>
      <c r="E7" s="207"/>
      <c r="F7" s="207"/>
      <c r="G7" s="207"/>
      <c r="H7" s="207"/>
      <c r="I7" s="207"/>
      <c r="J7" s="207"/>
      <c r="K7" s="207"/>
      <c r="L7" s="272"/>
      <c r="M7" s="272"/>
      <c r="N7" s="204">
        <f aca="true" t="shared" si="1" ref="N7:N60">SUM(B7+E7+H7+K7)</f>
        <v>1107179</v>
      </c>
      <c r="O7" s="204">
        <f>SUM(C7+F7+I7+L7)</f>
        <v>1122387</v>
      </c>
      <c r="P7" s="204">
        <f aca="true" t="shared" si="2" ref="P7:P60">SUM(D7+G7+J7+M7)</f>
        <v>1130285</v>
      </c>
    </row>
    <row r="8" spans="1:16" s="208" customFormat="1" ht="18" customHeight="1">
      <c r="A8" s="206" t="s">
        <v>917</v>
      </c>
      <c r="B8" s="205"/>
      <c r="C8" s="205"/>
      <c r="D8" s="205">
        <v>4841</v>
      </c>
      <c r="E8" s="207"/>
      <c r="F8" s="207"/>
      <c r="G8" s="207"/>
      <c r="H8" s="207"/>
      <c r="I8" s="207"/>
      <c r="J8" s="207"/>
      <c r="K8" s="207"/>
      <c r="L8" s="272"/>
      <c r="M8" s="272"/>
      <c r="N8" s="204"/>
      <c r="O8" s="204"/>
      <c r="P8" s="204">
        <f t="shared" si="2"/>
        <v>4841</v>
      </c>
    </row>
    <row r="9" spans="1:16" s="208" customFormat="1" ht="18" customHeight="1">
      <c r="A9" s="206" t="s">
        <v>856</v>
      </c>
      <c r="B9" s="205"/>
      <c r="C9" s="205">
        <v>8181</v>
      </c>
      <c r="D9" s="205">
        <v>29338</v>
      </c>
      <c r="E9" s="207"/>
      <c r="F9" s="207"/>
      <c r="G9" s="207"/>
      <c r="H9" s="207"/>
      <c r="I9" s="207"/>
      <c r="J9" s="207"/>
      <c r="K9" s="207"/>
      <c r="L9" s="272"/>
      <c r="M9" s="272"/>
      <c r="N9" s="204"/>
      <c r="O9" s="204">
        <f aca="true" t="shared" si="3" ref="O9:O59">SUM(C9+F9+I9+L9)</f>
        <v>8181</v>
      </c>
      <c r="P9" s="204">
        <f t="shared" si="2"/>
        <v>29338</v>
      </c>
    </row>
    <row r="10" spans="1:16" ht="18" customHeight="1">
      <c r="A10" s="209" t="s">
        <v>861</v>
      </c>
      <c r="B10" s="204">
        <f aca="true" t="shared" si="4" ref="B10:M10">SUM(B11:B12)</f>
        <v>279487</v>
      </c>
      <c r="C10" s="204">
        <f t="shared" si="4"/>
        <v>270215</v>
      </c>
      <c r="D10" s="204">
        <f t="shared" si="4"/>
        <v>354420</v>
      </c>
      <c r="E10" s="204">
        <f t="shared" si="4"/>
        <v>20163</v>
      </c>
      <c r="F10" s="204">
        <f t="shared" si="4"/>
        <v>20355</v>
      </c>
      <c r="G10" s="204">
        <f t="shared" si="4"/>
        <v>20637</v>
      </c>
      <c r="H10" s="204">
        <f t="shared" si="4"/>
        <v>110310</v>
      </c>
      <c r="I10" s="204">
        <f t="shared" si="4"/>
        <v>123475</v>
      </c>
      <c r="J10" s="204">
        <f t="shared" si="4"/>
        <v>123225</v>
      </c>
      <c r="K10" s="204">
        <f t="shared" si="4"/>
        <v>11200</v>
      </c>
      <c r="L10" s="204">
        <f t="shared" si="4"/>
        <v>0</v>
      </c>
      <c r="M10" s="998">
        <f t="shared" si="4"/>
        <v>0</v>
      </c>
      <c r="N10" s="204">
        <f t="shared" si="1"/>
        <v>421160</v>
      </c>
      <c r="O10" s="204">
        <f t="shared" si="3"/>
        <v>414045</v>
      </c>
      <c r="P10" s="204">
        <f t="shared" si="2"/>
        <v>498282</v>
      </c>
    </row>
    <row r="11" spans="1:16" ht="18" customHeight="1">
      <c r="A11" s="206" t="s">
        <v>708</v>
      </c>
      <c r="B11" s="205">
        <v>107209</v>
      </c>
      <c r="C11" s="205">
        <v>10000</v>
      </c>
      <c r="D11" s="205">
        <v>10000</v>
      </c>
      <c r="E11" s="205"/>
      <c r="F11" s="205"/>
      <c r="G11" s="205"/>
      <c r="H11" s="205"/>
      <c r="I11" s="205"/>
      <c r="J11" s="205"/>
      <c r="K11" s="205"/>
      <c r="L11" s="273"/>
      <c r="M11" s="273"/>
      <c r="N11" s="204">
        <f t="shared" si="1"/>
        <v>107209</v>
      </c>
      <c r="O11" s="204">
        <f t="shared" si="3"/>
        <v>10000</v>
      </c>
      <c r="P11" s="204">
        <f t="shared" si="2"/>
        <v>10000</v>
      </c>
    </row>
    <row r="12" spans="1:16" ht="18" customHeight="1">
      <c r="A12" s="206" t="s">
        <v>709</v>
      </c>
      <c r="B12" s="205">
        <v>172278</v>
      </c>
      <c r="C12" s="205">
        <v>260215</v>
      </c>
      <c r="D12" s="205">
        <v>344420</v>
      </c>
      <c r="E12" s="205">
        <v>20163</v>
      </c>
      <c r="F12" s="205">
        <v>20355</v>
      </c>
      <c r="G12" s="205">
        <v>20637</v>
      </c>
      <c r="H12" s="205">
        <v>110310</v>
      </c>
      <c r="I12" s="205">
        <v>123475</v>
      </c>
      <c r="J12" s="205">
        <v>123225</v>
      </c>
      <c r="K12" s="205">
        <v>11200</v>
      </c>
      <c r="L12" s="273">
        <v>0</v>
      </c>
      <c r="M12" s="273">
        <v>0</v>
      </c>
      <c r="N12" s="204">
        <f t="shared" si="1"/>
        <v>313951</v>
      </c>
      <c r="O12" s="204">
        <f t="shared" si="3"/>
        <v>404045</v>
      </c>
      <c r="P12" s="204">
        <f t="shared" si="2"/>
        <v>488282</v>
      </c>
    </row>
    <row r="13" spans="1:16" s="208" customFormat="1" ht="18" customHeight="1">
      <c r="A13" s="210" t="s">
        <v>862</v>
      </c>
      <c r="B13" s="204">
        <f aca="true" t="shared" si="5" ref="B13:M13">SUM(B14:B15)</f>
        <v>1589994</v>
      </c>
      <c r="C13" s="204">
        <f>SUM(C14:C15)</f>
        <v>1497849</v>
      </c>
      <c r="D13" s="204">
        <f>SUM(D14:D15)</f>
        <v>1447916</v>
      </c>
      <c r="E13" s="204">
        <f t="shared" si="5"/>
        <v>15925</v>
      </c>
      <c r="F13" s="204">
        <f t="shared" si="5"/>
        <v>14935</v>
      </c>
      <c r="G13" s="204">
        <f t="shared" si="5"/>
        <v>14935</v>
      </c>
      <c r="H13" s="204">
        <f t="shared" si="5"/>
        <v>900</v>
      </c>
      <c r="I13" s="204">
        <f t="shared" si="5"/>
        <v>0</v>
      </c>
      <c r="J13" s="204">
        <f t="shared" si="5"/>
        <v>0</v>
      </c>
      <c r="K13" s="204">
        <f t="shared" si="5"/>
        <v>0</v>
      </c>
      <c r="L13" s="204">
        <f t="shared" si="5"/>
        <v>0</v>
      </c>
      <c r="M13" s="998">
        <f t="shared" si="5"/>
        <v>0</v>
      </c>
      <c r="N13" s="204">
        <f t="shared" si="1"/>
        <v>1606819</v>
      </c>
      <c r="O13" s="204">
        <f t="shared" si="3"/>
        <v>1512784</v>
      </c>
      <c r="P13" s="204">
        <f t="shared" si="2"/>
        <v>1462851</v>
      </c>
    </row>
    <row r="14" spans="1:16" s="212" customFormat="1" ht="18" customHeight="1">
      <c r="A14" s="206" t="s">
        <v>708</v>
      </c>
      <c r="B14" s="205">
        <v>1300</v>
      </c>
      <c r="C14" s="205">
        <v>380</v>
      </c>
      <c r="D14" s="205">
        <v>380</v>
      </c>
      <c r="E14" s="205">
        <v>990</v>
      </c>
      <c r="F14" s="205">
        <v>0</v>
      </c>
      <c r="G14" s="205">
        <v>0</v>
      </c>
      <c r="H14" s="211"/>
      <c r="I14" s="211"/>
      <c r="J14" s="211"/>
      <c r="K14" s="211"/>
      <c r="L14" s="274"/>
      <c r="M14" s="274"/>
      <c r="N14" s="204">
        <f t="shared" si="1"/>
        <v>2290</v>
      </c>
      <c r="O14" s="204">
        <f t="shared" si="3"/>
        <v>380</v>
      </c>
      <c r="P14" s="204">
        <f t="shared" si="2"/>
        <v>380</v>
      </c>
    </row>
    <row r="15" spans="1:16" s="212" customFormat="1" ht="18" customHeight="1">
      <c r="A15" s="206" t="s">
        <v>709</v>
      </c>
      <c r="B15" s="205">
        <v>1588694</v>
      </c>
      <c r="C15" s="205">
        <v>1497469</v>
      </c>
      <c r="D15" s="205">
        <v>1447536</v>
      </c>
      <c r="E15" s="205">
        <v>14935</v>
      </c>
      <c r="F15" s="205">
        <v>14935</v>
      </c>
      <c r="G15" s="205">
        <v>14935</v>
      </c>
      <c r="H15" s="211">
        <v>900</v>
      </c>
      <c r="I15" s="211">
        <v>0</v>
      </c>
      <c r="J15" s="211">
        <v>0</v>
      </c>
      <c r="K15" s="211"/>
      <c r="L15" s="274"/>
      <c r="M15" s="274"/>
      <c r="N15" s="204">
        <f t="shared" si="1"/>
        <v>1604529</v>
      </c>
      <c r="O15" s="204">
        <f t="shared" si="3"/>
        <v>1512404</v>
      </c>
      <c r="P15" s="204">
        <f t="shared" si="2"/>
        <v>1462471</v>
      </c>
    </row>
    <row r="16" spans="1:16" s="212" customFormat="1" ht="18" customHeight="1">
      <c r="A16" s="210" t="s">
        <v>855</v>
      </c>
      <c r="B16" s="205"/>
      <c r="C16" s="204">
        <f>SUM(C17)</f>
        <v>1</v>
      </c>
      <c r="D16" s="204">
        <f>SUM(D17:D18)</f>
        <v>2908</v>
      </c>
      <c r="E16" s="205"/>
      <c r="F16" s="205"/>
      <c r="G16" s="205"/>
      <c r="H16" s="211"/>
      <c r="I16" s="211"/>
      <c r="J16" s="211"/>
      <c r="K16" s="211"/>
      <c r="L16" s="274"/>
      <c r="M16" s="274"/>
      <c r="N16" s="204"/>
      <c r="O16" s="204">
        <f t="shared" si="3"/>
        <v>1</v>
      </c>
      <c r="P16" s="204">
        <f t="shared" si="2"/>
        <v>2908</v>
      </c>
    </row>
    <row r="17" spans="1:16" s="212" customFormat="1" ht="18" customHeight="1">
      <c r="A17" s="206" t="s">
        <v>856</v>
      </c>
      <c r="B17" s="205"/>
      <c r="C17" s="205">
        <v>1</v>
      </c>
      <c r="D17" s="205">
        <v>1</v>
      </c>
      <c r="E17" s="205"/>
      <c r="F17" s="205"/>
      <c r="G17" s="205"/>
      <c r="H17" s="211"/>
      <c r="I17" s="211"/>
      <c r="J17" s="211"/>
      <c r="K17" s="211"/>
      <c r="L17" s="274"/>
      <c r="M17" s="274"/>
      <c r="N17" s="204"/>
      <c r="O17" s="204">
        <f t="shared" si="3"/>
        <v>1</v>
      </c>
      <c r="P17" s="204">
        <f t="shared" si="2"/>
        <v>1</v>
      </c>
    </row>
    <row r="18" spans="1:16" s="212" customFormat="1" ht="18" customHeight="1">
      <c r="A18" s="206" t="s">
        <v>918</v>
      </c>
      <c r="B18" s="205"/>
      <c r="C18" s="205"/>
      <c r="D18" s="205">
        <v>2907</v>
      </c>
      <c r="E18" s="205"/>
      <c r="F18" s="205"/>
      <c r="G18" s="205"/>
      <c r="H18" s="211"/>
      <c r="I18" s="211"/>
      <c r="J18" s="211"/>
      <c r="K18" s="211"/>
      <c r="L18" s="274"/>
      <c r="M18" s="274"/>
      <c r="N18" s="204"/>
      <c r="O18" s="204"/>
      <c r="P18" s="204">
        <f t="shared" si="2"/>
        <v>2907</v>
      </c>
    </row>
    <row r="19" spans="1:16" s="212" customFormat="1" ht="18" customHeight="1">
      <c r="A19" s="210" t="s">
        <v>755</v>
      </c>
      <c r="B19" s="204">
        <f>SUM(B20+B23+B28+B29)</f>
        <v>1918951</v>
      </c>
      <c r="C19" s="204">
        <f>SUM(C20+C23+C28+C29)</f>
        <v>1918981</v>
      </c>
      <c r="D19" s="204">
        <f>SUM(D20+D23+D28+D29)</f>
        <v>1918981</v>
      </c>
      <c r="E19" s="204">
        <f aca="true" t="shared" si="6" ref="E19:M19">SUM(E20+E23+E28+E29)</f>
        <v>0</v>
      </c>
      <c r="F19" s="204">
        <f t="shared" si="6"/>
        <v>0</v>
      </c>
      <c r="G19" s="204">
        <f t="shared" si="6"/>
        <v>0</v>
      </c>
      <c r="H19" s="204">
        <f t="shared" si="6"/>
        <v>0</v>
      </c>
      <c r="I19" s="204">
        <f t="shared" si="6"/>
        <v>0</v>
      </c>
      <c r="J19" s="204">
        <f t="shared" si="6"/>
        <v>0</v>
      </c>
      <c r="K19" s="204">
        <f t="shared" si="6"/>
        <v>0</v>
      </c>
      <c r="L19" s="204">
        <f t="shared" si="6"/>
        <v>0</v>
      </c>
      <c r="M19" s="998">
        <f t="shared" si="6"/>
        <v>0</v>
      </c>
      <c r="N19" s="204">
        <f t="shared" si="1"/>
        <v>1918951</v>
      </c>
      <c r="O19" s="204">
        <f t="shared" si="3"/>
        <v>1918981</v>
      </c>
      <c r="P19" s="204">
        <f t="shared" si="2"/>
        <v>1918981</v>
      </c>
    </row>
    <row r="20" spans="1:16" s="212" customFormat="1" ht="18" customHeight="1">
      <c r="A20" s="206" t="s">
        <v>756</v>
      </c>
      <c r="B20" s="213">
        <f>SUM(B21:B22)</f>
        <v>430000</v>
      </c>
      <c r="C20" s="213">
        <f>SUM(C21:C22)</f>
        <v>430000</v>
      </c>
      <c r="D20" s="213">
        <f>SUM(D21:D22)</f>
        <v>430000</v>
      </c>
      <c r="E20" s="214"/>
      <c r="F20" s="214"/>
      <c r="G20" s="214"/>
      <c r="H20" s="214"/>
      <c r="I20" s="214"/>
      <c r="J20" s="214"/>
      <c r="K20" s="214"/>
      <c r="L20" s="275"/>
      <c r="M20" s="275"/>
      <c r="N20" s="204">
        <f t="shared" si="1"/>
        <v>430000</v>
      </c>
      <c r="O20" s="204">
        <f t="shared" si="3"/>
        <v>430000</v>
      </c>
      <c r="P20" s="204">
        <f t="shared" si="2"/>
        <v>430000</v>
      </c>
    </row>
    <row r="21" spans="1:16" s="212" customFormat="1" ht="18" customHeight="1">
      <c r="A21" s="215" t="s">
        <v>757</v>
      </c>
      <c r="B21" s="211">
        <v>320000</v>
      </c>
      <c r="C21" s="211">
        <v>320000</v>
      </c>
      <c r="D21" s="211">
        <v>320000</v>
      </c>
      <c r="E21" s="211"/>
      <c r="F21" s="211"/>
      <c r="G21" s="211"/>
      <c r="H21" s="211"/>
      <c r="I21" s="211"/>
      <c r="J21" s="211"/>
      <c r="K21" s="211"/>
      <c r="L21" s="274"/>
      <c r="M21" s="274"/>
      <c r="N21" s="204">
        <f t="shared" si="1"/>
        <v>320000</v>
      </c>
      <c r="O21" s="204">
        <f t="shared" si="3"/>
        <v>320000</v>
      </c>
      <c r="P21" s="204">
        <f t="shared" si="2"/>
        <v>320000</v>
      </c>
    </row>
    <row r="22" spans="1:16" s="212" customFormat="1" ht="18" customHeight="1">
      <c r="A22" s="216" t="s">
        <v>758</v>
      </c>
      <c r="B22" s="214">
        <v>110000</v>
      </c>
      <c r="C22" s="214">
        <v>110000</v>
      </c>
      <c r="D22" s="214">
        <v>110000</v>
      </c>
      <c r="E22" s="214"/>
      <c r="F22" s="214"/>
      <c r="G22" s="214"/>
      <c r="H22" s="214"/>
      <c r="I22" s="214"/>
      <c r="J22" s="214"/>
      <c r="K22" s="214"/>
      <c r="L22" s="275"/>
      <c r="M22" s="275"/>
      <c r="N22" s="204">
        <f t="shared" si="1"/>
        <v>110000</v>
      </c>
      <c r="O22" s="204">
        <f t="shared" si="3"/>
        <v>110000</v>
      </c>
      <c r="P22" s="204">
        <f t="shared" si="2"/>
        <v>110000</v>
      </c>
    </row>
    <row r="23" spans="1:16" s="212" customFormat="1" ht="18" customHeight="1">
      <c r="A23" s="206" t="s">
        <v>34</v>
      </c>
      <c r="B23" s="213">
        <f>SUM(B24:B27)</f>
        <v>1468951</v>
      </c>
      <c r="C23" s="213">
        <f>SUM(C24:C27)</f>
        <v>1468951</v>
      </c>
      <c r="D23" s="213">
        <f>SUM(D24:D27)</f>
        <v>1468951</v>
      </c>
      <c r="E23" s="214"/>
      <c r="F23" s="214"/>
      <c r="G23" s="214"/>
      <c r="H23" s="214"/>
      <c r="I23" s="214"/>
      <c r="J23" s="214"/>
      <c r="K23" s="214"/>
      <c r="L23" s="275"/>
      <c r="M23" s="275"/>
      <c r="N23" s="204">
        <f t="shared" si="1"/>
        <v>1468951</v>
      </c>
      <c r="O23" s="204">
        <f t="shared" si="3"/>
        <v>1468951</v>
      </c>
      <c r="P23" s="204">
        <f t="shared" si="2"/>
        <v>1468951</v>
      </c>
    </row>
    <row r="24" spans="1:16" s="212" customFormat="1" ht="18" customHeight="1">
      <c r="A24" s="215" t="s">
        <v>760</v>
      </c>
      <c r="B24" s="214">
        <v>1318951</v>
      </c>
      <c r="C24" s="214">
        <v>1318951</v>
      </c>
      <c r="D24" s="214">
        <v>1318951</v>
      </c>
      <c r="E24" s="214"/>
      <c r="F24" s="214"/>
      <c r="G24" s="214"/>
      <c r="H24" s="214"/>
      <c r="I24" s="214"/>
      <c r="J24" s="214"/>
      <c r="K24" s="214"/>
      <c r="L24" s="275"/>
      <c r="M24" s="275"/>
      <c r="N24" s="204">
        <f t="shared" si="1"/>
        <v>1318951</v>
      </c>
      <c r="O24" s="204">
        <f t="shared" si="3"/>
        <v>1318951</v>
      </c>
      <c r="P24" s="204">
        <f t="shared" si="2"/>
        <v>1318951</v>
      </c>
    </row>
    <row r="25" spans="1:16" s="212" customFormat="1" ht="18" customHeight="1">
      <c r="A25" s="215" t="s">
        <v>761</v>
      </c>
      <c r="B25" s="214">
        <v>110000</v>
      </c>
      <c r="C25" s="214">
        <v>110000</v>
      </c>
      <c r="D25" s="214">
        <v>110000</v>
      </c>
      <c r="E25" s="214"/>
      <c r="F25" s="214"/>
      <c r="G25" s="214"/>
      <c r="H25" s="214"/>
      <c r="I25" s="214"/>
      <c r="J25" s="214"/>
      <c r="K25" s="214"/>
      <c r="L25" s="275"/>
      <c r="M25" s="275"/>
      <c r="N25" s="204">
        <f t="shared" si="1"/>
        <v>110000</v>
      </c>
      <c r="O25" s="204">
        <f t="shared" si="3"/>
        <v>110000</v>
      </c>
      <c r="P25" s="204">
        <f t="shared" si="2"/>
        <v>110000</v>
      </c>
    </row>
    <row r="26" spans="1:16" s="212" customFormat="1" ht="18" customHeight="1">
      <c r="A26" s="215" t="s">
        <v>759</v>
      </c>
      <c r="B26" s="214">
        <v>35000</v>
      </c>
      <c r="C26" s="214">
        <v>35000</v>
      </c>
      <c r="D26" s="214">
        <v>35000</v>
      </c>
      <c r="E26" s="214"/>
      <c r="F26" s="214"/>
      <c r="G26" s="214"/>
      <c r="H26" s="214"/>
      <c r="I26" s="214"/>
      <c r="J26" s="214"/>
      <c r="K26" s="214"/>
      <c r="L26" s="275"/>
      <c r="M26" s="275"/>
      <c r="N26" s="204">
        <f t="shared" si="1"/>
        <v>35000</v>
      </c>
      <c r="O26" s="204">
        <f t="shared" si="3"/>
        <v>35000</v>
      </c>
      <c r="P26" s="204">
        <f t="shared" si="2"/>
        <v>35000</v>
      </c>
    </row>
    <row r="27" spans="1:16" ht="18" customHeight="1">
      <c r="A27" s="215" t="s">
        <v>762</v>
      </c>
      <c r="B27" s="214">
        <v>5000</v>
      </c>
      <c r="C27" s="214">
        <v>5000</v>
      </c>
      <c r="D27" s="214">
        <v>5000</v>
      </c>
      <c r="E27" s="213"/>
      <c r="F27" s="213"/>
      <c r="G27" s="213"/>
      <c r="H27" s="213"/>
      <c r="I27" s="213"/>
      <c r="J27" s="213"/>
      <c r="K27" s="213"/>
      <c r="L27" s="276"/>
      <c r="M27" s="276"/>
      <c r="N27" s="204">
        <f t="shared" si="1"/>
        <v>5000</v>
      </c>
      <c r="O27" s="204">
        <f t="shared" si="3"/>
        <v>5000</v>
      </c>
      <c r="P27" s="204">
        <f t="shared" si="2"/>
        <v>5000</v>
      </c>
    </row>
    <row r="28" spans="1:16" s="212" customFormat="1" ht="18" customHeight="1">
      <c r="A28" s="217" t="s">
        <v>35</v>
      </c>
      <c r="B28" s="213">
        <v>19500</v>
      </c>
      <c r="C28" s="213">
        <v>19500</v>
      </c>
      <c r="D28" s="213">
        <v>19500</v>
      </c>
      <c r="E28" s="213"/>
      <c r="F28" s="213"/>
      <c r="G28" s="213"/>
      <c r="H28" s="213"/>
      <c r="I28" s="213"/>
      <c r="J28" s="213"/>
      <c r="K28" s="213"/>
      <c r="L28" s="276"/>
      <c r="M28" s="276"/>
      <c r="N28" s="204">
        <f t="shared" si="1"/>
        <v>19500</v>
      </c>
      <c r="O28" s="204">
        <f t="shared" si="3"/>
        <v>19500</v>
      </c>
      <c r="P28" s="204">
        <f t="shared" si="2"/>
        <v>19500</v>
      </c>
    </row>
    <row r="29" spans="1:16" s="212" customFormat="1" ht="18" customHeight="1">
      <c r="A29" s="217" t="s">
        <v>36</v>
      </c>
      <c r="B29" s="213">
        <v>500</v>
      </c>
      <c r="C29" s="213">
        <v>530</v>
      </c>
      <c r="D29" s="213">
        <v>530</v>
      </c>
      <c r="E29" s="187"/>
      <c r="F29" s="187"/>
      <c r="G29" s="187"/>
      <c r="H29" s="187"/>
      <c r="I29" s="187"/>
      <c r="J29" s="187"/>
      <c r="K29" s="187"/>
      <c r="L29" s="277"/>
      <c r="M29" s="277"/>
      <c r="N29" s="204">
        <f t="shared" si="1"/>
        <v>500</v>
      </c>
      <c r="O29" s="204">
        <f t="shared" si="3"/>
        <v>530</v>
      </c>
      <c r="P29" s="204">
        <f t="shared" si="2"/>
        <v>530</v>
      </c>
    </row>
    <row r="30" spans="1:16" ht="18" customHeight="1">
      <c r="A30" s="209" t="s">
        <v>763</v>
      </c>
      <c r="B30" s="187">
        <f aca="true" t="shared" si="7" ref="B30:M30">SUM(B31+B32+B33+B34+B36+B37+B38+B39)</f>
        <v>1000009</v>
      </c>
      <c r="C30" s="187">
        <f>SUM(C31+C32+C33+C34+C36+C37+C38+C39)</f>
        <v>1000009</v>
      </c>
      <c r="D30" s="187">
        <f>SUM(D31+D32+D33+D34+D36+D37+D38+D39)</f>
        <v>998112</v>
      </c>
      <c r="E30" s="187">
        <f t="shared" si="7"/>
        <v>6125</v>
      </c>
      <c r="F30" s="187">
        <f t="shared" si="7"/>
        <v>6683</v>
      </c>
      <c r="G30" s="187">
        <f t="shared" si="7"/>
        <v>8393</v>
      </c>
      <c r="H30" s="187">
        <f t="shared" si="7"/>
        <v>191995</v>
      </c>
      <c r="I30" s="187">
        <f>SUM(I31+I32+I33+I34+I36+I37+I38+I39)</f>
        <v>236916</v>
      </c>
      <c r="J30" s="187">
        <f>SUM(J31+J32+J33+J34+J36+J37+J38+J39)</f>
        <v>242752</v>
      </c>
      <c r="K30" s="187">
        <f t="shared" si="7"/>
        <v>26480</v>
      </c>
      <c r="L30" s="187">
        <f t="shared" si="7"/>
        <v>0</v>
      </c>
      <c r="M30" s="277">
        <f t="shared" si="7"/>
        <v>0</v>
      </c>
      <c r="N30" s="204">
        <f t="shared" si="1"/>
        <v>1224609</v>
      </c>
      <c r="O30" s="204">
        <f t="shared" si="3"/>
        <v>1243608</v>
      </c>
      <c r="P30" s="204">
        <f t="shared" si="2"/>
        <v>1249257</v>
      </c>
    </row>
    <row r="31" spans="1:16" ht="18" customHeight="1">
      <c r="A31" s="206" t="s">
        <v>238</v>
      </c>
      <c r="B31" s="213">
        <v>521842</v>
      </c>
      <c r="C31" s="213">
        <v>521842</v>
      </c>
      <c r="D31" s="213">
        <v>520520</v>
      </c>
      <c r="E31" s="213"/>
      <c r="F31" s="213"/>
      <c r="G31" s="213"/>
      <c r="H31" s="213"/>
      <c r="I31" s="213"/>
      <c r="J31" s="213"/>
      <c r="K31" s="213">
        <v>2000</v>
      </c>
      <c r="L31" s="276">
        <v>0</v>
      </c>
      <c r="M31" s="276">
        <v>0</v>
      </c>
      <c r="N31" s="204">
        <f t="shared" si="1"/>
        <v>523842</v>
      </c>
      <c r="O31" s="204">
        <f t="shared" si="3"/>
        <v>521842</v>
      </c>
      <c r="P31" s="204">
        <f t="shared" si="2"/>
        <v>520520</v>
      </c>
    </row>
    <row r="32" spans="1:16" ht="18" customHeight="1">
      <c r="A32" s="206" t="s">
        <v>619</v>
      </c>
      <c r="B32" s="213">
        <v>21082</v>
      </c>
      <c r="C32" s="213">
        <v>21082</v>
      </c>
      <c r="D32" s="213">
        <v>20327</v>
      </c>
      <c r="E32" s="213">
        <v>6125</v>
      </c>
      <c r="F32" s="213">
        <v>6125</v>
      </c>
      <c r="G32" s="213">
        <v>7125</v>
      </c>
      <c r="H32" s="213">
        <v>53055</v>
      </c>
      <c r="I32" s="213">
        <v>79908</v>
      </c>
      <c r="J32" s="213">
        <v>81787</v>
      </c>
      <c r="K32" s="213">
        <v>10378</v>
      </c>
      <c r="L32" s="276">
        <v>0</v>
      </c>
      <c r="M32" s="276">
        <v>0</v>
      </c>
      <c r="N32" s="204">
        <f t="shared" si="1"/>
        <v>90640</v>
      </c>
      <c r="O32" s="204">
        <f t="shared" si="3"/>
        <v>107115</v>
      </c>
      <c r="P32" s="204">
        <f t="shared" si="2"/>
        <v>109239</v>
      </c>
    </row>
    <row r="33" spans="1:16" ht="18" customHeight="1">
      <c r="A33" s="206" t="s">
        <v>37</v>
      </c>
      <c r="B33" s="213">
        <v>32100</v>
      </c>
      <c r="C33" s="213">
        <v>32100</v>
      </c>
      <c r="D33" s="213">
        <v>32100</v>
      </c>
      <c r="E33" s="213"/>
      <c r="F33" s="213">
        <v>364</v>
      </c>
      <c r="G33" s="213">
        <v>964</v>
      </c>
      <c r="H33" s="213"/>
      <c r="I33" s="213"/>
      <c r="J33" s="213"/>
      <c r="K33" s="213"/>
      <c r="L33" s="276"/>
      <c r="M33" s="276"/>
      <c r="N33" s="204">
        <f t="shared" si="1"/>
        <v>32100</v>
      </c>
      <c r="O33" s="204">
        <f t="shared" si="3"/>
        <v>32464</v>
      </c>
      <c r="P33" s="204">
        <f t="shared" si="2"/>
        <v>33064</v>
      </c>
    </row>
    <row r="34" spans="1:16" ht="18" customHeight="1">
      <c r="A34" s="206" t="s">
        <v>38</v>
      </c>
      <c r="B34" s="213">
        <v>101169</v>
      </c>
      <c r="C34" s="213">
        <v>101169</v>
      </c>
      <c r="D34" s="213">
        <v>101169</v>
      </c>
      <c r="E34" s="213"/>
      <c r="F34" s="213"/>
      <c r="G34" s="213"/>
      <c r="H34" s="213"/>
      <c r="I34" s="213"/>
      <c r="J34" s="213"/>
      <c r="K34" s="213"/>
      <c r="L34" s="276"/>
      <c r="M34" s="276"/>
      <c r="N34" s="204">
        <f t="shared" si="1"/>
        <v>101169</v>
      </c>
      <c r="O34" s="204">
        <f t="shared" si="3"/>
        <v>101169</v>
      </c>
      <c r="P34" s="204">
        <f t="shared" si="2"/>
        <v>101169</v>
      </c>
    </row>
    <row r="35" spans="1:16" ht="18" customHeight="1">
      <c r="A35" s="206" t="s">
        <v>764</v>
      </c>
      <c r="B35" s="213">
        <v>45000</v>
      </c>
      <c r="C35" s="213">
        <v>45000</v>
      </c>
      <c r="D35" s="213">
        <v>45000</v>
      </c>
      <c r="E35" s="213"/>
      <c r="F35" s="213"/>
      <c r="G35" s="213"/>
      <c r="H35" s="213"/>
      <c r="I35" s="213"/>
      <c r="J35" s="213"/>
      <c r="K35" s="213"/>
      <c r="L35" s="276"/>
      <c r="M35" s="276"/>
      <c r="N35" s="204">
        <f t="shared" si="1"/>
        <v>45000</v>
      </c>
      <c r="O35" s="204">
        <f t="shared" si="3"/>
        <v>45000</v>
      </c>
      <c r="P35" s="204">
        <f t="shared" si="2"/>
        <v>45000</v>
      </c>
    </row>
    <row r="36" spans="1:16" ht="18" customHeight="1">
      <c r="A36" s="206" t="s">
        <v>765</v>
      </c>
      <c r="B36" s="213"/>
      <c r="C36" s="213"/>
      <c r="D36" s="213"/>
      <c r="E36" s="213"/>
      <c r="F36" s="213"/>
      <c r="G36" s="213"/>
      <c r="H36" s="213">
        <v>92312</v>
      </c>
      <c r="I36" s="213">
        <v>92312</v>
      </c>
      <c r="J36" s="213">
        <v>94111</v>
      </c>
      <c r="K36" s="213"/>
      <c r="L36" s="276"/>
      <c r="M36" s="276"/>
      <c r="N36" s="204">
        <f t="shared" si="1"/>
        <v>92312</v>
      </c>
      <c r="O36" s="204">
        <f>SUM(C36+F36+I36+L36)</f>
        <v>92312</v>
      </c>
      <c r="P36" s="204">
        <f t="shared" si="2"/>
        <v>94111</v>
      </c>
    </row>
    <row r="37" spans="1:16" ht="18" customHeight="1">
      <c r="A37" s="218" t="s">
        <v>154</v>
      </c>
      <c r="B37" s="213">
        <v>176746</v>
      </c>
      <c r="C37" s="213">
        <v>176746</v>
      </c>
      <c r="D37" s="213">
        <v>176923</v>
      </c>
      <c r="E37" s="213"/>
      <c r="F37" s="213"/>
      <c r="G37" s="213"/>
      <c r="H37" s="213">
        <v>46628</v>
      </c>
      <c r="I37" s="213">
        <v>64606</v>
      </c>
      <c r="J37" s="213">
        <v>66670</v>
      </c>
      <c r="K37" s="213">
        <v>14102</v>
      </c>
      <c r="L37" s="276">
        <v>0</v>
      </c>
      <c r="M37" s="276">
        <v>0</v>
      </c>
      <c r="N37" s="204">
        <f t="shared" si="1"/>
        <v>237476</v>
      </c>
      <c r="O37" s="204">
        <f t="shared" si="3"/>
        <v>241352</v>
      </c>
      <c r="P37" s="204">
        <f t="shared" si="2"/>
        <v>243593</v>
      </c>
    </row>
    <row r="38" spans="1:16" s="190" customFormat="1" ht="18" customHeight="1">
      <c r="A38" s="206" t="s">
        <v>766</v>
      </c>
      <c r="B38" s="213">
        <v>16766</v>
      </c>
      <c r="C38" s="213">
        <v>16766</v>
      </c>
      <c r="D38" s="213">
        <v>16766</v>
      </c>
      <c r="E38" s="187"/>
      <c r="F38" s="213">
        <v>20</v>
      </c>
      <c r="G38" s="213">
        <v>50</v>
      </c>
      <c r="H38" s="187"/>
      <c r="I38" s="213">
        <v>90</v>
      </c>
      <c r="J38" s="213">
        <v>184</v>
      </c>
      <c r="K38" s="187"/>
      <c r="L38" s="277"/>
      <c r="M38" s="277"/>
      <c r="N38" s="204">
        <f t="shared" si="1"/>
        <v>16766</v>
      </c>
      <c r="O38" s="204">
        <f t="shared" si="3"/>
        <v>16876</v>
      </c>
      <c r="P38" s="204">
        <f t="shared" si="2"/>
        <v>17000</v>
      </c>
    </row>
    <row r="39" spans="1:16" ht="18" customHeight="1">
      <c r="A39" s="206" t="s">
        <v>137</v>
      </c>
      <c r="B39" s="213">
        <v>130304</v>
      </c>
      <c r="C39" s="213">
        <v>130304</v>
      </c>
      <c r="D39" s="213">
        <v>130307</v>
      </c>
      <c r="E39" s="213"/>
      <c r="F39" s="213">
        <v>174</v>
      </c>
      <c r="G39" s="213">
        <v>254</v>
      </c>
      <c r="H39" s="213"/>
      <c r="I39" s="213"/>
      <c r="J39" s="213"/>
      <c r="K39" s="213"/>
      <c r="L39" s="276"/>
      <c r="M39" s="276"/>
      <c r="N39" s="204">
        <f t="shared" si="1"/>
        <v>130304</v>
      </c>
      <c r="O39" s="204">
        <f>SUM(C39+F39+I39+L39)</f>
        <v>130478</v>
      </c>
      <c r="P39" s="204">
        <f t="shared" si="2"/>
        <v>130561</v>
      </c>
    </row>
    <row r="40" spans="1:16" ht="18" customHeight="1">
      <c r="A40" s="210" t="s">
        <v>767</v>
      </c>
      <c r="B40" s="187">
        <f>SUM(B41:B41)</f>
        <v>191090</v>
      </c>
      <c r="C40" s="187">
        <f>SUM(C41:C41)</f>
        <v>194088</v>
      </c>
      <c r="D40" s="187">
        <f>SUM(D41:D43)</f>
        <v>162348</v>
      </c>
      <c r="E40" s="187">
        <f>SUM(E41:E41)</f>
        <v>0</v>
      </c>
      <c r="F40" s="187">
        <f>SUM(F41:F41)</f>
        <v>0</v>
      </c>
      <c r="G40" s="187">
        <f>SUM(G41:G41)</f>
        <v>0</v>
      </c>
      <c r="H40" s="187">
        <f aca="true" t="shared" si="8" ref="H40:M40">SUM(H41:H41)</f>
        <v>0</v>
      </c>
      <c r="I40" s="187">
        <f t="shared" si="8"/>
        <v>0</v>
      </c>
      <c r="J40" s="187">
        <f t="shared" si="8"/>
        <v>0</v>
      </c>
      <c r="K40" s="187">
        <f t="shared" si="8"/>
        <v>0</v>
      </c>
      <c r="L40" s="187">
        <f t="shared" si="8"/>
        <v>0</v>
      </c>
      <c r="M40" s="277">
        <f t="shared" si="8"/>
        <v>0</v>
      </c>
      <c r="N40" s="204">
        <f t="shared" si="1"/>
        <v>191090</v>
      </c>
      <c r="O40" s="204">
        <f t="shared" si="3"/>
        <v>194088</v>
      </c>
      <c r="P40" s="204">
        <f t="shared" si="2"/>
        <v>162348</v>
      </c>
    </row>
    <row r="41" spans="1:16" s="190" customFormat="1" ht="18" customHeight="1">
      <c r="A41" s="206" t="s">
        <v>138</v>
      </c>
      <c r="B41" s="213">
        <v>191090</v>
      </c>
      <c r="C41" s="213">
        <v>194088</v>
      </c>
      <c r="D41" s="213">
        <v>162088</v>
      </c>
      <c r="E41" s="187"/>
      <c r="F41" s="187"/>
      <c r="G41" s="187"/>
      <c r="H41" s="187"/>
      <c r="I41" s="187"/>
      <c r="J41" s="187"/>
      <c r="K41" s="187"/>
      <c r="L41" s="277"/>
      <c r="M41" s="277"/>
      <c r="N41" s="204">
        <f t="shared" si="1"/>
        <v>191090</v>
      </c>
      <c r="O41" s="204">
        <f>SUM(C41+F41+I41+L41)</f>
        <v>194088</v>
      </c>
      <c r="P41" s="204">
        <f t="shared" si="2"/>
        <v>162088</v>
      </c>
    </row>
    <row r="42" spans="1:16" s="190" customFormat="1" ht="18" customHeight="1">
      <c r="A42" s="206" t="s">
        <v>919</v>
      </c>
      <c r="B42" s="213"/>
      <c r="C42" s="213"/>
      <c r="D42" s="213">
        <v>10</v>
      </c>
      <c r="E42" s="187"/>
      <c r="F42" s="187"/>
      <c r="G42" s="187"/>
      <c r="H42" s="187"/>
      <c r="I42" s="187"/>
      <c r="J42" s="187"/>
      <c r="K42" s="187"/>
      <c r="L42" s="277"/>
      <c r="M42" s="277"/>
      <c r="N42" s="204"/>
      <c r="O42" s="204"/>
      <c r="P42" s="204">
        <f t="shared" si="2"/>
        <v>10</v>
      </c>
    </row>
    <row r="43" spans="1:16" s="190" customFormat="1" ht="18" customHeight="1">
      <c r="A43" s="206" t="s">
        <v>920</v>
      </c>
      <c r="B43" s="213"/>
      <c r="C43" s="213"/>
      <c r="D43" s="213">
        <v>250</v>
      </c>
      <c r="E43" s="187"/>
      <c r="F43" s="187"/>
      <c r="G43" s="187"/>
      <c r="H43" s="187"/>
      <c r="I43" s="187"/>
      <c r="J43" s="187"/>
      <c r="K43" s="187"/>
      <c r="L43" s="277"/>
      <c r="M43" s="277"/>
      <c r="N43" s="204"/>
      <c r="O43" s="204"/>
      <c r="P43" s="204">
        <f t="shared" si="2"/>
        <v>250</v>
      </c>
    </row>
    <row r="44" spans="1:16" s="190" customFormat="1" ht="18" customHeight="1">
      <c r="A44" s="210" t="s">
        <v>881</v>
      </c>
      <c r="B44" s="213"/>
      <c r="C44" s="187">
        <f>SUM(C45:C46)</f>
        <v>98909</v>
      </c>
      <c r="D44" s="187">
        <f>SUM(D45:D46)</f>
        <v>99008</v>
      </c>
      <c r="E44" s="187"/>
      <c r="F44" s="187"/>
      <c r="G44" s="187"/>
      <c r="H44" s="187"/>
      <c r="I44" s="187">
        <f>SUM(I45:I46)</f>
        <v>651</v>
      </c>
      <c r="J44" s="187">
        <f>SUM(J45:J46)</f>
        <v>3900</v>
      </c>
      <c r="K44" s="187"/>
      <c r="L44" s="277"/>
      <c r="M44" s="277"/>
      <c r="N44" s="204"/>
      <c r="O44" s="204">
        <f>SUM(C44+F44+I44+L44)</f>
        <v>99560</v>
      </c>
      <c r="P44" s="204">
        <f t="shared" si="2"/>
        <v>102908</v>
      </c>
    </row>
    <row r="45" spans="1:16" s="190" customFormat="1" ht="18" customHeight="1">
      <c r="A45" s="206" t="s">
        <v>708</v>
      </c>
      <c r="B45" s="213"/>
      <c r="C45" s="213">
        <v>96209</v>
      </c>
      <c r="D45" s="213">
        <v>96209</v>
      </c>
      <c r="E45" s="187"/>
      <c r="F45" s="187"/>
      <c r="G45" s="187"/>
      <c r="H45" s="187"/>
      <c r="I45" s="187"/>
      <c r="J45" s="187"/>
      <c r="K45" s="187"/>
      <c r="L45" s="277"/>
      <c r="M45" s="277"/>
      <c r="N45" s="204"/>
      <c r="O45" s="204">
        <f>SUM(C45+F45+I45+L45)</f>
        <v>96209</v>
      </c>
      <c r="P45" s="204">
        <f t="shared" si="2"/>
        <v>96209</v>
      </c>
    </row>
    <row r="46" spans="1:16" s="190" customFormat="1" ht="18" customHeight="1">
      <c r="A46" s="206" t="s">
        <v>709</v>
      </c>
      <c r="B46" s="213"/>
      <c r="C46" s="213">
        <v>2700</v>
      </c>
      <c r="D46" s="213">
        <v>2799</v>
      </c>
      <c r="E46" s="187"/>
      <c r="F46" s="187"/>
      <c r="G46" s="187"/>
      <c r="H46" s="187"/>
      <c r="I46" s="213">
        <v>651</v>
      </c>
      <c r="J46" s="213">
        <v>3900</v>
      </c>
      <c r="K46" s="187"/>
      <c r="L46" s="277"/>
      <c r="M46" s="277"/>
      <c r="N46" s="204"/>
      <c r="O46" s="204">
        <f>SUM(C46+F46+I46+L46)</f>
        <v>3351</v>
      </c>
      <c r="P46" s="204">
        <f t="shared" si="2"/>
        <v>6699</v>
      </c>
    </row>
    <row r="47" spans="1:16" ht="18" customHeight="1">
      <c r="A47" s="220" t="s">
        <v>882</v>
      </c>
      <c r="B47" s="187">
        <f>SUM(B48:B48)</f>
        <v>28075</v>
      </c>
      <c r="C47" s="187">
        <f>SUM(C48:C50)</f>
        <v>42745</v>
      </c>
      <c r="D47" s="187">
        <f>SUM(D48:D50)</f>
        <v>60743</v>
      </c>
      <c r="E47" s="187">
        <f>SUM(E48:E48)</f>
        <v>0</v>
      </c>
      <c r="F47" s="187">
        <f>SUM(F48:F49)</f>
        <v>990</v>
      </c>
      <c r="G47" s="187">
        <f>SUM(G48:G49)</f>
        <v>990</v>
      </c>
      <c r="H47" s="187">
        <f>SUM(H48:H48)</f>
        <v>0</v>
      </c>
      <c r="I47" s="187">
        <f>SUM(I48:I50)</f>
        <v>900</v>
      </c>
      <c r="J47" s="187">
        <f>SUM(J48:J50)</f>
        <v>1800</v>
      </c>
      <c r="K47" s="187">
        <f>SUM(K48:K48)</f>
        <v>0</v>
      </c>
      <c r="L47" s="187">
        <f>SUM(L48:L48)</f>
        <v>0</v>
      </c>
      <c r="M47" s="277">
        <f>SUM(M48:M48)</f>
        <v>0</v>
      </c>
      <c r="N47" s="204">
        <f t="shared" si="1"/>
        <v>28075</v>
      </c>
      <c r="O47" s="204">
        <f t="shared" si="3"/>
        <v>44635</v>
      </c>
      <c r="P47" s="204">
        <f t="shared" si="2"/>
        <v>63533</v>
      </c>
    </row>
    <row r="48" spans="1:16" s="212" customFormat="1" ht="18" customHeight="1">
      <c r="A48" s="219" t="s">
        <v>39</v>
      </c>
      <c r="B48" s="213">
        <v>28075</v>
      </c>
      <c r="C48" s="213">
        <v>28075</v>
      </c>
      <c r="D48" s="213">
        <v>28075</v>
      </c>
      <c r="E48" s="214"/>
      <c r="F48" s="214"/>
      <c r="G48" s="214"/>
      <c r="H48" s="214"/>
      <c r="I48" s="214"/>
      <c r="J48" s="214"/>
      <c r="K48" s="214"/>
      <c r="L48" s="275"/>
      <c r="M48" s="275"/>
      <c r="N48" s="204">
        <f t="shared" si="1"/>
        <v>28075</v>
      </c>
      <c r="O48" s="204">
        <f t="shared" si="3"/>
        <v>28075</v>
      </c>
      <c r="P48" s="204">
        <f t="shared" si="2"/>
        <v>28075</v>
      </c>
    </row>
    <row r="49" spans="1:16" s="212" customFormat="1" ht="18" customHeight="1">
      <c r="A49" s="219" t="s">
        <v>708</v>
      </c>
      <c r="B49" s="213"/>
      <c r="C49" s="213">
        <v>14070</v>
      </c>
      <c r="D49" s="213">
        <v>29706</v>
      </c>
      <c r="E49" s="214"/>
      <c r="F49" s="214">
        <v>990</v>
      </c>
      <c r="G49" s="214">
        <v>990</v>
      </c>
      <c r="H49" s="214"/>
      <c r="I49" s="214"/>
      <c r="J49" s="214"/>
      <c r="K49" s="214"/>
      <c r="L49" s="275"/>
      <c r="M49" s="275"/>
      <c r="N49" s="204"/>
      <c r="O49" s="204">
        <f t="shared" si="3"/>
        <v>15060</v>
      </c>
      <c r="P49" s="204">
        <f t="shared" si="2"/>
        <v>30696</v>
      </c>
    </row>
    <row r="50" spans="1:16" s="212" customFormat="1" ht="18" customHeight="1">
      <c r="A50" s="219" t="s">
        <v>709</v>
      </c>
      <c r="B50" s="213"/>
      <c r="C50" s="213">
        <v>600</v>
      </c>
      <c r="D50" s="213">
        <v>2962</v>
      </c>
      <c r="E50" s="214"/>
      <c r="F50" s="214"/>
      <c r="G50" s="214"/>
      <c r="H50" s="214"/>
      <c r="I50" s="214">
        <v>900</v>
      </c>
      <c r="J50" s="214">
        <v>1800</v>
      </c>
      <c r="K50" s="214"/>
      <c r="L50" s="275"/>
      <c r="M50" s="275"/>
      <c r="N50" s="204"/>
      <c r="O50" s="204">
        <f t="shared" si="3"/>
        <v>1500</v>
      </c>
      <c r="P50" s="204">
        <f t="shared" si="2"/>
        <v>4762</v>
      </c>
    </row>
    <row r="51" spans="1:16" s="212" customFormat="1" ht="18" customHeight="1">
      <c r="A51" s="220" t="s">
        <v>770</v>
      </c>
      <c r="B51" s="187">
        <f>SUM(B6+B10+B13+B19+B30+B40+B47)</f>
        <v>6114785</v>
      </c>
      <c r="C51" s="187">
        <f>SUM(C6+C10+C13+C19+C30+C40+C47+C44+C16)</f>
        <v>6153365</v>
      </c>
      <c r="D51" s="187">
        <f>SUM(D6+D10+D13+D19+D30+D40+D47+D44+D16)</f>
        <v>6208900</v>
      </c>
      <c r="E51" s="187">
        <f>SUM(E6+E10+E13+E19+E30+E40+E47)</f>
        <v>42213</v>
      </c>
      <c r="F51" s="187">
        <f>SUM(F6+F10+F13+F19+F30+F40+F47)</f>
        <v>42963</v>
      </c>
      <c r="G51" s="187">
        <f>SUM(G6+G10+G13+G19+G30+G40+G47)</f>
        <v>44955</v>
      </c>
      <c r="H51" s="187">
        <f>SUM(H6+H10+H13+H19+H30+H40+H47)</f>
        <v>303205</v>
      </c>
      <c r="I51" s="187">
        <f>SUM(I6+I10+I13+I19+I30+I40+I47+I49+I44)</f>
        <v>361942</v>
      </c>
      <c r="J51" s="187">
        <f>SUM(J6+J10+J13+J19+J30+J40+J47+J49+J44)</f>
        <v>371677</v>
      </c>
      <c r="K51" s="187">
        <f>SUM(K6+K10+K13+K19+K30+K40+K47)</f>
        <v>37680</v>
      </c>
      <c r="L51" s="187">
        <f>SUM(L6+L10+L13+L19+L30+L40+L47)</f>
        <v>0</v>
      </c>
      <c r="M51" s="277">
        <f>SUM(M6+M10+M13+M19+M30+M40+M47)</f>
        <v>0</v>
      </c>
      <c r="N51" s="204">
        <f t="shared" si="1"/>
        <v>6497883</v>
      </c>
      <c r="O51" s="204">
        <f>SUM(C51+F51+I51+L51)</f>
        <v>6558270</v>
      </c>
      <c r="P51" s="204">
        <f t="shared" si="2"/>
        <v>6625532</v>
      </c>
    </row>
    <row r="52" spans="1:16" s="208" customFormat="1" ht="18" customHeight="1">
      <c r="A52" s="221" t="s">
        <v>806</v>
      </c>
      <c r="B52" s="187">
        <f aca="true" t="shared" si="9" ref="B52:K52">SUM(B53:B53)</f>
        <v>709262</v>
      </c>
      <c r="C52" s="187">
        <f t="shared" si="9"/>
        <v>709262</v>
      </c>
      <c r="D52" s="187">
        <f>SUM(D53:D54)</f>
        <v>875656</v>
      </c>
      <c r="E52" s="187">
        <f t="shared" si="9"/>
        <v>0</v>
      </c>
      <c r="F52" s="187">
        <f t="shared" si="9"/>
        <v>0</v>
      </c>
      <c r="G52" s="187">
        <f t="shared" si="9"/>
        <v>0</v>
      </c>
      <c r="H52" s="187">
        <f t="shared" si="9"/>
        <v>0</v>
      </c>
      <c r="I52" s="187">
        <f t="shared" si="9"/>
        <v>0</v>
      </c>
      <c r="J52" s="187">
        <f t="shared" si="9"/>
        <v>0</v>
      </c>
      <c r="K52" s="187">
        <f t="shared" si="9"/>
        <v>0</v>
      </c>
      <c r="L52" s="277">
        <v>0</v>
      </c>
      <c r="M52" s="277">
        <v>0</v>
      </c>
      <c r="N52" s="204">
        <f>SUM(B52+E52+H52+K52)</f>
        <v>709262</v>
      </c>
      <c r="O52" s="204">
        <f t="shared" si="3"/>
        <v>709262</v>
      </c>
      <c r="P52" s="204">
        <f>SUM(D52+G52+J52+M52)</f>
        <v>875656</v>
      </c>
    </row>
    <row r="53" spans="1:16" s="190" customFormat="1" ht="18" customHeight="1">
      <c r="A53" s="222" t="s">
        <v>808</v>
      </c>
      <c r="B53" s="213">
        <v>709262</v>
      </c>
      <c r="C53" s="213">
        <v>709262</v>
      </c>
      <c r="D53" s="213">
        <v>709262</v>
      </c>
      <c r="E53" s="187"/>
      <c r="F53" s="187"/>
      <c r="G53" s="187"/>
      <c r="H53" s="187"/>
      <c r="I53" s="187"/>
      <c r="J53" s="187"/>
      <c r="K53" s="187"/>
      <c r="L53" s="277"/>
      <c r="M53" s="277"/>
      <c r="N53" s="204">
        <f t="shared" si="1"/>
        <v>709262</v>
      </c>
      <c r="O53" s="204">
        <f t="shared" si="3"/>
        <v>709262</v>
      </c>
      <c r="P53" s="204">
        <f t="shared" si="2"/>
        <v>709262</v>
      </c>
    </row>
    <row r="54" spans="1:16" s="190" customFormat="1" ht="18" customHeight="1">
      <c r="A54" s="56" t="s">
        <v>1001</v>
      </c>
      <c r="B54" s="213"/>
      <c r="C54" s="213"/>
      <c r="D54" s="57">
        <v>166394</v>
      </c>
      <c r="E54" s="187"/>
      <c r="F54" s="187"/>
      <c r="G54" s="187"/>
      <c r="H54" s="187"/>
      <c r="I54" s="187"/>
      <c r="J54" s="187"/>
      <c r="K54" s="187"/>
      <c r="L54" s="277"/>
      <c r="M54" s="277"/>
      <c r="N54" s="204"/>
      <c r="O54" s="204"/>
      <c r="P54" s="204">
        <f t="shared" si="2"/>
        <v>166394</v>
      </c>
    </row>
    <row r="55" spans="1:16" s="190" customFormat="1" ht="18" customHeight="1">
      <c r="A55" s="221" t="s">
        <v>921</v>
      </c>
      <c r="B55" s="213"/>
      <c r="C55" s="213"/>
      <c r="D55" s="213">
        <v>560500</v>
      </c>
      <c r="E55" s="187"/>
      <c r="F55" s="187"/>
      <c r="G55" s="187"/>
      <c r="H55" s="187"/>
      <c r="I55" s="187"/>
      <c r="J55" s="187"/>
      <c r="K55" s="187"/>
      <c r="L55" s="277"/>
      <c r="M55" s="277"/>
      <c r="N55" s="204"/>
      <c r="O55" s="204"/>
      <c r="P55" s="204">
        <f t="shared" si="2"/>
        <v>560500</v>
      </c>
    </row>
    <row r="56" spans="1:16" ht="15.75">
      <c r="A56" s="220" t="s">
        <v>771</v>
      </c>
      <c r="B56" s="213">
        <v>100000</v>
      </c>
      <c r="C56" s="213">
        <v>81606</v>
      </c>
      <c r="D56" s="213">
        <v>81606</v>
      </c>
      <c r="E56" s="213"/>
      <c r="F56" s="213">
        <v>3010</v>
      </c>
      <c r="G56" s="213">
        <v>3010</v>
      </c>
      <c r="H56" s="213"/>
      <c r="I56" s="213">
        <v>68749</v>
      </c>
      <c r="J56" s="213">
        <v>68749</v>
      </c>
      <c r="K56" s="213"/>
      <c r="L56" s="276"/>
      <c r="M56" s="276"/>
      <c r="N56" s="204">
        <f t="shared" si="1"/>
        <v>100000</v>
      </c>
      <c r="O56" s="204">
        <f t="shared" si="3"/>
        <v>153365</v>
      </c>
      <c r="P56" s="204">
        <f t="shared" si="2"/>
        <v>153365</v>
      </c>
    </row>
    <row r="57" spans="1:16" ht="15.75">
      <c r="A57" s="220" t="s">
        <v>772</v>
      </c>
      <c r="B57" s="213"/>
      <c r="C57" s="213"/>
      <c r="D57" s="213"/>
      <c r="E57" s="213">
        <v>658320</v>
      </c>
      <c r="F57" s="213">
        <v>671869</v>
      </c>
      <c r="G57" s="213">
        <v>681476</v>
      </c>
      <c r="H57" s="213">
        <v>852082</v>
      </c>
      <c r="I57" s="213">
        <v>1005817</v>
      </c>
      <c r="J57" s="213">
        <v>1019881</v>
      </c>
      <c r="K57" s="213">
        <v>145814</v>
      </c>
      <c r="L57" s="276">
        <v>0</v>
      </c>
      <c r="M57" s="276">
        <v>0</v>
      </c>
      <c r="N57" s="204">
        <f t="shared" si="1"/>
        <v>1656216</v>
      </c>
      <c r="O57" s="204">
        <f t="shared" si="3"/>
        <v>1677686</v>
      </c>
      <c r="P57" s="204">
        <f t="shared" si="2"/>
        <v>1701357</v>
      </c>
    </row>
    <row r="58" spans="1:16" ht="15.75">
      <c r="A58" s="220" t="s">
        <v>863</v>
      </c>
      <c r="B58" s="213"/>
      <c r="C58" s="187">
        <v>200000</v>
      </c>
      <c r="D58" s="187">
        <v>420000</v>
      </c>
      <c r="E58" s="213"/>
      <c r="F58" s="213"/>
      <c r="G58" s="213"/>
      <c r="H58" s="213"/>
      <c r="I58" s="213"/>
      <c r="J58" s="213"/>
      <c r="K58" s="213"/>
      <c r="L58" s="276"/>
      <c r="M58" s="276"/>
      <c r="N58" s="204"/>
      <c r="O58" s="204">
        <f t="shared" si="3"/>
        <v>200000</v>
      </c>
      <c r="P58" s="204">
        <f t="shared" si="2"/>
        <v>420000</v>
      </c>
    </row>
    <row r="59" spans="1:16" ht="15.75">
      <c r="A59" s="223" t="s">
        <v>773</v>
      </c>
      <c r="B59" s="187">
        <f aca="true" t="shared" si="10" ref="B59:M59">SUM(B52+B56+B57)</f>
        <v>809262</v>
      </c>
      <c r="C59" s="187">
        <f>SUM(C52+C56+C57+C58)</f>
        <v>990868</v>
      </c>
      <c r="D59" s="187">
        <f>SUM(D52+D56+D57+D58+D55)</f>
        <v>1937762</v>
      </c>
      <c r="E59" s="187">
        <f t="shared" si="10"/>
        <v>658320</v>
      </c>
      <c r="F59" s="187">
        <f t="shared" si="10"/>
        <v>674879</v>
      </c>
      <c r="G59" s="187">
        <f t="shared" si="10"/>
        <v>684486</v>
      </c>
      <c r="H59" s="187">
        <f>SUM(H52+H56+H57)</f>
        <v>852082</v>
      </c>
      <c r="I59" s="187">
        <f t="shared" si="10"/>
        <v>1074566</v>
      </c>
      <c r="J59" s="187">
        <f>SUM(J52+J56+J57)</f>
        <v>1088630</v>
      </c>
      <c r="K59" s="187">
        <f t="shared" si="10"/>
        <v>145814</v>
      </c>
      <c r="L59" s="187">
        <f t="shared" si="10"/>
        <v>0</v>
      </c>
      <c r="M59" s="277">
        <f t="shared" si="10"/>
        <v>0</v>
      </c>
      <c r="N59" s="204">
        <f t="shared" si="1"/>
        <v>2465478</v>
      </c>
      <c r="O59" s="204">
        <f t="shared" si="3"/>
        <v>2740313</v>
      </c>
      <c r="P59" s="204">
        <f t="shared" si="2"/>
        <v>3710878</v>
      </c>
    </row>
    <row r="60" spans="1:16" s="190" customFormat="1" ht="16.5" thickBot="1">
      <c r="A60" s="224" t="s">
        <v>774</v>
      </c>
      <c r="B60" s="189">
        <f aca="true" t="shared" si="11" ref="B60:M60">SUM(B51+B59)</f>
        <v>6924047</v>
      </c>
      <c r="C60" s="189">
        <f>SUM(C51+C59)</f>
        <v>7144233</v>
      </c>
      <c r="D60" s="189">
        <f>SUM(D51+D59)</f>
        <v>8146662</v>
      </c>
      <c r="E60" s="189">
        <f t="shared" si="11"/>
        <v>700533</v>
      </c>
      <c r="F60" s="189">
        <f t="shared" si="11"/>
        <v>717842</v>
      </c>
      <c r="G60" s="189">
        <f t="shared" si="11"/>
        <v>729441</v>
      </c>
      <c r="H60" s="189">
        <f t="shared" si="11"/>
        <v>1155287</v>
      </c>
      <c r="I60" s="189">
        <f t="shared" si="11"/>
        <v>1436508</v>
      </c>
      <c r="J60" s="189">
        <f t="shared" si="11"/>
        <v>1460307</v>
      </c>
      <c r="K60" s="189">
        <f t="shared" si="11"/>
        <v>183494</v>
      </c>
      <c r="L60" s="189">
        <f t="shared" si="11"/>
        <v>0</v>
      </c>
      <c r="M60" s="999">
        <f t="shared" si="11"/>
        <v>0</v>
      </c>
      <c r="N60" s="567">
        <f t="shared" si="1"/>
        <v>8963361</v>
      </c>
      <c r="O60" s="567">
        <f>SUM(C60+F60+I60+L60)</f>
        <v>9298583</v>
      </c>
      <c r="P60" s="204">
        <f t="shared" si="2"/>
        <v>10336410</v>
      </c>
    </row>
    <row r="61" spans="14:16" ht="15.75">
      <c r="N61" s="612"/>
      <c r="O61" s="612"/>
      <c r="P61" s="612"/>
    </row>
  </sheetData>
  <sheetProtection/>
  <mergeCells count="7">
    <mergeCell ref="K4:M4"/>
    <mergeCell ref="N4:P4"/>
    <mergeCell ref="A2:N2"/>
    <mergeCell ref="A4:A5"/>
    <mergeCell ref="H4:J4"/>
    <mergeCell ref="E4:G4"/>
    <mergeCell ref="B4:D4"/>
  </mergeCells>
  <printOptions horizontalCentered="1"/>
  <pageMargins left="0.3937007874015748" right="0.07874015748031496" top="0.4724409448818898" bottom="0.2362204724409449" header="0.2362204724409449" footer="0.15748031496062992"/>
  <pageSetup fitToHeight="1" fitToWidth="1" horizontalDpi="600" verticalDpi="600" orientation="landscape" paperSize="9" scale="37" r:id="rId1"/>
  <headerFooter alignWithMargins="0">
    <oddHeader>&amp;L&amp;11 3. melléklet a 21/2015.(X.2.) önkormányzati rendelethez
3. melléklet az 1/2015.(I.30.)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3"/>
  <sheetViews>
    <sheetView view="pageBreakPreview" zoomScale="66" zoomScaleSheetLayoutView="66" workbookViewId="0" topLeftCell="J1">
      <selection activeCell="R18" sqref="R18"/>
    </sheetView>
  </sheetViews>
  <sheetFormatPr defaultColWidth="9.00390625" defaultRowHeight="25.5" customHeight="1"/>
  <cols>
    <col min="1" max="1" width="0.12890625" style="1" hidden="1" customWidth="1"/>
    <col min="2" max="2" width="0" style="1" hidden="1" customWidth="1"/>
    <col min="3" max="3" width="58.875" style="1" customWidth="1"/>
    <col min="4" max="18" width="19.75390625" style="1" customWidth="1"/>
    <col min="19" max="16384" width="9.125" style="1" customWidth="1"/>
  </cols>
  <sheetData>
    <row r="1" spans="3:18" s="40" customFormat="1" ht="18" customHeight="1">
      <c r="C1" s="1072" t="s">
        <v>339</v>
      </c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248"/>
      <c r="R1" s="248"/>
    </row>
    <row r="2" spans="3:18" s="40" customFormat="1" ht="18" customHeight="1">
      <c r="C2" s="1073" t="s">
        <v>673</v>
      </c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4"/>
      <c r="Q2" s="249"/>
      <c r="R2" s="249"/>
    </row>
    <row r="3" spans="3:15" s="40" customFormat="1" ht="18" customHeight="1" thickBo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28" ht="42" customHeight="1">
      <c r="A4" s="42"/>
      <c r="B4" s="40"/>
      <c r="C4" s="1075" t="s">
        <v>674</v>
      </c>
      <c r="D4" s="1066" t="s">
        <v>5</v>
      </c>
      <c r="E4" s="1067"/>
      <c r="F4" s="1068"/>
      <c r="G4" s="1066" t="s">
        <v>12</v>
      </c>
      <c r="H4" s="1067"/>
      <c r="I4" s="1068"/>
      <c r="J4" s="1066" t="s">
        <v>675</v>
      </c>
      <c r="K4" s="1067"/>
      <c r="L4" s="1068"/>
      <c r="M4" s="1066" t="s">
        <v>676</v>
      </c>
      <c r="N4" s="1067"/>
      <c r="O4" s="1067"/>
      <c r="P4" s="1069" t="s">
        <v>367</v>
      </c>
      <c r="Q4" s="1070"/>
      <c r="R4" s="1071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18.75" customHeight="1">
      <c r="A5" s="43"/>
      <c r="B5" s="44"/>
      <c r="C5" s="1076"/>
      <c r="D5" s="45" t="s">
        <v>4</v>
      </c>
      <c r="E5" s="280" t="s">
        <v>816</v>
      </c>
      <c r="F5" s="280" t="s">
        <v>895</v>
      </c>
      <c r="G5" s="45" t="s">
        <v>4</v>
      </c>
      <c r="H5" s="280" t="s">
        <v>816</v>
      </c>
      <c r="I5" s="280" t="s">
        <v>895</v>
      </c>
      <c r="J5" s="45" t="s">
        <v>4</v>
      </c>
      <c r="K5" s="280" t="s">
        <v>816</v>
      </c>
      <c r="L5" s="280" t="s">
        <v>895</v>
      </c>
      <c r="M5" s="45" t="s">
        <v>4</v>
      </c>
      <c r="N5" s="280" t="s">
        <v>816</v>
      </c>
      <c r="O5" s="611" t="s">
        <v>895</v>
      </c>
      <c r="P5" s="619" t="s">
        <v>777</v>
      </c>
      <c r="Q5" s="280" t="s">
        <v>816</v>
      </c>
      <c r="R5" s="281" t="s">
        <v>895</v>
      </c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s="50" customFormat="1" ht="19.5" customHeight="1">
      <c r="A6" s="46"/>
      <c r="B6" s="47"/>
      <c r="C6" s="48" t="s">
        <v>677</v>
      </c>
      <c r="D6" s="49">
        <v>221020</v>
      </c>
      <c r="E6" s="49">
        <v>225064</v>
      </c>
      <c r="F6" s="49">
        <v>220793</v>
      </c>
      <c r="G6" s="49">
        <v>392724</v>
      </c>
      <c r="H6" s="49">
        <v>399857</v>
      </c>
      <c r="I6" s="49">
        <v>404370</v>
      </c>
      <c r="J6" s="49">
        <v>453611</v>
      </c>
      <c r="K6" s="49">
        <v>564739</v>
      </c>
      <c r="L6" s="49">
        <v>572233</v>
      </c>
      <c r="M6" s="49">
        <v>94098</v>
      </c>
      <c r="N6" s="49">
        <v>0</v>
      </c>
      <c r="O6" s="613">
        <v>0</v>
      </c>
      <c r="P6" s="620">
        <f>SUM(D6+G6+J6+M6)</f>
        <v>1161453</v>
      </c>
      <c r="Q6" s="282">
        <f>SUM(E6+H6+K6+N6)</f>
        <v>1189660</v>
      </c>
      <c r="R6" s="1008">
        <f>SUM(F6+I6+L6+O6)</f>
        <v>1197396</v>
      </c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s="50" customFormat="1" ht="19.5" customHeight="1">
      <c r="A7" s="46"/>
      <c r="B7" s="47"/>
      <c r="C7" s="48" t="s">
        <v>678</v>
      </c>
      <c r="D7" s="49">
        <v>50693</v>
      </c>
      <c r="E7" s="49">
        <v>51449</v>
      </c>
      <c r="F7" s="49">
        <v>49109</v>
      </c>
      <c r="G7" s="49">
        <v>110887</v>
      </c>
      <c r="H7" s="49">
        <v>112776</v>
      </c>
      <c r="I7" s="49">
        <v>113934</v>
      </c>
      <c r="J7" s="49">
        <v>120024</v>
      </c>
      <c r="K7" s="49">
        <v>151555</v>
      </c>
      <c r="L7" s="49">
        <v>153553</v>
      </c>
      <c r="M7" s="49">
        <v>26841</v>
      </c>
      <c r="N7" s="49">
        <v>0</v>
      </c>
      <c r="O7" s="613">
        <v>0</v>
      </c>
      <c r="P7" s="620">
        <f aca="true" t="shared" si="0" ref="P7:P35">SUM(D7+G7+J7+M7)</f>
        <v>308445</v>
      </c>
      <c r="Q7" s="282">
        <f aca="true" t="shared" si="1" ref="Q7:Q35">SUM(E7+H7+K7+N7)</f>
        <v>315780</v>
      </c>
      <c r="R7" s="1008">
        <f aca="true" t="shared" si="2" ref="R7:R35">SUM(F7+I7+L7+O7)</f>
        <v>316596</v>
      </c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s="50" customFormat="1" ht="19.5" customHeight="1">
      <c r="A8" s="46"/>
      <c r="B8" s="47"/>
      <c r="C8" s="51" t="s">
        <v>679</v>
      </c>
      <c r="D8" s="52">
        <v>974880</v>
      </c>
      <c r="E8" s="52">
        <v>875957</v>
      </c>
      <c r="F8" s="52">
        <v>1018951</v>
      </c>
      <c r="G8" s="52">
        <v>145311</v>
      </c>
      <c r="H8" s="52">
        <v>146155</v>
      </c>
      <c r="I8" s="52">
        <v>152838</v>
      </c>
      <c r="J8" s="52">
        <v>549085</v>
      </c>
      <c r="K8" s="52">
        <v>654476</v>
      </c>
      <c r="L8" s="52">
        <v>668071</v>
      </c>
      <c r="M8" s="49">
        <v>54173</v>
      </c>
      <c r="N8" s="49">
        <v>0</v>
      </c>
      <c r="O8" s="613">
        <v>0</v>
      </c>
      <c r="P8" s="620">
        <f t="shared" si="0"/>
        <v>1723449</v>
      </c>
      <c r="Q8" s="282">
        <f t="shared" si="1"/>
        <v>1676588</v>
      </c>
      <c r="R8" s="1008">
        <f t="shared" si="2"/>
        <v>1839860</v>
      </c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s="50" customFormat="1" ht="19.5" customHeight="1">
      <c r="A9" s="46"/>
      <c r="B9" s="47"/>
      <c r="C9" s="53" t="s">
        <v>686</v>
      </c>
      <c r="D9" s="52">
        <v>45474</v>
      </c>
      <c r="E9" s="52">
        <v>44546</v>
      </c>
      <c r="F9" s="52">
        <v>42467</v>
      </c>
      <c r="G9" s="52">
        <v>16777</v>
      </c>
      <c r="H9" s="52">
        <v>24620</v>
      </c>
      <c r="I9" s="52">
        <v>29817</v>
      </c>
      <c r="J9" s="52"/>
      <c r="K9" s="52"/>
      <c r="L9" s="52"/>
      <c r="M9" s="49"/>
      <c r="N9" s="49"/>
      <c r="O9" s="613"/>
      <c r="P9" s="620">
        <f t="shared" si="0"/>
        <v>62251</v>
      </c>
      <c r="Q9" s="282">
        <f>SUM(E9+H9+K9+N9)</f>
        <v>69166</v>
      </c>
      <c r="R9" s="1008">
        <f t="shared" si="2"/>
        <v>72284</v>
      </c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s="50" customFormat="1" ht="19.5" customHeight="1">
      <c r="A10" s="46"/>
      <c r="B10" s="47"/>
      <c r="C10" s="51" t="s">
        <v>681</v>
      </c>
      <c r="D10" s="52">
        <f>(D11+D12+D13+D17)</f>
        <v>1108548</v>
      </c>
      <c r="E10" s="52">
        <f>(E11+E12+E13+E17)</f>
        <v>1213639</v>
      </c>
      <c r="F10" s="52">
        <f>(F11+F12+F13+F17)</f>
        <v>1184989</v>
      </c>
      <c r="G10" s="52">
        <f aca="true" t="shared" si="3" ref="G10:O10">SUM(G11+G12+G13+G17)</f>
        <v>3000</v>
      </c>
      <c r="H10" s="52">
        <f t="shared" si="3"/>
        <v>953</v>
      </c>
      <c r="I10" s="52">
        <f t="shared" si="3"/>
        <v>1183</v>
      </c>
      <c r="J10" s="52">
        <f t="shared" si="3"/>
        <v>0</v>
      </c>
      <c r="K10" s="52">
        <f t="shared" si="3"/>
        <v>1965</v>
      </c>
      <c r="L10" s="52">
        <f t="shared" si="3"/>
        <v>1715</v>
      </c>
      <c r="M10" s="52">
        <f t="shared" si="3"/>
        <v>0</v>
      </c>
      <c r="N10" s="52">
        <f t="shared" si="3"/>
        <v>0</v>
      </c>
      <c r="O10" s="52">
        <f t="shared" si="3"/>
        <v>0</v>
      </c>
      <c r="P10" s="620">
        <f t="shared" si="0"/>
        <v>1111548</v>
      </c>
      <c r="Q10" s="282">
        <f t="shared" si="1"/>
        <v>1216557</v>
      </c>
      <c r="R10" s="1008">
        <f t="shared" si="2"/>
        <v>1187887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19.5" customHeight="1">
      <c r="A11" s="42"/>
      <c r="B11" s="40"/>
      <c r="C11" s="54" t="s">
        <v>683</v>
      </c>
      <c r="D11" s="55">
        <v>41220</v>
      </c>
      <c r="E11" s="55">
        <v>40220</v>
      </c>
      <c r="F11" s="55">
        <v>40220</v>
      </c>
      <c r="G11" s="55">
        <v>1000</v>
      </c>
      <c r="H11" s="55">
        <v>0</v>
      </c>
      <c r="I11" s="55"/>
      <c r="J11" s="55"/>
      <c r="K11" s="55"/>
      <c r="L11" s="55"/>
      <c r="M11" s="55"/>
      <c r="N11" s="55"/>
      <c r="O11" s="614"/>
      <c r="P11" s="620">
        <f t="shared" si="0"/>
        <v>42220</v>
      </c>
      <c r="Q11" s="282">
        <f t="shared" si="1"/>
        <v>40220</v>
      </c>
      <c r="R11" s="1008">
        <f t="shared" si="2"/>
        <v>40220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19.5" customHeight="1">
      <c r="A12" s="42"/>
      <c r="B12" s="40"/>
      <c r="C12" s="54" t="s">
        <v>684</v>
      </c>
      <c r="D12" s="55">
        <v>867928</v>
      </c>
      <c r="E12" s="55">
        <v>1090694</v>
      </c>
      <c r="F12" s="55">
        <v>1103203</v>
      </c>
      <c r="G12" s="55"/>
      <c r="H12" s="55"/>
      <c r="I12" s="55">
        <v>230</v>
      </c>
      <c r="J12" s="55"/>
      <c r="K12" s="55">
        <v>1965</v>
      </c>
      <c r="L12" s="55">
        <v>1715</v>
      </c>
      <c r="M12" s="55"/>
      <c r="N12" s="55"/>
      <c r="O12" s="614"/>
      <c r="P12" s="620">
        <f t="shared" si="0"/>
        <v>867928</v>
      </c>
      <c r="Q12" s="282">
        <f t="shared" si="1"/>
        <v>1092659</v>
      </c>
      <c r="R12" s="1008">
        <f t="shared" si="2"/>
        <v>1105148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50" customFormat="1" ht="19.5" customHeight="1">
      <c r="A13" s="46"/>
      <c r="B13" s="47"/>
      <c r="C13" s="56" t="s">
        <v>801</v>
      </c>
      <c r="D13" s="57">
        <f>SUM(D14:D16)</f>
        <v>193800</v>
      </c>
      <c r="E13" s="57">
        <f>SUM(E14:E16)</f>
        <v>79045</v>
      </c>
      <c r="F13" s="57">
        <f>SUM(F14:F16)</f>
        <v>27498</v>
      </c>
      <c r="G13" s="57"/>
      <c r="H13" s="57"/>
      <c r="I13" s="57"/>
      <c r="J13" s="57"/>
      <c r="K13" s="57"/>
      <c r="L13" s="57"/>
      <c r="M13" s="57"/>
      <c r="N13" s="57"/>
      <c r="O13" s="615"/>
      <c r="P13" s="620">
        <f t="shared" si="0"/>
        <v>193800</v>
      </c>
      <c r="Q13" s="282">
        <f t="shared" si="1"/>
        <v>79045</v>
      </c>
      <c r="R13" s="1008">
        <f t="shared" si="2"/>
        <v>27498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28" s="62" customFormat="1" ht="19.5" customHeight="1">
      <c r="A14" s="58"/>
      <c r="B14" s="59"/>
      <c r="C14" s="60" t="s">
        <v>685</v>
      </c>
      <c r="D14" s="61">
        <v>15000</v>
      </c>
      <c r="E14" s="61">
        <v>12274</v>
      </c>
      <c r="F14" s="61">
        <v>6086</v>
      </c>
      <c r="G14" s="61"/>
      <c r="H14" s="61"/>
      <c r="I14" s="61"/>
      <c r="J14" s="61"/>
      <c r="K14" s="61"/>
      <c r="L14" s="61"/>
      <c r="M14" s="61"/>
      <c r="N14" s="61"/>
      <c r="O14" s="616"/>
      <c r="P14" s="620">
        <f t="shared" si="0"/>
        <v>15000</v>
      </c>
      <c r="Q14" s="282">
        <f t="shared" si="1"/>
        <v>12274</v>
      </c>
      <c r="R14" s="1008">
        <f t="shared" si="2"/>
        <v>6086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1:28" s="62" customFormat="1" ht="19.5" customHeight="1">
      <c r="A15" s="58"/>
      <c r="B15" s="59"/>
      <c r="C15" s="60" t="s">
        <v>32</v>
      </c>
      <c r="D15" s="61">
        <v>100000</v>
      </c>
      <c r="E15" s="61">
        <v>42344</v>
      </c>
      <c r="F15" s="61">
        <v>7373</v>
      </c>
      <c r="G15" s="61"/>
      <c r="H15" s="61"/>
      <c r="I15" s="61"/>
      <c r="J15" s="61"/>
      <c r="K15" s="61"/>
      <c r="L15" s="61"/>
      <c r="M15" s="61"/>
      <c r="N15" s="61"/>
      <c r="O15" s="616"/>
      <c r="P15" s="620">
        <f t="shared" si="0"/>
        <v>100000</v>
      </c>
      <c r="Q15" s="282">
        <f t="shared" si="1"/>
        <v>42344</v>
      </c>
      <c r="R15" s="1008">
        <f t="shared" si="2"/>
        <v>7373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s="62" customFormat="1" ht="19.5" customHeight="1">
      <c r="A16" s="58"/>
      <c r="B16" s="59"/>
      <c r="C16" s="60" t="s">
        <v>695</v>
      </c>
      <c r="D16" s="61">
        <v>78800</v>
      </c>
      <c r="E16" s="61">
        <v>24427</v>
      </c>
      <c r="F16" s="61">
        <v>14039</v>
      </c>
      <c r="G16" s="61"/>
      <c r="H16" s="61"/>
      <c r="I16" s="61"/>
      <c r="J16" s="61"/>
      <c r="K16" s="61"/>
      <c r="L16" s="61"/>
      <c r="M16" s="61"/>
      <c r="N16" s="61"/>
      <c r="O16" s="616"/>
      <c r="P16" s="620">
        <f t="shared" si="0"/>
        <v>78800</v>
      </c>
      <c r="Q16" s="282">
        <f t="shared" si="1"/>
        <v>24427</v>
      </c>
      <c r="R16" s="1008">
        <f t="shared" si="2"/>
        <v>14039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28" s="50" customFormat="1" ht="19.5" customHeight="1" thickBot="1">
      <c r="A17" s="63"/>
      <c r="B17" s="64"/>
      <c r="C17" s="56" t="s">
        <v>33</v>
      </c>
      <c r="D17" s="57">
        <v>5600</v>
      </c>
      <c r="E17" s="57">
        <v>3680</v>
      </c>
      <c r="F17" s="57">
        <v>14068</v>
      </c>
      <c r="G17" s="57">
        <v>2000</v>
      </c>
      <c r="H17" s="57">
        <v>953</v>
      </c>
      <c r="I17" s="57">
        <v>953</v>
      </c>
      <c r="J17" s="49"/>
      <c r="K17" s="49"/>
      <c r="L17" s="49"/>
      <c r="M17" s="49"/>
      <c r="N17" s="49"/>
      <c r="O17" s="613"/>
      <c r="P17" s="620">
        <f t="shared" si="0"/>
        <v>7600</v>
      </c>
      <c r="Q17" s="282">
        <f t="shared" si="1"/>
        <v>4633</v>
      </c>
      <c r="R17" s="1008">
        <f t="shared" si="2"/>
        <v>15021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28" s="50" customFormat="1" ht="19.5" customHeight="1">
      <c r="A18" s="47"/>
      <c r="B18" s="47"/>
      <c r="C18" s="48" t="s">
        <v>696</v>
      </c>
      <c r="D18" s="49">
        <v>2192246</v>
      </c>
      <c r="E18" s="49">
        <v>2099560</v>
      </c>
      <c r="F18" s="49">
        <v>2161911</v>
      </c>
      <c r="G18" s="49">
        <v>31834</v>
      </c>
      <c r="H18" s="49">
        <v>32481</v>
      </c>
      <c r="I18" s="49">
        <v>26299</v>
      </c>
      <c r="J18" s="49">
        <v>12903</v>
      </c>
      <c r="K18" s="49">
        <v>39909</v>
      </c>
      <c r="L18" s="49">
        <v>45253</v>
      </c>
      <c r="M18" s="49">
        <v>8382</v>
      </c>
      <c r="N18" s="49">
        <v>0</v>
      </c>
      <c r="O18" s="613">
        <v>0</v>
      </c>
      <c r="P18" s="620">
        <f t="shared" si="0"/>
        <v>2245365</v>
      </c>
      <c r="Q18" s="282">
        <f t="shared" si="1"/>
        <v>2171950</v>
      </c>
      <c r="R18" s="1008">
        <f t="shared" si="2"/>
        <v>2233463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</row>
    <row r="19" spans="1:28" s="50" customFormat="1" ht="19.5" customHeight="1">
      <c r="A19" s="47"/>
      <c r="B19" s="47"/>
      <c r="C19" s="48" t="s">
        <v>697</v>
      </c>
      <c r="D19" s="49">
        <v>234263</v>
      </c>
      <c r="E19" s="49">
        <v>239899</v>
      </c>
      <c r="F19" s="49">
        <v>227712</v>
      </c>
      <c r="G19" s="49">
        <v>0</v>
      </c>
      <c r="H19" s="49"/>
      <c r="I19" s="49"/>
      <c r="J19" s="49">
        <v>19664</v>
      </c>
      <c r="K19" s="49">
        <v>23864</v>
      </c>
      <c r="L19" s="49">
        <v>19482</v>
      </c>
      <c r="M19" s="49">
        <v>0</v>
      </c>
      <c r="N19" s="49"/>
      <c r="O19" s="613"/>
      <c r="P19" s="620">
        <f t="shared" si="0"/>
        <v>253927</v>
      </c>
      <c r="Q19" s="282">
        <f t="shared" si="1"/>
        <v>263763</v>
      </c>
      <c r="R19" s="1008">
        <f t="shared" si="2"/>
        <v>247194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 s="50" customFormat="1" ht="19.5" customHeight="1">
      <c r="A20" s="47"/>
      <c r="B20" s="47"/>
      <c r="C20" s="48" t="s">
        <v>698</v>
      </c>
      <c r="D20" s="68">
        <f aca="true" t="shared" si="4" ref="D20:O20">SUM(D22:D23)</f>
        <v>440707</v>
      </c>
      <c r="E20" s="68">
        <f>SUM(E21:E23)</f>
        <v>425746</v>
      </c>
      <c r="F20" s="68">
        <f>SUM(F21:F23)</f>
        <v>301792</v>
      </c>
      <c r="G20" s="68">
        <f t="shared" si="4"/>
        <v>0</v>
      </c>
      <c r="H20" s="68">
        <f>SUM(H21:H23)</f>
        <v>1000</v>
      </c>
      <c r="I20" s="68">
        <f>SUM(I21:I23)</f>
        <v>1000</v>
      </c>
      <c r="J20" s="68">
        <f t="shared" si="4"/>
        <v>0</v>
      </c>
      <c r="K20" s="68">
        <f t="shared" si="4"/>
        <v>0</v>
      </c>
      <c r="L20" s="68"/>
      <c r="M20" s="68">
        <f t="shared" si="4"/>
        <v>0</v>
      </c>
      <c r="N20" s="68">
        <f t="shared" si="4"/>
        <v>0</v>
      </c>
      <c r="O20" s="68">
        <f t="shared" si="4"/>
        <v>0</v>
      </c>
      <c r="P20" s="620">
        <f t="shared" si="0"/>
        <v>440707</v>
      </c>
      <c r="Q20" s="282">
        <f t="shared" si="1"/>
        <v>426746</v>
      </c>
      <c r="R20" s="1008">
        <f t="shared" si="2"/>
        <v>302792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8" s="50" customFormat="1" ht="19.5" customHeight="1">
      <c r="A21" s="47"/>
      <c r="B21" s="47"/>
      <c r="C21" s="56" t="s">
        <v>683</v>
      </c>
      <c r="D21" s="68"/>
      <c r="E21" s="57">
        <v>13150</v>
      </c>
      <c r="F21" s="57">
        <v>28786</v>
      </c>
      <c r="G21" s="68"/>
      <c r="H21" s="68">
        <v>1000</v>
      </c>
      <c r="I21" s="68">
        <v>1000</v>
      </c>
      <c r="J21" s="57"/>
      <c r="K21" s="68"/>
      <c r="L21" s="68"/>
      <c r="M21" s="68"/>
      <c r="N21" s="68"/>
      <c r="O21" s="617"/>
      <c r="P21" s="620"/>
      <c r="Q21" s="282">
        <f t="shared" si="1"/>
        <v>14150</v>
      </c>
      <c r="R21" s="1008">
        <f t="shared" si="2"/>
        <v>29786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s="50" customFormat="1" ht="19.5" customHeight="1">
      <c r="A22" s="47"/>
      <c r="B22" s="47"/>
      <c r="C22" s="54" t="s">
        <v>699</v>
      </c>
      <c r="D22" s="57">
        <v>193590</v>
      </c>
      <c r="E22" s="57">
        <v>209216</v>
      </c>
      <c r="F22" s="57">
        <v>232626</v>
      </c>
      <c r="G22" s="49"/>
      <c r="H22" s="49"/>
      <c r="I22" s="49"/>
      <c r="J22" s="49"/>
      <c r="K22" s="49"/>
      <c r="L22" s="49"/>
      <c r="M22" s="49"/>
      <c r="N22" s="49"/>
      <c r="O22" s="613"/>
      <c r="P22" s="620">
        <f>SUM(D22+G22+J22+M22)</f>
        <v>193590</v>
      </c>
      <c r="Q22" s="282">
        <f t="shared" si="1"/>
        <v>209216</v>
      </c>
      <c r="R22" s="1008">
        <f t="shared" si="2"/>
        <v>232626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s="66" customFormat="1" ht="19.5" customHeight="1">
      <c r="A23" s="65"/>
      <c r="B23" s="65"/>
      <c r="C23" s="54" t="s">
        <v>805</v>
      </c>
      <c r="D23" s="57">
        <f>SUM(D24:D25)</f>
        <v>247117</v>
      </c>
      <c r="E23" s="57">
        <f>SUM(E24:E25)</f>
        <v>203380</v>
      </c>
      <c r="F23" s="57">
        <v>40380</v>
      </c>
      <c r="G23" s="61">
        <f>SUM(G24:G25)</f>
        <v>0</v>
      </c>
      <c r="H23" s="61"/>
      <c r="I23" s="61"/>
      <c r="J23" s="61">
        <f>SUM(J24:J25)</f>
        <v>0</v>
      </c>
      <c r="K23" s="61">
        <f>SUM(K24:K25)</f>
        <v>0</v>
      </c>
      <c r="L23" s="61"/>
      <c r="M23" s="61">
        <f>SUM(M24:M25)</f>
        <v>0</v>
      </c>
      <c r="N23" s="61">
        <f>SUM(N24:N25)</f>
        <v>0</v>
      </c>
      <c r="O23" s="61">
        <f>SUM(O24:O25)</f>
        <v>0</v>
      </c>
      <c r="P23" s="620">
        <f t="shared" si="0"/>
        <v>247117</v>
      </c>
      <c r="Q23" s="282">
        <f t="shared" si="1"/>
        <v>203380</v>
      </c>
      <c r="R23" s="1008">
        <f t="shared" si="2"/>
        <v>40380</v>
      </c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s="66" customFormat="1" ht="32.25" customHeight="1">
      <c r="A24" s="65"/>
      <c r="B24" s="65"/>
      <c r="C24" s="1009" t="s">
        <v>1003</v>
      </c>
      <c r="D24" s="61">
        <v>77075</v>
      </c>
      <c r="E24" s="61">
        <v>33338</v>
      </c>
      <c r="F24" s="61">
        <v>31474</v>
      </c>
      <c r="G24" s="61"/>
      <c r="H24" s="61"/>
      <c r="I24" s="61"/>
      <c r="J24" s="61"/>
      <c r="K24" s="61"/>
      <c r="L24" s="61"/>
      <c r="M24" s="61"/>
      <c r="N24" s="61"/>
      <c r="O24" s="616"/>
      <c r="P24" s="620">
        <f t="shared" si="0"/>
        <v>77075</v>
      </c>
      <c r="Q24" s="282">
        <f t="shared" si="1"/>
        <v>33338</v>
      </c>
      <c r="R24" s="1008">
        <f t="shared" si="2"/>
        <v>31474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s="69" customFormat="1" ht="19.5" customHeight="1">
      <c r="A25" s="67"/>
      <c r="B25" s="67"/>
      <c r="C25" s="60" t="s">
        <v>700</v>
      </c>
      <c r="D25" s="61">
        <v>170042</v>
      </c>
      <c r="E25" s="61">
        <v>170042</v>
      </c>
      <c r="F25" s="61">
        <v>8906</v>
      </c>
      <c r="G25" s="68"/>
      <c r="H25" s="68"/>
      <c r="I25" s="68"/>
      <c r="J25" s="68"/>
      <c r="K25" s="68"/>
      <c r="L25" s="68"/>
      <c r="M25" s="68"/>
      <c r="N25" s="68"/>
      <c r="O25" s="617"/>
      <c r="P25" s="620">
        <f t="shared" si="0"/>
        <v>170042</v>
      </c>
      <c r="Q25" s="282">
        <f t="shared" si="1"/>
        <v>170042</v>
      </c>
      <c r="R25" s="1008">
        <f t="shared" si="2"/>
        <v>8906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3:28" s="69" customFormat="1" ht="19.5" customHeight="1">
      <c r="C26" s="53" t="s">
        <v>701</v>
      </c>
      <c r="D26" s="68">
        <f aca="true" t="shared" si="5" ref="D26:O26">SUM(D6+D7+D8+D9+D10+D18+D19+D20)</f>
        <v>5267831</v>
      </c>
      <c r="E26" s="68">
        <f t="shared" si="5"/>
        <v>5175860</v>
      </c>
      <c r="F26" s="68">
        <f t="shared" si="5"/>
        <v>5207724</v>
      </c>
      <c r="G26" s="68">
        <f t="shared" si="5"/>
        <v>700533</v>
      </c>
      <c r="H26" s="68">
        <f>SUM(H6+H7+H8+H9+H10+H18+H19+H20)</f>
        <v>717842</v>
      </c>
      <c r="I26" s="68">
        <f>SUM(I6+I7+I8+I9+I10+I18+I19+I20)</f>
        <v>729441</v>
      </c>
      <c r="J26" s="68">
        <f t="shared" si="5"/>
        <v>1155287</v>
      </c>
      <c r="K26" s="68">
        <f t="shared" si="5"/>
        <v>1436508</v>
      </c>
      <c r="L26" s="68">
        <f t="shared" si="5"/>
        <v>1460307</v>
      </c>
      <c r="M26" s="68">
        <f t="shared" si="5"/>
        <v>183494</v>
      </c>
      <c r="N26" s="68">
        <f t="shared" si="5"/>
        <v>0</v>
      </c>
      <c r="O26" s="68">
        <f t="shared" si="5"/>
        <v>0</v>
      </c>
      <c r="P26" s="620">
        <f t="shared" si="0"/>
        <v>7307145</v>
      </c>
      <c r="Q26" s="282">
        <f t="shared" si="1"/>
        <v>7330210</v>
      </c>
      <c r="R26" s="1008">
        <f t="shared" si="2"/>
        <v>7397472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3:28" s="69" customFormat="1" ht="19.5" customHeight="1">
      <c r="C27" s="53" t="s">
        <v>891</v>
      </c>
      <c r="D27" s="68"/>
      <c r="E27" s="68">
        <f>SUM(E28:E29)</f>
        <v>90687</v>
      </c>
      <c r="F27" s="68">
        <f>SUM(F28:F30)</f>
        <v>257081</v>
      </c>
      <c r="G27" s="68"/>
      <c r="H27" s="68"/>
      <c r="I27" s="68"/>
      <c r="J27" s="68"/>
      <c r="K27" s="68"/>
      <c r="L27" s="68"/>
      <c r="M27" s="68"/>
      <c r="N27" s="68"/>
      <c r="O27" s="617"/>
      <c r="P27" s="620"/>
      <c r="Q27" s="282">
        <f t="shared" si="1"/>
        <v>90687</v>
      </c>
      <c r="R27" s="1008">
        <f>SUM(F27+I27+L27+O27)</f>
        <v>257081</v>
      </c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3:28" s="69" customFormat="1" ht="19.5" customHeight="1">
      <c r="C28" s="56" t="s">
        <v>889</v>
      </c>
      <c r="D28" s="68"/>
      <c r="E28" s="57">
        <v>35131</v>
      </c>
      <c r="F28" s="57">
        <v>35131</v>
      </c>
      <c r="G28" s="68"/>
      <c r="H28" s="68"/>
      <c r="I28" s="68"/>
      <c r="J28" s="68"/>
      <c r="K28" s="68"/>
      <c r="L28" s="68"/>
      <c r="M28" s="68"/>
      <c r="N28" s="68"/>
      <c r="O28" s="617"/>
      <c r="P28" s="620"/>
      <c r="Q28" s="282">
        <f t="shared" si="1"/>
        <v>35131</v>
      </c>
      <c r="R28" s="1008">
        <f t="shared" si="2"/>
        <v>35131</v>
      </c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3:28" s="69" customFormat="1" ht="19.5" customHeight="1">
      <c r="C29" s="56" t="s">
        <v>890</v>
      </c>
      <c r="D29" s="68"/>
      <c r="E29" s="57">
        <v>55556</v>
      </c>
      <c r="F29" s="57">
        <v>55556</v>
      </c>
      <c r="G29" s="68"/>
      <c r="H29" s="68"/>
      <c r="I29" s="68"/>
      <c r="J29" s="68"/>
      <c r="K29" s="68"/>
      <c r="L29" s="68"/>
      <c r="M29" s="68"/>
      <c r="N29" s="68"/>
      <c r="O29" s="617"/>
      <c r="P29" s="620"/>
      <c r="Q29" s="282">
        <f t="shared" si="1"/>
        <v>55556</v>
      </c>
      <c r="R29" s="1008">
        <f t="shared" si="2"/>
        <v>55556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3:28" s="69" customFormat="1" ht="19.5" customHeight="1">
      <c r="C30" s="56" t="s">
        <v>1001</v>
      </c>
      <c r="D30" s="68"/>
      <c r="E30" s="57"/>
      <c r="F30" s="57">
        <v>166394</v>
      </c>
      <c r="G30" s="68"/>
      <c r="H30" s="68"/>
      <c r="I30" s="68"/>
      <c r="J30" s="68"/>
      <c r="K30" s="68"/>
      <c r="L30" s="68"/>
      <c r="M30" s="68"/>
      <c r="N30" s="68"/>
      <c r="O30" s="617"/>
      <c r="P30" s="620"/>
      <c r="Q30" s="282">
        <f t="shared" si="1"/>
        <v>0</v>
      </c>
      <c r="R30" s="1008">
        <f t="shared" si="2"/>
        <v>166394</v>
      </c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3:28" s="69" customFormat="1" ht="19.5" customHeight="1">
      <c r="C31" s="53" t="s">
        <v>916</v>
      </c>
      <c r="D31" s="68"/>
      <c r="E31" s="57"/>
      <c r="F31" s="57">
        <v>560500</v>
      </c>
      <c r="G31" s="68"/>
      <c r="H31" s="68"/>
      <c r="I31" s="68"/>
      <c r="J31" s="68"/>
      <c r="K31" s="68"/>
      <c r="L31" s="68"/>
      <c r="M31" s="68"/>
      <c r="N31" s="68"/>
      <c r="O31" s="617"/>
      <c r="P31" s="620"/>
      <c r="Q31" s="282">
        <f t="shared" si="1"/>
        <v>0</v>
      </c>
      <c r="R31" s="1008">
        <f t="shared" si="2"/>
        <v>560500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3:28" s="69" customFormat="1" ht="19.5" customHeight="1">
      <c r="C32" s="53" t="s">
        <v>877</v>
      </c>
      <c r="D32" s="68"/>
      <c r="E32" s="57">
        <v>200000</v>
      </c>
      <c r="F32" s="57">
        <v>420000</v>
      </c>
      <c r="G32" s="68"/>
      <c r="H32" s="68"/>
      <c r="I32" s="68"/>
      <c r="J32" s="68"/>
      <c r="K32" s="68"/>
      <c r="L32" s="68"/>
      <c r="M32" s="68"/>
      <c r="N32" s="68"/>
      <c r="O32" s="617"/>
      <c r="P32" s="620"/>
      <c r="Q32" s="282">
        <f t="shared" si="1"/>
        <v>200000</v>
      </c>
      <c r="R32" s="1008">
        <f t="shared" si="2"/>
        <v>420000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3:18" s="40" customFormat="1" ht="25.5" customHeight="1">
      <c r="C33" s="53" t="s">
        <v>354</v>
      </c>
      <c r="D33" s="71">
        <v>1656216</v>
      </c>
      <c r="E33" s="71">
        <v>1677686</v>
      </c>
      <c r="F33" s="71">
        <v>1701357</v>
      </c>
      <c r="G33" s="177"/>
      <c r="H33" s="177"/>
      <c r="I33" s="177"/>
      <c r="J33" s="177"/>
      <c r="K33" s="177"/>
      <c r="L33" s="177"/>
      <c r="M33" s="177"/>
      <c r="N33" s="177"/>
      <c r="O33" s="618"/>
      <c r="P33" s="620">
        <f t="shared" si="0"/>
        <v>1656216</v>
      </c>
      <c r="Q33" s="282">
        <f t="shared" si="1"/>
        <v>1677686</v>
      </c>
      <c r="R33" s="1008">
        <f t="shared" si="2"/>
        <v>1701357</v>
      </c>
    </row>
    <row r="34" spans="3:18" s="40" customFormat="1" ht="25.5" customHeight="1">
      <c r="C34" s="53" t="s">
        <v>702</v>
      </c>
      <c r="D34" s="72">
        <f aca="true" t="shared" si="6" ref="D34:O34">SUM(D33:D33)</f>
        <v>1656216</v>
      </c>
      <c r="E34" s="72">
        <f>(E27+E32+E33)</f>
        <v>1968373</v>
      </c>
      <c r="F34" s="72">
        <f>(F27+F32+F33+F31)</f>
        <v>2938938</v>
      </c>
      <c r="G34" s="72">
        <f t="shared" si="6"/>
        <v>0</v>
      </c>
      <c r="H34" s="72">
        <f t="shared" si="6"/>
        <v>0</v>
      </c>
      <c r="I34" s="72">
        <f t="shared" si="6"/>
        <v>0</v>
      </c>
      <c r="J34" s="72">
        <f t="shared" si="6"/>
        <v>0</v>
      </c>
      <c r="K34" s="72">
        <f t="shared" si="6"/>
        <v>0</v>
      </c>
      <c r="L34" s="72">
        <f t="shared" si="6"/>
        <v>0</v>
      </c>
      <c r="M34" s="72">
        <f t="shared" si="6"/>
        <v>0</v>
      </c>
      <c r="N34" s="72">
        <f t="shared" si="6"/>
        <v>0</v>
      </c>
      <c r="O34" s="72">
        <f t="shared" si="6"/>
        <v>0</v>
      </c>
      <c r="P34" s="620">
        <f t="shared" si="0"/>
        <v>1656216</v>
      </c>
      <c r="Q34" s="282">
        <f t="shared" si="1"/>
        <v>1968373</v>
      </c>
      <c r="R34" s="1008">
        <f t="shared" si="2"/>
        <v>2938938</v>
      </c>
    </row>
    <row r="35" spans="3:28" ht="25.5" customHeight="1" thickBot="1">
      <c r="C35" s="70" t="s">
        <v>703</v>
      </c>
      <c r="D35" s="73">
        <f aca="true" t="shared" si="7" ref="D35:O35">SUM(D26+D34)</f>
        <v>6924047</v>
      </c>
      <c r="E35" s="73">
        <f t="shared" si="7"/>
        <v>7144233</v>
      </c>
      <c r="F35" s="73">
        <f t="shared" si="7"/>
        <v>8146662</v>
      </c>
      <c r="G35" s="73">
        <f t="shared" si="7"/>
        <v>700533</v>
      </c>
      <c r="H35" s="73">
        <f t="shared" si="7"/>
        <v>717842</v>
      </c>
      <c r="I35" s="73">
        <f t="shared" si="7"/>
        <v>729441</v>
      </c>
      <c r="J35" s="73">
        <f t="shared" si="7"/>
        <v>1155287</v>
      </c>
      <c r="K35" s="73">
        <f t="shared" si="7"/>
        <v>1436508</v>
      </c>
      <c r="L35" s="73">
        <f t="shared" si="7"/>
        <v>1460307</v>
      </c>
      <c r="M35" s="73">
        <f t="shared" si="7"/>
        <v>183494</v>
      </c>
      <c r="N35" s="73">
        <f t="shared" si="7"/>
        <v>0</v>
      </c>
      <c r="O35" s="73">
        <f t="shared" si="7"/>
        <v>0</v>
      </c>
      <c r="P35" s="621">
        <f t="shared" si="0"/>
        <v>8963361</v>
      </c>
      <c r="Q35" s="1010">
        <f t="shared" si="1"/>
        <v>9298583</v>
      </c>
      <c r="R35" s="1011">
        <f t="shared" si="2"/>
        <v>10336410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3:28" ht="25.5" customHeight="1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3:28" ht="25.5" customHeight="1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3:28" ht="25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3:28" ht="25.5" customHeight="1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3:28" ht="25.5" customHeight="1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3:28" ht="25.5" customHeight="1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3:28" ht="25.5" customHeight="1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3:28" ht="25.5" customHeight="1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3:28" ht="25.5" customHeight="1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3:28" ht="25.5" customHeight="1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3:28" ht="25.5" customHeight="1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3:28" ht="25.5" customHeight="1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3:28" ht="25.5" customHeight="1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3:28" ht="25.5" customHeight="1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3:28" ht="25.5" customHeight="1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3:28" ht="25.5" customHeight="1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3:28" ht="25.5" customHeight="1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3:28" ht="25.5" customHeight="1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3:28" ht="25.5" customHeight="1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3:28" ht="25.5" customHeight="1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3:28" ht="25.5" customHeight="1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3:28" ht="25.5" customHeight="1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3:28" ht="25.5" customHeight="1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3:15" ht="25.5" customHeight="1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3:15" ht="25.5" customHeight="1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3:15" ht="25.5" customHeight="1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3:15" ht="25.5" customHeight="1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3:15" ht="25.5" customHeight="1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3:15" ht="25.5" customHeight="1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3:15" ht="25.5" customHeight="1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3:15" ht="25.5" customHeight="1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3:15" ht="25.5" customHeight="1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3:15" ht="25.5" customHeight="1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3:15" ht="25.5" customHeight="1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3:15" ht="25.5" customHeight="1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3:15" ht="25.5" customHeight="1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3:15" ht="25.5" customHeight="1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3:15" ht="25.5" customHeight="1"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3:15" ht="25.5" customHeight="1"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3:15" ht="25.5" customHeight="1"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3:15" ht="25.5" customHeight="1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3:15" ht="25.5" customHeight="1"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3:15" ht="25.5" customHeight="1"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3:15" ht="25.5" customHeight="1"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3:15" ht="25.5" customHeight="1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3:15" ht="25.5" customHeight="1"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3:15" ht="25.5" customHeight="1"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3:15" ht="25.5" customHeight="1"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3:15" ht="25.5" customHeight="1"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3:15" ht="25.5" customHeight="1"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3:15" ht="25.5" customHeight="1"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3:15" ht="25.5" customHeight="1"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3:15" ht="25.5" customHeight="1"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3:15" ht="25.5" customHeight="1"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3:15" ht="25.5" customHeight="1"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3:15" ht="25.5" customHeight="1"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3:15" ht="25.5" customHeight="1"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3:15" ht="25.5" customHeight="1"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3:15" ht="25.5" customHeight="1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3:15" ht="25.5" customHeight="1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3:15" ht="25.5" customHeight="1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3:15" ht="25.5" customHeight="1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3:15" ht="25.5" customHeight="1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3:15" ht="25.5" customHeight="1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3:15" ht="25.5" customHeight="1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3:15" ht="25.5" customHeight="1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3:15" ht="25.5" customHeight="1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3:15" ht="25.5" customHeight="1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3:15" ht="25.5" customHeight="1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3:15" ht="25.5" customHeight="1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3:15" ht="25.5" customHeight="1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3:15" ht="25.5" customHeight="1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3:15" ht="25.5" customHeight="1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3:15" ht="25.5" customHeight="1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3:15" ht="25.5" customHeight="1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3:15" ht="25.5" customHeight="1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3:15" ht="25.5" customHeight="1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3:15" ht="25.5" customHeight="1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3:15" ht="25.5" customHeight="1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3:15" ht="25.5" customHeight="1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3:15" ht="25.5" customHeight="1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3:15" ht="25.5" customHeight="1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3:15" ht="25.5" customHeight="1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3:15" ht="25.5" customHeight="1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3:15" ht="25.5" customHeight="1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3:15" ht="25.5" customHeight="1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3:15" ht="25.5" customHeight="1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3:15" ht="25.5" customHeight="1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3:15" ht="25.5" customHeight="1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3:15" ht="25.5" customHeight="1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3:15" ht="25.5" customHeight="1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3:15" ht="25.5" customHeight="1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</row>
    <row r="128" spans="3:15" ht="25.5" customHeight="1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</row>
    <row r="129" spans="3:15" ht="25.5" customHeight="1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</row>
    <row r="130" spans="3:15" ht="25.5" customHeight="1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</row>
    <row r="131" spans="3:15" ht="25.5" customHeight="1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</row>
    <row r="132" spans="3:15" ht="25.5" customHeight="1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</row>
    <row r="133" spans="3:15" ht="25.5" customHeight="1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</row>
    <row r="134" spans="3:15" ht="25.5" customHeight="1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</row>
    <row r="135" spans="3:15" ht="25.5" customHeight="1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</row>
    <row r="136" spans="3:15" ht="25.5" customHeight="1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</row>
    <row r="137" spans="3:15" ht="25.5" customHeight="1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3:15" ht="25.5" customHeight="1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</row>
    <row r="139" spans="3:15" ht="25.5" customHeight="1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3:15" ht="25.5" customHeight="1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</row>
    <row r="141" spans="3:15" ht="25.5" customHeight="1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</row>
    <row r="142" spans="3:15" ht="25.5" customHeight="1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3:15" ht="25.5" customHeight="1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</row>
    <row r="144" spans="3:15" ht="25.5" customHeight="1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</row>
    <row r="145" spans="3:15" ht="25.5" customHeight="1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3:15" ht="25.5" customHeight="1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</row>
    <row r="147" spans="3:15" ht="25.5" customHeight="1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</row>
    <row r="148" spans="3:15" ht="25.5" customHeight="1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</row>
    <row r="149" spans="3:15" ht="25.5" customHeight="1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</row>
    <row r="150" spans="3:15" ht="25.5" customHeight="1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</row>
    <row r="151" spans="3:15" ht="25.5" customHeight="1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</row>
    <row r="152" spans="3:15" ht="25.5" customHeight="1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</row>
    <row r="153" spans="3:15" ht="25.5" customHeight="1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</row>
    <row r="154" spans="3:15" ht="25.5" customHeight="1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</row>
    <row r="155" spans="3:15" ht="25.5" customHeight="1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</row>
    <row r="156" spans="3:15" ht="25.5" customHeight="1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</row>
    <row r="157" spans="3:15" ht="25.5" customHeight="1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</row>
    <row r="158" spans="3:15" ht="25.5" customHeight="1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</row>
    <row r="159" spans="3:15" ht="25.5" customHeight="1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</row>
    <row r="160" spans="3:15" ht="25.5" customHeight="1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</row>
    <row r="161" spans="3:15" ht="25.5" customHeight="1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</row>
    <row r="162" spans="3:15" ht="25.5" customHeight="1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</row>
    <row r="163" spans="3:15" ht="25.5" customHeight="1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</row>
    <row r="164" spans="3:15" ht="25.5" customHeight="1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</row>
    <row r="165" spans="3:15" ht="25.5" customHeight="1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</row>
    <row r="166" spans="3:15" ht="25.5" customHeight="1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</row>
    <row r="167" spans="3:15" ht="25.5" customHeight="1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</row>
    <row r="168" spans="3:15" ht="25.5" customHeight="1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</row>
    <row r="169" spans="3:15" ht="25.5" customHeight="1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</row>
    <row r="170" spans="3:15" ht="25.5" customHeight="1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</row>
    <row r="171" spans="3:15" ht="25.5" customHeight="1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</row>
    <row r="172" spans="3:15" ht="25.5" customHeight="1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</row>
    <row r="173" spans="3:15" ht="25.5" customHeight="1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</row>
    <row r="174" spans="3:15" ht="25.5" customHeight="1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</row>
    <row r="175" spans="3:15" ht="25.5" customHeight="1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</row>
    <row r="176" spans="3:15" ht="25.5" customHeight="1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3:15" ht="25.5" customHeight="1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3:15" ht="25.5" customHeight="1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3:15" ht="25.5" customHeight="1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3:15" ht="25.5" customHeight="1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</row>
    <row r="181" spans="3:15" ht="25.5" customHeight="1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3:15" ht="25.5" customHeight="1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</row>
    <row r="183" spans="3:15" ht="25.5" customHeight="1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</row>
    <row r="184" spans="3:15" ht="25.5" customHeight="1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3:15" ht="25.5" customHeight="1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</row>
    <row r="186" spans="3:15" ht="25.5" customHeight="1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3:15" ht="25.5" customHeight="1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</row>
    <row r="188" spans="3:15" ht="25.5" customHeight="1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3:15" ht="25.5" customHeight="1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</row>
    <row r="190" spans="3:15" ht="25.5" customHeight="1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3:15" ht="25.5" customHeight="1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</row>
    <row r="192" spans="3:15" ht="25.5" customHeight="1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3:15" ht="25.5" customHeight="1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</row>
    <row r="194" spans="3:15" ht="25.5" customHeight="1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</row>
    <row r="195" spans="3:15" ht="25.5" customHeight="1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</row>
    <row r="196" spans="3:15" ht="25.5" customHeight="1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</row>
    <row r="197" spans="3:15" ht="25.5" customHeight="1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</row>
    <row r="198" spans="3:15" ht="25.5" customHeight="1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</row>
    <row r="199" spans="3:15" ht="25.5" customHeight="1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</row>
    <row r="200" spans="3:15" ht="25.5" customHeight="1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3:15" ht="25.5" customHeight="1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</row>
    <row r="202" spans="3:15" ht="25.5" customHeight="1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</row>
    <row r="203" spans="3:15" ht="25.5" customHeight="1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</row>
    <row r="204" spans="3:15" ht="25.5" customHeight="1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</row>
    <row r="205" spans="3:15" ht="25.5" customHeight="1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</row>
    <row r="206" spans="3:15" ht="25.5" customHeight="1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</row>
    <row r="207" spans="3:15" ht="25.5" customHeight="1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</row>
    <row r="208" spans="3:15" ht="25.5" customHeight="1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</row>
    <row r="209" spans="3:15" ht="25.5" customHeight="1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</row>
    <row r="210" spans="3:15" ht="25.5" customHeight="1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</row>
    <row r="211" spans="3:15" ht="25.5" customHeight="1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</row>
    <row r="212" spans="3:15" ht="25.5" customHeight="1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</row>
    <row r="213" spans="3:15" ht="25.5" customHeight="1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</row>
    <row r="214" spans="3:15" ht="25.5" customHeight="1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</row>
    <row r="215" spans="3:15" ht="25.5" customHeight="1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</row>
    <row r="216" spans="3:15" ht="25.5" customHeight="1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</row>
    <row r="217" spans="3:15" ht="25.5" customHeight="1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</row>
    <row r="218" spans="3:15" ht="25.5" customHeight="1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</row>
    <row r="219" spans="3:15" ht="25.5" customHeight="1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</row>
    <row r="220" spans="3:15" ht="25.5" customHeight="1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</row>
    <row r="221" spans="3:15" ht="25.5" customHeight="1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</row>
    <row r="222" spans="3:15" ht="25.5" customHeight="1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</row>
    <row r="223" spans="3:15" ht="25.5" customHeight="1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</row>
    <row r="224" spans="3:15" ht="25.5" customHeight="1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</row>
    <row r="225" spans="3:15" ht="25.5" customHeight="1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</row>
    <row r="226" spans="3:15" ht="25.5" customHeight="1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</row>
    <row r="227" spans="3:15" ht="25.5" customHeight="1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</row>
    <row r="228" spans="3:15" ht="25.5" customHeight="1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</row>
    <row r="229" spans="3:15" ht="25.5" customHeight="1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</row>
    <row r="230" spans="3:15" ht="25.5" customHeight="1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</row>
    <row r="231" spans="3:15" ht="25.5" customHeight="1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</row>
    <row r="232" spans="3:15" ht="25.5" customHeight="1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</row>
    <row r="233" spans="3:15" ht="25.5" customHeight="1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</row>
    <row r="234" spans="3:15" ht="25.5" customHeight="1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</row>
    <row r="235" spans="3:15" ht="25.5" customHeight="1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</row>
    <row r="236" spans="3:15" ht="25.5" customHeight="1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</row>
    <row r="237" spans="3:15" ht="25.5" customHeight="1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</row>
    <row r="238" spans="3:15" ht="25.5" customHeight="1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</row>
    <row r="239" spans="3:15" ht="25.5" customHeight="1"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</row>
    <row r="240" spans="3:15" ht="25.5" customHeight="1"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</row>
    <row r="241" spans="3:15" ht="25.5" customHeight="1"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</row>
    <row r="242" spans="3:15" ht="25.5" customHeight="1"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</row>
    <row r="243" spans="3:15" ht="25.5" customHeight="1"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</row>
    <row r="244" spans="3:15" ht="25.5" customHeight="1"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</row>
    <row r="245" spans="3:15" ht="25.5" customHeight="1"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</row>
    <row r="246" spans="3:15" ht="25.5" customHeight="1"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</row>
    <row r="247" spans="3:15" ht="25.5" customHeight="1"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</row>
    <row r="248" spans="3:15" ht="25.5" customHeight="1"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</row>
    <row r="249" spans="3:15" ht="25.5" customHeight="1"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</row>
    <row r="250" spans="3:15" ht="25.5" customHeight="1"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</row>
    <row r="251" spans="3:15" ht="25.5" customHeight="1"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</row>
    <row r="252" spans="3:15" ht="25.5" customHeight="1"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</row>
    <row r="253" spans="3:15" ht="25.5" customHeight="1"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</row>
    <row r="254" spans="3:15" ht="25.5" customHeight="1"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</row>
    <row r="255" spans="3:15" ht="25.5" customHeight="1"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</row>
    <row r="256" spans="3:15" ht="25.5" customHeight="1"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</row>
    <row r="257" spans="3:15" ht="25.5" customHeight="1"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</row>
    <row r="258" spans="3:15" ht="25.5" customHeight="1"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</row>
    <row r="259" spans="3:15" ht="25.5" customHeight="1"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</row>
    <row r="260" spans="3:15" ht="25.5" customHeight="1"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</row>
    <row r="261" spans="3:15" ht="25.5" customHeight="1"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</row>
    <row r="262" spans="3:15" ht="25.5" customHeight="1"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</row>
    <row r="263" spans="3:15" ht="25.5" customHeight="1"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</row>
  </sheetData>
  <sheetProtection/>
  <mergeCells count="8">
    <mergeCell ref="J4:L4"/>
    <mergeCell ref="M4:O4"/>
    <mergeCell ref="P4:R4"/>
    <mergeCell ref="C1:P1"/>
    <mergeCell ref="C2:P2"/>
    <mergeCell ref="C4:C5"/>
    <mergeCell ref="D4:F4"/>
    <mergeCell ref="G4:I4"/>
  </mergeCells>
  <printOptions horizontalCentered="1"/>
  <pageMargins left="0.3937007874015748" right="0" top="0.6299212598425197" bottom="0.31496062992125984" header="0.2755905511811024" footer="0.1968503937007874"/>
  <pageSetup fitToHeight="1" fitToWidth="1" horizontalDpi="600" verticalDpi="600" orientation="landscape" paperSize="9" scale="40" r:id="rId1"/>
  <headerFooter alignWithMargins="0">
    <oddHeader>&amp;L&amp;11 4. melléklet a 21/2015.(X.2.) önkormányzati rendelethez
4. melléklet az 1/2015.(I.30.)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31"/>
  <sheetViews>
    <sheetView view="pageBreakPreview" zoomScale="86" zoomScaleSheetLayoutView="86" workbookViewId="0" topLeftCell="B187">
      <selection activeCell="F231" sqref="F231"/>
    </sheetView>
  </sheetViews>
  <sheetFormatPr defaultColWidth="9.00390625" defaultRowHeight="12.75" customHeight="1"/>
  <cols>
    <col min="1" max="1" width="17.75390625" style="963" customWidth="1"/>
    <col min="2" max="2" width="7.75390625" style="963" customWidth="1"/>
    <col min="3" max="3" width="96.75390625" style="963" customWidth="1"/>
    <col min="4" max="4" width="14.875" style="963" customWidth="1"/>
    <col min="5" max="6" width="10.25390625" style="963" bestFit="1" customWidth="1"/>
    <col min="7" max="7" width="12.125" style="963" customWidth="1"/>
    <col min="8" max="8" width="18.75390625" style="963" customWidth="1"/>
    <col min="9" max="9" width="10.25390625" style="963" bestFit="1" customWidth="1"/>
    <col min="10" max="10" width="16.75390625" style="963" customWidth="1"/>
    <col min="11" max="11" width="18.125" style="963" customWidth="1"/>
    <col min="12" max="12" width="13.375" style="963" customWidth="1"/>
    <col min="13" max="13" width="8.875" style="963" bestFit="1" customWidth="1"/>
    <col min="14" max="14" width="10.625" style="963" bestFit="1" customWidth="1"/>
    <col min="15" max="15" width="19.125" style="963" customWidth="1"/>
    <col min="16" max="16" width="14.375" style="963" customWidth="1"/>
    <col min="17" max="17" width="16.625" style="963" customWidth="1"/>
    <col min="18" max="18" width="25.125" style="963" customWidth="1"/>
    <col min="19" max="19" width="11.00390625" style="963" bestFit="1" customWidth="1"/>
    <col min="20" max="16384" width="9.125" style="963" customWidth="1"/>
  </cols>
  <sheetData>
    <row r="2" spans="2:17" ht="12.75" customHeight="1">
      <c r="B2" s="1077" t="s">
        <v>23</v>
      </c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077"/>
      <c r="Q2" s="958"/>
    </row>
    <row r="3" spans="14:18" ht="12.75" customHeight="1" thickBot="1">
      <c r="N3" s="964"/>
      <c r="O3" s="965"/>
      <c r="P3" s="965"/>
      <c r="Q3" s="965"/>
      <c r="R3" s="965" t="s">
        <v>410</v>
      </c>
    </row>
    <row r="4" spans="1:19" s="966" customFormat="1" ht="12.75" customHeight="1" thickBot="1">
      <c r="A4" s="1085" t="s">
        <v>776</v>
      </c>
      <c r="B4" s="1085"/>
      <c r="C4" s="1085"/>
      <c r="D4" s="1085"/>
      <c r="E4" s="1078" t="s">
        <v>411</v>
      </c>
      <c r="F4" s="1078" t="s">
        <v>412</v>
      </c>
      <c r="G4" s="1079" t="s">
        <v>416</v>
      </c>
      <c r="H4" s="1079"/>
      <c r="I4" s="1079"/>
      <c r="J4" s="1079"/>
      <c r="K4" s="1079"/>
      <c r="L4" s="1079"/>
      <c r="M4" s="1089" t="s">
        <v>417</v>
      </c>
      <c r="N4" s="1089"/>
      <c r="O4" s="1089"/>
      <c r="P4" s="1089"/>
      <c r="Q4" s="1087" t="s">
        <v>381</v>
      </c>
      <c r="R4" s="1087"/>
      <c r="S4" s="1086" t="s">
        <v>887</v>
      </c>
    </row>
    <row r="5" spans="1:19" ht="12.75" customHeight="1" thickBot="1">
      <c r="A5" s="1085"/>
      <c r="B5" s="1085"/>
      <c r="C5" s="1085"/>
      <c r="D5" s="1085"/>
      <c r="E5" s="1078"/>
      <c r="F5" s="1078"/>
      <c r="G5" s="1080" t="s">
        <v>677</v>
      </c>
      <c r="H5" s="1080" t="s">
        <v>418</v>
      </c>
      <c r="I5" s="1080" t="s">
        <v>534</v>
      </c>
      <c r="J5" s="1080" t="s">
        <v>681</v>
      </c>
      <c r="K5" s="1080" t="s">
        <v>680</v>
      </c>
      <c r="L5" s="1080" t="s">
        <v>801</v>
      </c>
      <c r="M5" s="1083" t="s">
        <v>384</v>
      </c>
      <c r="N5" s="1083" t="s">
        <v>383</v>
      </c>
      <c r="O5" s="1080" t="s">
        <v>698</v>
      </c>
      <c r="P5" s="1082" t="s">
        <v>355</v>
      </c>
      <c r="Q5" s="1081" t="s">
        <v>419</v>
      </c>
      <c r="R5" s="1088" t="s">
        <v>356</v>
      </c>
      <c r="S5" s="1086"/>
    </row>
    <row r="6" spans="1:19" ht="19.5" customHeight="1" thickBot="1">
      <c r="A6" s="1085"/>
      <c r="B6" s="1085"/>
      <c r="C6" s="1085"/>
      <c r="D6" s="1085"/>
      <c r="E6" s="1078"/>
      <c r="F6" s="1078"/>
      <c r="G6" s="1080"/>
      <c r="H6" s="1080"/>
      <c r="I6" s="1080"/>
      <c r="J6" s="1080"/>
      <c r="K6" s="1080"/>
      <c r="L6" s="1080"/>
      <c r="M6" s="1083"/>
      <c r="N6" s="1083"/>
      <c r="O6" s="1080"/>
      <c r="P6" s="1082"/>
      <c r="Q6" s="1081"/>
      <c r="R6" s="1088"/>
      <c r="S6" s="1086"/>
    </row>
    <row r="7" spans="1:24" ht="12.75" customHeight="1">
      <c r="A7" s="967" t="s">
        <v>420</v>
      </c>
      <c r="B7" s="968" t="s">
        <v>422</v>
      </c>
      <c r="C7" s="969" t="s">
        <v>421</v>
      </c>
      <c r="D7" s="970" t="s">
        <v>4</v>
      </c>
      <c r="E7" s="971">
        <v>100000</v>
      </c>
      <c r="F7" s="972">
        <f aca="true" t="shared" si="0" ref="F7:F70">SUM(G7:R7)</f>
        <v>0</v>
      </c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4"/>
      <c r="S7" s="975"/>
      <c r="T7" s="976"/>
      <c r="U7" s="976"/>
      <c r="V7" s="976"/>
      <c r="W7" s="976"/>
      <c r="X7" s="976"/>
    </row>
    <row r="8" spans="1:24" ht="12.75" customHeight="1">
      <c r="A8" s="977"/>
      <c r="B8" s="978"/>
      <c r="C8" s="979"/>
      <c r="D8" s="980" t="s">
        <v>816</v>
      </c>
      <c r="E8" s="972">
        <v>81606</v>
      </c>
      <c r="F8" s="972">
        <f t="shared" si="0"/>
        <v>0</v>
      </c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2"/>
      <c r="S8" s="983"/>
      <c r="T8" s="976"/>
      <c r="U8" s="976"/>
      <c r="V8" s="976"/>
      <c r="W8" s="976"/>
      <c r="X8" s="976"/>
    </row>
    <row r="9" spans="1:24" ht="12.75" customHeight="1">
      <c r="A9" s="977"/>
      <c r="B9" s="978"/>
      <c r="C9" s="979"/>
      <c r="D9" s="980" t="s">
        <v>895</v>
      </c>
      <c r="E9" s="972">
        <v>81606</v>
      </c>
      <c r="F9" s="972">
        <f t="shared" si="0"/>
        <v>0</v>
      </c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2"/>
      <c r="S9" s="983"/>
      <c r="T9" s="976"/>
      <c r="U9" s="976"/>
      <c r="V9" s="976"/>
      <c r="W9" s="976"/>
      <c r="X9" s="976"/>
    </row>
    <row r="10" spans="1:24" ht="12.75" customHeight="1">
      <c r="A10" s="977" t="s">
        <v>420</v>
      </c>
      <c r="B10" s="978" t="s">
        <v>422</v>
      </c>
      <c r="C10" s="979" t="s">
        <v>423</v>
      </c>
      <c r="D10" s="970" t="s">
        <v>4</v>
      </c>
      <c r="E10" s="972">
        <v>241854</v>
      </c>
      <c r="F10" s="972">
        <f t="shared" si="0"/>
        <v>501519</v>
      </c>
      <c r="G10" s="981">
        <v>49450</v>
      </c>
      <c r="H10" s="981">
        <v>14695</v>
      </c>
      <c r="I10" s="981">
        <v>33710</v>
      </c>
      <c r="J10" s="981">
        <v>350405</v>
      </c>
      <c r="K10" s="981"/>
      <c r="L10" s="981"/>
      <c r="M10" s="981">
        <v>1016</v>
      </c>
      <c r="N10" s="981">
        <v>41243</v>
      </c>
      <c r="O10" s="981"/>
      <c r="P10" s="981"/>
      <c r="Q10" s="981">
        <v>11000</v>
      </c>
      <c r="R10" s="982"/>
      <c r="S10" s="983"/>
      <c r="T10" s="976"/>
      <c r="U10" s="976"/>
      <c r="V10" s="976"/>
      <c r="W10" s="976"/>
      <c r="X10" s="976"/>
    </row>
    <row r="11" spans="1:24" ht="12.75" customHeight="1">
      <c r="A11" s="977"/>
      <c r="B11" s="978"/>
      <c r="C11" s="979"/>
      <c r="D11" s="980" t="s">
        <v>816</v>
      </c>
      <c r="E11" s="972">
        <v>241854</v>
      </c>
      <c r="F11" s="972">
        <f t="shared" si="0"/>
        <v>506608</v>
      </c>
      <c r="G11" s="981">
        <v>50354</v>
      </c>
      <c r="H11" s="981">
        <v>14695</v>
      </c>
      <c r="I11" s="981">
        <v>32486</v>
      </c>
      <c r="J11" s="981">
        <v>366434</v>
      </c>
      <c r="K11" s="981"/>
      <c r="L11" s="981"/>
      <c r="M11" s="981">
        <v>1016</v>
      </c>
      <c r="N11" s="981">
        <v>41243</v>
      </c>
      <c r="O11" s="981">
        <v>380</v>
      </c>
      <c r="P11" s="981"/>
      <c r="Q11" s="981"/>
      <c r="R11" s="982"/>
      <c r="S11" s="983"/>
      <c r="T11" s="976"/>
      <c r="U11" s="976"/>
      <c r="V11" s="976"/>
      <c r="W11" s="976"/>
      <c r="X11" s="976"/>
    </row>
    <row r="12" spans="1:24" ht="12.75" customHeight="1">
      <c r="A12" s="977"/>
      <c r="B12" s="978"/>
      <c r="C12" s="979"/>
      <c r="D12" s="980" t="s">
        <v>895</v>
      </c>
      <c r="E12" s="972">
        <v>242884</v>
      </c>
      <c r="F12" s="972">
        <f t="shared" si="0"/>
        <v>792102</v>
      </c>
      <c r="G12" s="981">
        <v>52164</v>
      </c>
      <c r="H12" s="981">
        <v>14940</v>
      </c>
      <c r="I12" s="981">
        <f>I11+276970+2182</f>
        <v>311638</v>
      </c>
      <c r="J12" s="981">
        <f>J11+14504</f>
        <v>380938</v>
      </c>
      <c r="K12" s="981"/>
      <c r="L12" s="981"/>
      <c r="M12" s="981">
        <v>1016</v>
      </c>
      <c r="N12" s="981">
        <v>31026</v>
      </c>
      <c r="O12" s="981">
        <v>380</v>
      </c>
      <c r="P12" s="981"/>
      <c r="Q12" s="981"/>
      <c r="R12" s="982"/>
      <c r="S12" s="983"/>
      <c r="T12" s="976"/>
      <c r="U12" s="976"/>
      <c r="V12" s="976"/>
      <c r="W12" s="976"/>
      <c r="X12" s="976"/>
    </row>
    <row r="13" spans="1:24" ht="12.75" customHeight="1">
      <c r="A13" s="977" t="s">
        <v>424</v>
      </c>
      <c r="B13" s="978" t="s">
        <v>425</v>
      </c>
      <c r="C13" s="979" t="s">
        <v>426</v>
      </c>
      <c r="D13" s="984" t="s">
        <v>4</v>
      </c>
      <c r="E13" s="972">
        <v>1918951</v>
      </c>
      <c r="F13" s="972">
        <f t="shared" si="0"/>
        <v>0</v>
      </c>
      <c r="G13" s="985"/>
      <c r="H13" s="985"/>
      <c r="I13" s="985"/>
      <c r="J13" s="985"/>
      <c r="K13" s="985"/>
      <c r="L13" s="985"/>
      <c r="M13" s="985"/>
      <c r="N13" s="985"/>
      <c r="O13" s="985"/>
      <c r="P13" s="985"/>
      <c r="Q13" s="985"/>
      <c r="R13" s="982"/>
      <c r="S13" s="983"/>
      <c r="T13" s="976"/>
      <c r="U13" s="976"/>
      <c r="V13" s="976"/>
      <c r="W13" s="976"/>
      <c r="X13" s="976"/>
    </row>
    <row r="14" spans="1:24" ht="12.75" customHeight="1">
      <c r="A14" s="977"/>
      <c r="B14" s="978"/>
      <c r="C14" s="979"/>
      <c r="D14" s="980" t="s">
        <v>816</v>
      </c>
      <c r="E14" s="972">
        <v>1918361</v>
      </c>
      <c r="F14" s="972">
        <f t="shared" si="0"/>
        <v>0</v>
      </c>
      <c r="G14" s="985"/>
      <c r="H14" s="985"/>
      <c r="I14" s="985"/>
      <c r="J14" s="985"/>
      <c r="K14" s="985"/>
      <c r="L14" s="985"/>
      <c r="M14" s="985"/>
      <c r="N14" s="985"/>
      <c r="O14" s="985"/>
      <c r="P14" s="985"/>
      <c r="Q14" s="985"/>
      <c r="R14" s="982"/>
      <c r="S14" s="983"/>
      <c r="T14" s="976"/>
      <c r="U14" s="976"/>
      <c r="V14" s="976"/>
      <c r="W14" s="976"/>
      <c r="X14" s="976"/>
    </row>
    <row r="15" spans="1:24" ht="12.75" customHeight="1">
      <c r="A15" s="977"/>
      <c r="B15" s="978"/>
      <c r="C15" s="979"/>
      <c r="D15" s="980" t="s">
        <v>895</v>
      </c>
      <c r="E15" s="972">
        <f>E14+590</f>
        <v>1918951</v>
      </c>
      <c r="F15" s="972">
        <f t="shared" si="0"/>
        <v>0</v>
      </c>
      <c r="G15" s="985"/>
      <c r="H15" s="985"/>
      <c r="I15" s="985"/>
      <c r="J15" s="985"/>
      <c r="K15" s="985"/>
      <c r="L15" s="985"/>
      <c r="M15" s="985"/>
      <c r="N15" s="985"/>
      <c r="O15" s="985"/>
      <c r="P15" s="985"/>
      <c r="Q15" s="985"/>
      <c r="R15" s="982"/>
      <c r="S15" s="983"/>
      <c r="T15" s="976"/>
      <c r="U15" s="976"/>
      <c r="V15" s="976"/>
      <c r="W15" s="976"/>
      <c r="X15" s="976"/>
    </row>
    <row r="16" spans="1:24" ht="12.75" customHeight="1">
      <c r="A16" s="977" t="s">
        <v>427</v>
      </c>
      <c r="B16" s="978" t="s">
        <v>428</v>
      </c>
      <c r="C16" s="979" t="s">
        <v>429</v>
      </c>
      <c r="D16" s="984" t="s">
        <v>4</v>
      </c>
      <c r="E16" s="972">
        <v>2700</v>
      </c>
      <c r="F16" s="972">
        <f t="shared" si="0"/>
        <v>3600</v>
      </c>
      <c r="G16" s="985"/>
      <c r="H16" s="985"/>
      <c r="I16" s="985">
        <v>3600</v>
      </c>
      <c r="J16" s="985"/>
      <c r="K16" s="985"/>
      <c r="L16" s="985"/>
      <c r="M16" s="985"/>
      <c r="N16" s="985"/>
      <c r="O16" s="985"/>
      <c r="P16" s="985"/>
      <c r="Q16" s="985"/>
      <c r="R16" s="982"/>
      <c r="S16" s="983"/>
      <c r="T16" s="976"/>
      <c r="U16" s="976"/>
      <c r="V16" s="976"/>
      <c r="W16" s="976"/>
      <c r="X16" s="976"/>
    </row>
    <row r="17" spans="1:24" ht="12.75" customHeight="1">
      <c r="A17" s="977"/>
      <c r="B17" s="978"/>
      <c r="C17" s="979"/>
      <c r="D17" s="980" t="s">
        <v>816</v>
      </c>
      <c r="E17" s="972">
        <v>2700</v>
      </c>
      <c r="F17" s="972">
        <f t="shared" si="0"/>
        <v>4100</v>
      </c>
      <c r="G17" s="985"/>
      <c r="H17" s="985"/>
      <c r="I17" s="985">
        <v>3600</v>
      </c>
      <c r="J17" s="985">
        <v>500</v>
      </c>
      <c r="K17" s="985"/>
      <c r="L17" s="985"/>
      <c r="M17" s="985"/>
      <c r="N17" s="985"/>
      <c r="O17" s="985"/>
      <c r="P17" s="985"/>
      <c r="Q17" s="985"/>
      <c r="R17" s="982"/>
      <c r="S17" s="983"/>
      <c r="T17" s="976"/>
      <c r="U17" s="976"/>
      <c r="V17" s="976"/>
      <c r="W17" s="976"/>
      <c r="X17" s="976"/>
    </row>
    <row r="18" spans="1:24" ht="12.75" customHeight="1">
      <c r="A18" s="977"/>
      <c r="B18" s="978"/>
      <c r="C18" s="979"/>
      <c r="D18" s="980" t="s">
        <v>895</v>
      </c>
      <c r="E18" s="972">
        <v>2700</v>
      </c>
      <c r="F18" s="972">
        <f t="shared" si="0"/>
        <v>4100</v>
      </c>
      <c r="G18" s="985"/>
      <c r="H18" s="985"/>
      <c r="I18" s="985">
        <v>3600</v>
      </c>
      <c r="J18" s="985">
        <v>500</v>
      </c>
      <c r="K18" s="985"/>
      <c r="L18" s="985"/>
      <c r="M18" s="985"/>
      <c r="N18" s="985"/>
      <c r="O18" s="985"/>
      <c r="P18" s="985"/>
      <c r="Q18" s="985"/>
      <c r="R18" s="982"/>
      <c r="S18" s="983"/>
      <c r="T18" s="976"/>
      <c r="U18" s="976"/>
      <c r="V18" s="976"/>
      <c r="W18" s="976"/>
      <c r="X18" s="976"/>
    </row>
    <row r="19" spans="1:24" ht="12.75" customHeight="1">
      <c r="A19" s="977" t="s">
        <v>424</v>
      </c>
      <c r="B19" s="978" t="s">
        <v>430</v>
      </c>
      <c r="C19" s="979" t="s">
        <v>431</v>
      </c>
      <c r="D19" s="984" t="s">
        <v>4</v>
      </c>
      <c r="E19" s="972">
        <v>5969</v>
      </c>
      <c r="F19" s="972">
        <f t="shared" si="0"/>
        <v>17143</v>
      </c>
      <c r="G19" s="981"/>
      <c r="H19" s="981"/>
      <c r="I19" s="981">
        <v>17143</v>
      </c>
      <c r="J19" s="981"/>
      <c r="K19" s="981"/>
      <c r="L19" s="981"/>
      <c r="M19" s="981">
        <v>0</v>
      </c>
      <c r="N19" s="981"/>
      <c r="O19" s="981"/>
      <c r="P19" s="981"/>
      <c r="Q19" s="981"/>
      <c r="R19" s="982"/>
      <c r="S19" s="983"/>
      <c r="T19" s="976"/>
      <c r="U19" s="976"/>
      <c r="V19" s="976"/>
      <c r="W19" s="976"/>
      <c r="X19" s="976"/>
    </row>
    <row r="20" spans="1:24" ht="12.75" customHeight="1">
      <c r="A20" s="977"/>
      <c r="B20" s="978"/>
      <c r="C20" s="979"/>
      <c r="D20" s="980" t="s">
        <v>816</v>
      </c>
      <c r="E20" s="972">
        <v>5969</v>
      </c>
      <c r="F20" s="972">
        <f t="shared" si="0"/>
        <v>17143</v>
      </c>
      <c r="G20" s="981"/>
      <c r="H20" s="981"/>
      <c r="I20" s="981">
        <v>16508</v>
      </c>
      <c r="J20" s="981">
        <v>635</v>
      </c>
      <c r="K20" s="981"/>
      <c r="L20" s="981"/>
      <c r="M20" s="981"/>
      <c r="N20" s="981"/>
      <c r="O20" s="981"/>
      <c r="P20" s="981"/>
      <c r="Q20" s="981"/>
      <c r="R20" s="982"/>
      <c r="S20" s="983"/>
      <c r="T20" s="976"/>
      <c r="U20" s="976"/>
      <c r="V20" s="976"/>
      <c r="W20" s="976"/>
      <c r="X20" s="976"/>
    </row>
    <row r="21" spans="1:24" ht="12.75" customHeight="1">
      <c r="A21" s="977"/>
      <c r="B21" s="978"/>
      <c r="C21" s="979"/>
      <c r="D21" s="980" t="s">
        <v>895</v>
      </c>
      <c r="E21" s="972">
        <f>E20+1215</f>
        <v>7184</v>
      </c>
      <c r="F21" s="972">
        <f t="shared" si="0"/>
        <v>16831</v>
      </c>
      <c r="G21" s="981"/>
      <c r="H21" s="981"/>
      <c r="I21" s="981">
        <f>I20-312</f>
        <v>16196</v>
      </c>
      <c r="J21" s="981">
        <v>635</v>
      </c>
      <c r="K21" s="981"/>
      <c r="L21" s="981"/>
      <c r="M21" s="981"/>
      <c r="N21" s="981"/>
      <c r="O21" s="981"/>
      <c r="P21" s="981"/>
      <c r="Q21" s="981"/>
      <c r="R21" s="982"/>
      <c r="S21" s="983"/>
      <c r="T21" s="976"/>
      <c r="U21" s="976"/>
      <c r="V21" s="976"/>
      <c r="W21" s="976"/>
      <c r="X21" s="976"/>
    </row>
    <row r="22" spans="1:24" ht="12.75" customHeight="1">
      <c r="A22" s="977" t="s">
        <v>424</v>
      </c>
      <c r="B22" s="978" t="s">
        <v>432</v>
      </c>
      <c r="C22" s="979" t="s">
        <v>433</v>
      </c>
      <c r="D22" s="984" t="s">
        <v>4</v>
      </c>
      <c r="E22" s="972">
        <v>2589024</v>
      </c>
      <c r="F22" s="972">
        <f t="shared" si="0"/>
        <v>2520749</v>
      </c>
      <c r="G22" s="981"/>
      <c r="H22" s="981"/>
      <c r="I22" s="981">
        <v>342829</v>
      </c>
      <c r="J22" s="981"/>
      <c r="K22" s="981"/>
      <c r="L22" s="981"/>
      <c r="M22" s="981">
        <v>96344</v>
      </c>
      <c r="N22" s="981">
        <v>1926076</v>
      </c>
      <c r="O22" s="981">
        <v>149000</v>
      </c>
      <c r="P22" s="981"/>
      <c r="Q22" s="981">
        <v>6500</v>
      </c>
      <c r="R22" s="982"/>
      <c r="S22" s="983"/>
      <c r="T22" s="976"/>
      <c r="U22" s="976"/>
      <c r="V22" s="976"/>
      <c r="W22" s="976"/>
      <c r="X22" s="976"/>
    </row>
    <row r="23" spans="1:24" ht="12.75" customHeight="1">
      <c r="A23" s="977"/>
      <c r="B23" s="978"/>
      <c r="C23" s="979"/>
      <c r="D23" s="980" t="s">
        <v>816</v>
      </c>
      <c r="E23" s="972">
        <v>2604792</v>
      </c>
      <c r="F23" s="972">
        <f t="shared" si="0"/>
        <v>2558800</v>
      </c>
      <c r="G23" s="981">
        <v>3110</v>
      </c>
      <c r="H23" s="981">
        <v>756</v>
      </c>
      <c r="I23" s="981">
        <v>441823</v>
      </c>
      <c r="J23" s="981">
        <v>6500</v>
      </c>
      <c r="K23" s="981"/>
      <c r="L23" s="981"/>
      <c r="M23" s="981">
        <v>110294</v>
      </c>
      <c r="N23" s="981">
        <v>1834547</v>
      </c>
      <c r="O23" s="981">
        <v>161770</v>
      </c>
      <c r="P23" s="981"/>
      <c r="Q23" s="981"/>
      <c r="R23" s="982"/>
      <c r="S23" s="983"/>
      <c r="T23" s="976"/>
      <c r="U23" s="976"/>
      <c r="V23" s="976"/>
      <c r="W23" s="976"/>
      <c r="X23" s="976"/>
    </row>
    <row r="24" spans="1:24" ht="12.75" customHeight="1">
      <c r="A24" s="977"/>
      <c r="B24" s="978"/>
      <c r="C24" s="979"/>
      <c r="D24" s="980" t="s">
        <v>895</v>
      </c>
      <c r="E24" s="972">
        <v>2567155</v>
      </c>
      <c r="F24" s="972">
        <f t="shared" si="0"/>
        <v>2512639</v>
      </c>
      <c r="G24" s="981">
        <v>3110</v>
      </c>
      <c r="H24" s="981">
        <v>756</v>
      </c>
      <c r="I24" s="981">
        <f>I23-111401+456+1265</f>
        <v>332143</v>
      </c>
      <c r="J24" s="981">
        <v>6500</v>
      </c>
      <c r="K24" s="981"/>
      <c r="L24" s="981"/>
      <c r="M24" s="981">
        <f>M23-4187</f>
        <v>106107</v>
      </c>
      <c r="N24" s="981">
        <f>N23+50724-1934</f>
        <v>1883337</v>
      </c>
      <c r="O24" s="981">
        <f>O23+18916</f>
        <v>180686</v>
      </c>
      <c r="P24" s="981"/>
      <c r="Q24" s="981"/>
      <c r="R24" s="982"/>
      <c r="S24" s="983"/>
      <c r="T24" s="976"/>
      <c r="U24" s="976"/>
      <c r="V24" s="976"/>
      <c r="W24" s="976"/>
      <c r="X24" s="976"/>
    </row>
    <row r="25" spans="1:24" ht="12.75" customHeight="1">
      <c r="A25" s="977" t="s">
        <v>427</v>
      </c>
      <c r="B25" s="978" t="s">
        <v>434</v>
      </c>
      <c r="C25" s="979" t="s">
        <v>435</v>
      </c>
      <c r="D25" s="984" t="s">
        <v>4</v>
      </c>
      <c r="E25" s="972"/>
      <c r="F25" s="972">
        <f t="shared" si="0"/>
        <v>4610</v>
      </c>
      <c r="G25" s="985">
        <v>3050</v>
      </c>
      <c r="H25" s="985">
        <v>1560</v>
      </c>
      <c r="I25" s="985"/>
      <c r="J25" s="985"/>
      <c r="K25" s="985"/>
      <c r="L25" s="985"/>
      <c r="M25" s="985"/>
      <c r="N25" s="985"/>
      <c r="O25" s="985"/>
      <c r="P25" s="985"/>
      <c r="Q25" s="985"/>
      <c r="R25" s="982"/>
      <c r="S25" s="983"/>
      <c r="T25" s="976"/>
      <c r="U25" s="976"/>
      <c r="V25" s="976"/>
      <c r="W25" s="976"/>
      <c r="X25" s="976"/>
    </row>
    <row r="26" spans="1:24" ht="12.75" customHeight="1">
      <c r="A26" s="977"/>
      <c r="B26" s="978"/>
      <c r="C26" s="979"/>
      <c r="D26" s="980" t="s">
        <v>816</v>
      </c>
      <c r="E26" s="972"/>
      <c r="F26" s="972">
        <f t="shared" si="0"/>
        <v>4610</v>
      </c>
      <c r="G26" s="985">
        <v>3050</v>
      </c>
      <c r="H26" s="985">
        <v>1560</v>
      </c>
      <c r="I26" s="985"/>
      <c r="J26" s="985"/>
      <c r="K26" s="985"/>
      <c r="L26" s="985"/>
      <c r="M26" s="985"/>
      <c r="N26" s="985"/>
      <c r="O26" s="985"/>
      <c r="P26" s="985"/>
      <c r="Q26" s="985"/>
      <c r="R26" s="982"/>
      <c r="S26" s="983"/>
      <c r="T26" s="976"/>
      <c r="U26" s="976"/>
      <c r="V26" s="976"/>
      <c r="W26" s="976"/>
      <c r="X26" s="976"/>
    </row>
    <row r="27" spans="1:24" ht="12.75" customHeight="1">
      <c r="A27" s="977"/>
      <c r="B27" s="978"/>
      <c r="C27" s="979"/>
      <c r="D27" s="980" t="s">
        <v>895</v>
      </c>
      <c r="E27" s="972"/>
      <c r="F27" s="972">
        <f t="shared" si="0"/>
        <v>4610</v>
      </c>
      <c r="G27" s="985">
        <v>3050</v>
      </c>
      <c r="H27" s="985">
        <v>1560</v>
      </c>
      <c r="I27" s="985"/>
      <c r="J27" s="985"/>
      <c r="K27" s="985"/>
      <c r="L27" s="985"/>
      <c r="M27" s="985"/>
      <c r="N27" s="985"/>
      <c r="O27" s="985"/>
      <c r="P27" s="985"/>
      <c r="Q27" s="985"/>
      <c r="R27" s="982"/>
      <c r="S27" s="983"/>
      <c r="T27" s="976"/>
      <c r="U27" s="976"/>
      <c r="V27" s="976"/>
      <c r="W27" s="976"/>
      <c r="X27" s="976"/>
    </row>
    <row r="28" spans="1:24" ht="12.75" customHeight="1">
      <c r="A28" s="977" t="s">
        <v>427</v>
      </c>
      <c r="B28" s="978" t="s">
        <v>434</v>
      </c>
      <c r="C28" s="979" t="s">
        <v>436</v>
      </c>
      <c r="D28" s="984" t="s">
        <v>4</v>
      </c>
      <c r="E28" s="972">
        <v>2600</v>
      </c>
      <c r="F28" s="972">
        <f t="shared" si="0"/>
        <v>5274</v>
      </c>
      <c r="G28" s="985">
        <v>2000</v>
      </c>
      <c r="H28" s="985">
        <v>1024</v>
      </c>
      <c r="I28" s="985">
        <v>2250</v>
      </c>
      <c r="J28" s="985"/>
      <c r="K28" s="985"/>
      <c r="L28" s="985"/>
      <c r="M28" s="985"/>
      <c r="N28" s="985"/>
      <c r="O28" s="985"/>
      <c r="P28" s="985"/>
      <c r="Q28" s="985"/>
      <c r="R28" s="982"/>
      <c r="S28" s="983"/>
      <c r="T28" s="976"/>
      <c r="U28" s="976"/>
      <c r="V28" s="976"/>
      <c r="W28" s="976"/>
      <c r="X28" s="976"/>
    </row>
    <row r="29" spans="1:24" ht="12.75" customHeight="1">
      <c r="A29" s="977"/>
      <c r="B29" s="978"/>
      <c r="C29" s="979"/>
      <c r="D29" s="980" t="s">
        <v>816</v>
      </c>
      <c r="E29" s="972">
        <v>2600</v>
      </c>
      <c r="F29" s="972">
        <f t="shared" si="0"/>
        <v>5274</v>
      </c>
      <c r="G29" s="985">
        <v>2000</v>
      </c>
      <c r="H29" s="985">
        <v>1024</v>
      </c>
      <c r="I29" s="985">
        <v>2250</v>
      </c>
      <c r="J29" s="985"/>
      <c r="K29" s="985"/>
      <c r="L29" s="985"/>
      <c r="M29" s="985"/>
      <c r="N29" s="985"/>
      <c r="O29" s="985"/>
      <c r="P29" s="985"/>
      <c r="Q29" s="985"/>
      <c r="R29" s="982"/>
      <c r="S29" s="983"/>
      <c r="T29" s="976"/>
      <c r="U29" s="976"/>
      <c r="V29" s="976"/>
      <c r="W29" s="976"/>
      <c r="X29" s="976"/>
    </row>
    <row r="30" spans="1:24" ht="12.75" customHeight="1">
      <c r="A30" s="977"/>
      <c r="B30" s="978"/>
      <c r="C30" s="979"/>
      <c r="D30" s="980" t="s">
        <v>895</v>
      </c>
      <c r="E30" s="972">
        <v>2600</v>
      </c>
      <c r="F30" s="972">
        <f t="shared" si="0"/>
        <v>4224</v>
      </c>
      <c r="G30" s="985">
        <v>2000</v>
      </c>
      <c r="H30" s="985">
        <v>1024</v>
      </c>
      <c r="I30" s="985">
        <v>644</v>
      </c>
      <c r="J30" s="985"/>
      <c r="K30" s="985"/>
      <c r="L30" s="985"/>
      <c r="M30" s="985"/>
      <c r="N30" s="985">
        <v>556</v>
      </c>
      <c r="O30" s="985"/>
      <c r="P30" s="985"/>
      <c r="Q30" s="985"/>
      <c r="R30" s="982"/>
      <c r="S30" s="983"/>
      <c r="T30" s="976"/>
      <c r="U30" s="976"/>
      <c r="V30" s="976"/>
      <c r="W30" s="976"/>
      <c r="X30" s="976"/>
    </row>
    <row r="31" spans="1:24" ht="12.75" customHeight="1">
      <c r="A31" s="977" t="s">
        <v>427</v>
      </c>
      <c r="B31" s="978" t="s">
        <v>434</v>
      </c>
      <c r="C31" s="979" t="s">
        <v>437</v>
      </c>
      <c r="D31" s="984" t="s">
        <v>4</v>
      </c>
      <c r="E31" s="972"/>
      <c r="F31" s="972">
        <f t="shared" si="0"/>
        <v>7485</v>
      </c>
      <c r="G31" s="985">
        <v>4950</v>
      </c>
      <c r="H31" s="985">
        <v>2535</v>
      </c>
      <c r="I31" s="985"/>
      <c r="J31" s="985"/>
      <c r="K31" s="985"/>
      <c r="L31" s="985"/>
      <c r="M31" s="985"/>
      <c r="N31" s="985"/>
      <c r="O31" s="985"/>
      <c r="P31" s="985"/>
      <c r="Q31" s="985"/>
      <c r="R31" s="982"/>
      <c r="S31" s="983"/>
      <c r="T31" s="976"/>
      <c r="U31" s="976"/>
      <c r="V31" s="976"/>
      <c r="W31" s="976"/>
      <c r="X31" s="976"/>
    </row>
    <row r="32" spans="1:24" ht="12.75" customHeight="1">
      <c r="A32" s="977"/>
      <c r="B32" s="978"/>
      <c r="C32" s="979"/>
      <c r="D32" s="980" t="s">
        <v>816</v>
      </c>
      <c r="E32" s="972"/>
      <c r="F32" s="972">
        <f t="shared" si="0"/>
        <v>7485</v>
      </c>
      <c r="G32" s="985">
        <v>4950</v>
      </c>
      <c r="H32" s="985">
        <v>2535</v>
      </c>
      <c r="I32" s="985"/>
      <c r="J32" s="985"/>
      <c r="K32" s="985"/>
      <c r="L32" s="985"/>
      <c r="M32" s="985"/>
      <c r="N32" s="985"/>
      <c r="O32" s="985"/>
      <c r="P32" s="985"/>
      <c r="Q32" s="985"/>
      <c r="R32" s="982"/>
      <c r="S32" s="983"/>
      <c r="T32" s="976"/>
      <c r="U32" s="976"/>
      <c r="V32" s="976"/>
      <c r="W32" s="976"/>
      <c r="X32" s="976"/>
    </row>
    <row r="33" spans="1:24" ht="12.75" customHeight="1">
      <c r="A33" s="977"/>
      <c r="B33" s="978"/>
      <c r="C33" s="979"/>
      <c r="D33" s="980" t="s">
        <v>895</v>
      </c>
      <c r="E33" s="972"/>
      <c r="F33" s="972">
        <f t="shared" si="0"/>
        <v>7492</v>
      </c>
      <c r="G33" s="985">
        <f>G32+7</f>
        <v>4957</v>
      </c>
      <c r="H33" s="985">
        <v>2535</v>
      </c>
      <c r="I33" s="985"/>
      <c r="J33" s="985"/>
      <c r="K33" s="985"/>
      <c r="L33" s="985"/>
      <c r="M33" s="985"/>
      <c r="N33" s="985"/>
      <c r="O33" s="985"/>
      <c r="P33" s="985"/>
      <c r="Q33" s="985"/>
      <c r="R33" s="982"/>
      <c r="S33" s="983"/>
      <c r="T33" s="976"/>
      <c r="U33" s="976"/>
      <c r="V33" s="976"/>
      <c r="W33" s="976"/>
      <c r="X33" s="976"/>
    </row>
    <row r="34" spans="1:24" ht="12.75" customHeight="1">
      <c r="A34" s="977" t="s">
        <v>427</v>
      </c>
      <c r="B34" s="978" t="s">
        <v>434</v>
      </c>
      <c r="C34" s="979" t="s">
        <v>438</v>
      </c>
      <c r="D34" s="984" t="s">
        <v>4</v>
      </c>
      <c r="E34" s="972"/>
      <c r="F34" s="972">
        <f t="shared" si="0"/>
        <v>4500</v>
      </c>
      <c r="G34" s="985">
        <v>3290</v>
      </c>
      <c r="H34" s="985">
        <v>1210</v>
      </c>
      <c r="I34" s="985"/>
      <c r="J34" s="985"/>
      <c r="K34" s="985"/>
      <c r="L34" s="985"/>
      <c r="M34" s="985"/>
      <c r="N34" s="985"/>
      <c r="O34" s="985"/>
      <c r="P34" s="985"/>
      <c r="Q34" s="985"/>
      <c r="R34" s="982"/>
      <c r="S34" s="983"/>
      <c r="T34" s="976"/>
      <c r="U34" s="976"/>
      <c r="V34" s="976"/>
      <c r="W34" s="976"/>
      <c r="X34" s="976"/>
    </row>
    <row r="35" spans="1:24" ht="12.75" customHeight="1">
      <c r="A35" s="977"/>
      <c r="B35" s="978"/>
      <c r="C35" s="979"/>
      <c r="D35" s="980" t="s">
        <v>816</v>
      </c>
      <c r="E35" s="972"/>
      <c r="F35" s="972">
        <f t="shared" si="0"/>
        <v>4500</v>
      </c>
      <c r="G35" s="985">
        <v>3290</v>
      </c>
      <c r="H35" s="985">
        <v>1210</v>
      </c>
      <c r="I35" s="985"/>
      <c r="J35" s="985"/>
      <c r="K35" s="985"/>
      <c r="L35" s="985"/>
      <c r="M35" s="985"/>
      <c r="N35" s="985"/>
      <c r="O35" s="985"/>
      <c r="P35" s="985"/>
      <c r="Q35" s="985"/>
      <c r="R35" s="982"/>
      <c r="S35" s="983"/>
      <c r="T35" s="976"/>
      <c r="U35" s="976"/>
      <c r="V35" s="976"/>
      <c r="W35" s="976"/>
      <c r="X35" s="976"/>
    </row>
    <row r="36" spans="1:24" ht="12.75" customHeight="1">
      <c r="A36" s="977"/>
      <c r="B36" s="978"/>
      <c r="C36" s="979"/>
      <c r="D36" s="980" t="s">
        <v>895</v>
      </c>
      <c r="E36" s="972"/>
      <c r="F36" s="972">
        <f t="shared" si="0"/>
        <v>4500</v>
      </c>
      <c r="G36" s="985">
        <v>3290</v>
      </c>
      <c r="H36" s="985">
        <v>1210</v>
      </c>
      <c r="I36" s="985"/>
      <c r="J36" s="985"/>
      <c r="K36" s="985"/>
      <c r="L36" s="985"/>
      <c r="M36" s="985"/>
      <c r="N36" s="985"/>
      <c r="O36" s="985"/>
      <c r="P36" s="985"/>
      <c r="Q36" s="985"/>
      <c r="R36" s="982"/>
      <c r="S36" s="983"/>
      <c r="T36" s="976"/>
      <c r="U36" s="976"/>
      <c r="V36" s="976"/>
      <c r="W36" s="976"/>
      <c r="X36" s="976"/>
    </row>
    <row r="37" spans="1:24" ht="12.75" customHeight="1">
      <c r="A37" s="977" t="s">
        <v>420</v>
      </c>
      <c r="B37" s="978" t="s">
        <v>439</v>
      </c>
      <c r="C37" s="979" t="s">
        <v>440</v>
      </c>
      <c r="D37" s="984" t="s">
        <v>4</v>
      </c>
      <c r="E37" s="972">
        <v>1107179</v>
      </c>
      <c r="F37" s="972">
        <f t="shared" si="0"/>
        <v>0</v>
      </c>
      <c r="G37" s="981"/>
      <c r="H37" s="981"/>
      <c r="I37" s="981"/>
      <c r="J37" s="981"/>
      <c r="K37" s="981"/>
      <c r="L37" s="981"/>
      <c r="M37" s="981"/>
      <c r="N37" s="981"/>
      <c r="O37" s="981"/>
      <c r="P37" s="981"/>
      <c r="Q37" s="981"/>
      <c r="R37" s="982"/>
      <c r="S37" s="983"/>
      <c r="T37" s="976"/>
      <c r="U37" s="976"/>
      <c r="V37" s="976"/>
      <c r="W37" s="976"/>
      <c r="X37" s="976"/>
    </row>
    <row r="38" spans="1:24" ht="12.75" customHeight="1">
      <c r="A38" s="977"/>
      <c r="B38" s="978"/>
      <c r="C38" s="979"/>
      <c r="D38" s="980" t="s">
        <v>816</v>
      </c>
      <c r="E38" s="972">
        <v>1130568</v>
      </c>
      <c r="F38" s="972">
        <f t="shared" si="0"/>
        <v>35131</v>
      </c>
      <c r="G38" s="981"/>
      <c r="H38" s="981"/>
      <c r="I38" s="981"/>
      <c r="J38" s="981"/>
      <c r="K38" s="981"/>
      <c r="L38" s="981"/>
      <c r="M38" s="981"/>
      <c r="N38" s="981"/>
      <c r="O38" s="981"/>
      <c r="P38" s="981"/>
      <c r="Q38" s="981">
        <v>35131</v>
      </c>
      <c r="R38" s="982"/>
      <c r="S38" s="983"/>
      <c r="T38" s="976"/>
      <c r="U38" s="976"/>
      <c r="V38" s="976"/>
      <c r="W38" s="976"/>
      <c r="X38" s="976"/>
    </row>
    <row r="39" spans="1:24" ht="12.75" customHeight="1">
      <c r="A39" s="977"/>
      <c r="B39" s="978"/>
      <c r="C39" s="979"/>
      <c r="D39" s="980" t="s">
        <v>895</v>
      </c>
      <c r="E39" s="972">
        <f>E38+36803</f>
        <v>1167371</v>
      </c>
      <c r="F39" s="972">
        <f t="shared" si="0"/>
        <v>35131</v>
      </c>
      <c r="G39" s="981"/>
      <c r="H39" s="981"/>
      <c r="I39" s="981"/>
      <c r="J39" s="981"/>
      <c r="K39" s="981"/>
      <c r="L39" s="981"/>
      <c r="M39" s="981"/>
      <c r="N39" s="981"/>
      <c r="O39" s="981"/>
      <c r="P39" s="981"/>
      <c r="Q39" s="981">
        <v>35131</v>
      </c>
      <c r="R39" s="982"/>
      <c r="S39" s="983"/>
      <c r="T39" s="976"/>
      <c r="U39" s="976"/>
      <c r="V39" s="976"/>
      <c r="W39" s="976"/>
      <c r="X39" s="976"/>
    </row>
    <row r="40" spans="1:24" ht="12.75" customHeight="1">
      <c r="A40" s="977" t="s">
        <v>420</v>
      </c>
      <c r="B40" s="978" t="s">
        <v>441</v>
      </c>
      <c r="C40" s="979" t="s">
        <v>442</v>
      </c>
      <c r="D40" s="984" t="s">
        <v>4</v>
      </c>
      <c r="E40" s="972"/>
      <c r="F40" s="972">
        <f t="shared" si="0"/>
        <v>5600</v>
      </c>
      <c r="G40" s="985"/>
      <c r="H40" s="985"/>
      <c r="I40" s="985"/>
      <c r="J40" s="985">
        <v>5600</v>
      </c>
      <c r="K40" s="985"/>
      <c r="L40" s="985"/>
      <c r="M40" s="985"/>
      <c r="N40" s="985"/>
      <c r="O40" s="985"/>
      <c r="P40" s="985"/>
      <c r="Q40" s="985"/>
      <c r="R40" s="982"/>
      <c r="S40" s="983"/>
      <c r="T40" s="976"/>
      <c r="U40" s="976"/>
      <c r="V40" s="976"/>
      <c r="W40" s="976"/>
      <c r="X40" s="976"/>
    </row>
    <row r="41" spans="1:24" ht="12.75" customHeight="1">
      <c r="A41" s="977"/>
      <c r="B41" s="978"/>
      <c r="C41" s="979"/>
      <c r="D41" s="980" t="s">
        <v>816</v>
      </c>
      <c r="E41" s="972"/>
      <c r="F41" s="972">
        <f t="shared" si="0"/>
        <v>3680</v>
      </c>
      <c r="G41" s="985"/>
      <c r="H41" s="985"/>
      <c r="I41" s="985"/>
      <c r="J41" s="985">
        <v>3680</v>
      </c>
      <c r="K41" s="985"/>
      <c r="L41" s="985"/>
      <c r="M41" s="985"/>
      <c r="N41" s="985"/>
      <c r="O41" s="985"/>
      <c r="P41" s="985"/>
      <c r="Q41" s="985"/>
      <c r="R41" s="982"/>
      <c r="S41" s="983"/>
      <c r="T41" s="976"/>
      <c r="U41" s="976"/>
      <c r="V41" s="976"/>
      <c r="W41" s="976"/>
      <c r="X41" s="976"/>
    </row>
    <row r="42" spans="1:24" ht="12.75" customHeight="1">
      <c r="A42" s="977"/>
      <c r="B42" s="978"/>
      <c r="C42" s="979"/>
      <c r="D42" s="980" t="s">
        <v>895</v>
      </c>
      <c r="E42" s="972"/>
      <c r="F42" s="972">
        <f t="shared" si="0"/>
        <v>14068</v>
      </c>
      <c r="G42" s="985"/>
      <c r="H42" s="985"/>
      <c r="I42" s="985"/>
      <c r="J42" s="985">
        <f>J41+10388</f>
        <v>14068</v>
      </c>
      <c r="K42" s="985"/>
      <c r="L42" s="985"/>
      <c r="M42" s="985"/>
      <c r="N42" s="985"/>
      <c r="O42" s="985"/>
      <c r="P42" s="985"/>
      <c r="Q42" s="985"/>
      <c r="R42" s="982"/>
      <c r="S42" s="983"/>
      <c r="T42" s="976"/>
      <c r="U42" s="976"/>
      <c r="V42" s="976"/>
      <c r="W42" s="976"/>
      <c r="X42" s="976"/>
    </row>
    <row r="43" spans="1:24" ht="12.75" customHeight="1">
      <c r="A43" s="977" t="s">
        <v>420</v>
      </c>
      <c r="B43" s="978" t="s">
        <v>443</v>
      </c>
      <c r="C43" s="979" t="s">
        <v>444</v>
      </c>
      <c r="D43" s="984" t="s">
        <v>4</v>
      </c>
      <c r="E43" s="972"/>
      <c r="F43" s="972">
        <f t="shared" si="0"/>
        <v>1656216</v>
      </c>
      <c r="G43" s="985"/>
      <c r="H43" s="985"/>
      <c r="I43" s="985"/>
      <c r="J43" s="985"/>
      <c r="K43" s="985"/>
      <c r="L43" s="985"/>
      <c r="M43" s="985"/>
      <c r="N43" s="985"/>
      <c r="O43" s="985"/>
      <c r="P43" s="985"/>
      <c r="Q43" s="985"/>
      <c r="R43" s="981">
        <v>1656216</v>
      </c>
      <c r="S43" s="983"/>
      <c r="T43" s="976"/>
      <c r="U43" s="976"/>
      <c r="V43" s="976"/>
      <c r="W43" s="976"/>
      <c r="X43" s="976"/>
    </row>
    <row r="44" spans="1:24" ht="12.75" customHeight="1">
      <c r="A44" s="977"/>
      <c r="B44" s="978"/>
      <c r="C44" s="979"/>
      <c r="D44" s="980" t="s">
        <v>816</v>
      </c>
      <c r="E44" s="972"/>
      <c r="F44" s="972">
        <f t="shared" si="0"/>
        <v>1677686</v>
      </c>
      <c r="G44" s="985"/>
      <c r="H44" s="985"/>
      <c r="I44" s="985"/>
      <c r="J44" s="985"/>
      <c r="K44" s="985"/>
      <c r="L44" s="985"/>
      <c r="M44" s="985"/>
      <c r="N44" s="985"/>
      <c r="O44" s="985"/>
      <c r="P44" s="985"/>
      <c r="Q44" s="985"/>
      <c r="R44" s="981">
        <v>1677686</v>
      </c>
      <c r="S44" s="983"/>
      <c r="T44" s="976"/>
      <c r="U44" s="976"/>
      <c r="V44" s="976"/>
      <c r="W44" s="976"/>
      <c r="X44" s="976"/>
    </row>
    <row r="45" spans="1:24" ht="12.75" customHeight="1">
      <c r="A45" s="977"/>
      <c r="B45" s="978"/>
      <c r="C45" s="979"/>
      <c r="D45" s="980" t="s">
        <v>895</v>
      </c>
      <c r="E45" s="972"/>
      <c r="F45" s="972">
        <f t="shared" si="0"/>
        <v>1701357</v>
      </c>
      <c r="G45" s="985"/>
      <c r="H45" s="985"/>
      <c r="I45" s="985"/>
      <c r="J45" s="985"/>
      <c r="K45" s="985"/>
      <c r="L45" s="985"/>
      <c r="M45" s="985"/>
      <c r="N45" s="985"/>
      <c r="O45" s="985"/>
      <c r="P45" s="985"/>
      <c r="Q45" s="985"/>
      <c r="R45" s="981">
        <f>R44+23671</f>
        <v>1701357</v>
      </c>
      <c r="S45" s="983"/>
      <c r="T45" s="976"/>
      <c r="U45" s="976"/>
      <c r="V45" s="976"/>
      <c r="W45" s="976"/>
      <c r="X45" s="976"/>
    </row>
    <row r="46" spans="1:24" ht="12.75" customHeight="1">
      <c r="A46" s="977" t="s">
        <v>424</v>
      </c>
      <c r="B46" s="978" t="s">
        <v>445</v>
      </c>
      <c r="C46" s="979" t="s">
        <v>446</v>
      </c>
      <c r="D46" s="984" t="s">
        <v>4</v>
      </c>
      <c r="E46" s="972"/>
      <c r="F46" s="972">
        <f t="shared" si="0"/>
        <v>0</v>
      </c>
      <c r="G46" s="981"/>
      <c r="H46" s="981"/>
      <c r="I46" s="981"/>
      <c r="J46" s="981"/>
      <c r="K46" s="981"/>
      <c r="L46" s="981"/>
      <c r="M46" s="981"/>
      <c r="N46" s="981"/>
      <c r="O46" s="981"/>
      <c r="P46" s="981"/>
      <c r="Q46" s="981"/>
      <c r="R46" s="982"/>
      <c r="S46" s="983"/>
      <c r="T46" s="976"/>
      <c r="U46" s="976"/>
      <c r="V46" s="976"/>
      <c r="W46" s="976"/>
      <c r="X46" s="976"/>
    </row>
    <row r="47" spans="1:24" ht="12.75" customHeight="1">
      <c r="A47" s="977"/>
      <c r="B47" s="978"/>
      <c r="C47" s="979"/>
      <c r="D47" s="980" t="s">
        <v>816</v>
      </c>
      <c r="E47" s="972"/>
      <c r="F47" s="972">
        <f t="shared" si="0"/>
        <v>0</v>
      </c>
      <c r="G47" s="981"/>
      <c r="H47" s="981"/>
      <c r="I47" s="981"/>
      <c r="J47" s="981"/>
      <c r="K47" s="981"/>
      <c r="L47" s="981"/>
      <c r="M47" s="981"/>
      <c r="N47" s="981"/>
      <c r="O47" s="981"/>
      <c r="P47" s="981"/>
      <c r="Q47" s="981"/>
      <c r="R47" s="982"/>
      <c r="S47" s="983"/>
      <c r="T47" s="976"/>
      <c r="U47" s="976"/>
      <c r="V47" s="976"/>
      <c r="W47" s="976"/>
      <c r="X47" s="976"/>
    </row>
    <row r="48" spans="1:24" ht="12.75" customHeight="1">
      <c r="A48" s="977"/>
      <c r="B48" s="978"/>
      <c r="C48" s="979"/>
      <c r="D48" s="980" t="s">
        <v>895</v>
      </c>
      <c r="E48" s="972"/>
      <c r="F48" s="972">
        <f t="shared" si="0"/>
        <v>0</v>
      </c>
      <c r="G48" s="981"/>
      <c r="H48" s="981"/>
      <c r="I48" s="981"/>
      <c r="J48" s="981"/>
      <c r="K48" s="981"/>
      <c r="L48" s="981"/>
      <c r="M48" s="981"/>
      <c r="N48" s="981"/>
      <c r="O48" s="981"/>
      <c r="P48" s="981"/>
      <c r="Q48" s="981"/>
      <c r="R48" s="982"/>
      <c r="S48" s="983"/>
      <c r="T48" s="976"/>
      <c r="U48" s="976"/>
      <c r="V48" s="976"/>
      <c r="W48" s="976"/>
      <c r="X48" s="976"/>
    </row>
    <row r="49" spans="1:24" ht="12.75" customHeight="1">
      <c r="A49" s="977" t="s">
        <v>424</v>
      </c>
      <c r="B49" s="978" t="s">
        <v>447</v>
      </c>
      <c r="C49" s="979" t="s">
        <v>249</v>
      </c>
      <c r="D49" s="984" t="s">
        <v>4</v>
      </c>
      <c r="E49" s="972"/>
      <c r="F49" s="972">
        <f t="shared" si="0"/>
        <v>2000</v>
      </c>
      <c r="G49" s="985"/>
      <c r="H49" s="985"/>
      <c r="I49" s="985"/>
      <c r="J49" s="985">
        <v>2000</v>
      </c>
      <c r="K49" s="985"/>
      <c r="L49" s="985"/>
      <c r="M49" s="985"/>
      <c r="N49" s="985"/>
      <c r="O49" s="985"/>
      <c r="P49" s="985"/>
      <c r="Q49" s="985"/>
      <c r="R49" s="982"/>
      <c r="S49" s="983"/>
      <c r="T49" s="976"/>
      <c r="U49" s="976"/>
      <c r="V49" s="976"/>
      <c r="W49" s="976"/>
      <c r="X49" s="976"/>
    </row>
    <row r="50" spans="1:24" ht="12.75" customHeight="1">
      <c r="A50" s="977"/>
      <c r="B50" s="978"/>
      <c r="C50" s="979"/>
      <c r="D50" s="980" t="s">
        <v>816</v>
      </c>
      <c r="E50" s="972"/>
      <c r="F50" s="972">
        <f t="shared" si="0"/>
        <v>2000</v>
      </c>
      <c r="G50" s="985"/>
      <c r="H50" s="985"/>
      <c r="I50" s="985"/>
      <c r="J50" s="985">
        <v>2000</v>
      </c>
      <c r="K50" s="985"/>
      <c r="L50" s="985"/>
      <c r="M50" s="985"/>
      <c r="N50" s="985"/>
      <c r="O50" s="985"/>
      <c r="P50" s="985"/>
      <c r="Q50" s="985"/>
      <c r="R50" s="982"/>
      <c r="S50" s="983"/>
      <c r="T50" s="976"/>
      <c r="U50" s="976"/>
      <c r="V50" s="976"/>
      <c r="W50" s="976"/>
      <c r="X50" s="976"/>
    </row>
    <row r="51" spans="1:24" ht="12.75" customHeight="1">
      <c r="A51" s="977"/>
      <c r="B51" s="978"/>
      <c r="C51" s="979"/>
      <c r="D51" s="980" t="s">
        <v>895</v>
      </c>
      <c r="E51" s="972"/>
      <c r="F51" s="972">
        <f t="shared" si="0"/>
        <v>2000</v>
      </c>
      <c r="G51" s="985"/>
      <c r="H51" s="985"/>
      <c r="I51" s="985"/>
      <c r="J51" s="985">
        <v>2000</v>
      </c>
      <c r="K51" s="985"/>
      <c r="L51" s="985"/>
      <c r="M51" s="985"/>
      <c r="N51" s="985"/>
      <c r="O51" s="985"/>
      <c r="P51" s="985"/>
      <c r="Q51" s="985"/>
      <c r="R51" s="982"/>
      <c r="S51" s="983"/>
      <c r="T51" s="976"/>
      <c r="U51" s="976"/>
      <c r="V51" s="976"/>
      <c r="W51" s="976"/>
      <c r="X51" s="976"/>
    </row>
    <row r="52" spans="1:24" ht="12.75" customHeight="1">
      <c r="A52" s="977" t="s">
        <v>424</v>
      </c>
      <c r="B52" s="978" t="s">
        <v>448</v>
      </c>
      <c r="C52" s="979" t="s">
        <v>998</v>
      </c>
      <c r="D52" s="984" t="s">
        <v>4</v>
      </c>
      <c r="E52" s="972"/>
      <c r="F52" s="972">
        <f t="shared" si="0"/>
        <v>4001</v>
      </c>
      <c r="G52" s="985"/>
      <c r="H52" s="985"/>
      <c r="I52" s="985">
        <v>4001</v>
      </c>
      <c r="J52" s="985"/>
      <c r="K52" s="985"/>
      <c r="L52" s="985"/>
      <c r="M52" s="985"/>
      <c r="N52" s="985"/>
      <c r="O52" s="985"/>
      <c r="P52" s="985"/>
      <c r="Q52" s="985"/>
      <c r="R52" s="982"/>
      <c r="S52" s="983"/>
      <c r="T52" s="976"/>
      <c r="U52" s="976"/>
      <c r="V52" s="976"/>
      <c r="W52" s="976"/>
      <c r="X52" s="976"/>
    </row>
    <row r="53" spans="1:24" ht="12.75" customHeight="1">
      <c r="A53" s="977"/>
      <c r="B53" s="978"/>
      <c r="C53" s="979"/>
      <c r="D53" s="980" t="s">
        <v>816</v>
      </c>
      <c r="E53" s="972"/>
      <c r="F53" s="972">
        <f t="shared" si="0"/>
        <v>4001</v>
      </c>
      <c r="G53" s="985"/>
      <c r="H53" s="985"/>
      <c r="I53" s="985">
        <v>4001</v>
      </c>
      <c r="J53" s="985"/>
      <c r="K53" s="985"/>
      <c r="L53" s="985"/>
      <c r="M53" s="985"/>
      <c r="N53" s="985"/>
      <c r="O53" s="985"/>
      <c r="P53" s="985"/>
      <c r="Q53" s="985"/>
      <c r="R53" s="982"/>
      <c r="S53" s="983"/>
      <c r="T53" s="976"/>
      <c r="U53" s="976"/>
      <c r="V53" s="976"/>
      <c r="W53" s="976"/>
      <c r="X53" s="976"/>
    </row>
    <row r="54" spans="1:24" ht="12.75" customHeight="1">
      <c r="A54" s="977"/>
      <c r="B54" s="978"/>
      <c r="C54" s="979"/>
      <c r="D54" s="980" t="s">
        <v>895</v>
      </c>
      <c r="E54" s="972"/>
      <c r="F54" s="972">
        <f t="shared" si="0"/>
        <v>4001</v>
      </c>
      <c r="G54" s="985"/>
      <c r="H54" s="985"/>
      <c r="I54" s="985">
        <v>4001</v>
      </c>
      <c r="J54" s="985"/>
      <c r="K54" s="985"/>
      <c r="L54" s="985"/>
      <c r="M54" s="985"/>
      <c r="N54" s="985"/>
      <c r="O54" s="985"/>
      <c r="P54" s="985"/>
      <c r="Q54" s="985"/>
      <c r="R54" s="982"/>
      <c r="S54" s="983"/>
      <c r="T54" s="976"/>
      <c r="U54" s="976"/>
      <c r="V54" s="976"/>
      <c r="W54" s="976"/>
      <c r="X54" s="976"/>
    </row>
    <row r="55" spans="1:24" ht="12.75" customHeight="1">
      <c r="A55" s="977" t="s">
        <v>424</v>
      </c>
      <c r="B55" s="978" t="s">
        <v>449</v>
      </c>
      <c r="C55" s="979" t="s">
        <v>450</v>
      </c>
      <c r="D55" s="984" t="s">
        <v>4</v>
      </c>
      <c r="E55" s="972">
        <v>20500</v>
      </c>
      <c r="F55" s="972">
        <f t="shared" si="0"/>
        <v>24134</v>
      </c>
      <c r="G55" s="981">
        <v>19325</v>
      </c>
      <c r="H55" s="981">
        <v>2609</v>
      </c>
      <c r="I55" s="981">
        <v>2200</v>
      </c>
      <c r="J55" s="981"/>
      <c r="K55" s="981"/>
      <c r="L55" s="981"/>
      <c r="M55" s="981"/>
      <c r="N55" s="981"/>
      <c r="O55" s="981"/>
      <c r="P55" s="981"/>
      <c r="Q55" s="981"/>
      <c r="R55" s="982"/>
      <c r="S55" s="983"/>
      <c r="T55" s="976"/>
      <c r="U55" s="976"/>
      <c r="V55" s="976"/>
      <c r="W55" s="976"/>
      <c r="X55" s="976"/>
    </row>
    <row r="56" spans="1:24" ht="12.75" customHeight="1">
      <c r="A56" s="977"/>
      <c r="B56" s="978"/>
      <c r="C56" s="979"/>
      <c r="D56" s="980" t="s">
        <v>816</v>
      </c>
      <c r="E56" s="972">
        <v>20500</v>
      </c>
      <c r="F56" s="972">
        <f t="shared" si="0"/>
        <v>24134</v>
      </c>
      <c r="G56" s="981">
        <v>19325</v>
      </c>
      <c r="H56" s="981">
        <v>2609</v>
      </c>
      <c r="I56" s="981">
        <v>2200</v>
      </c>
      <c r="J56" s="981"/>
      <c r="K56" s="981"/>
      <c r="L56" s="981"/>
      <c r="M56" s="981"/>
      <c r="N56" s="981"/>
      <c r="O56" s="981"/>
      <c r="P56" s="981"/>
      <c r="Q56" s="981"/>
      <c r="R56" s="982"/>
      <c r="S56" s="983"/>
      <c r="T56" s="976"/>
      <c r="U56" s="976"/>
      <c r="V56" s="976"/>
      <c r="W56" s="976"/>
      <c r="X56" s="976"/>
    </row>
    <row r="57" spans="1:24" ht="12.75" customHeight="1">
      <c r="A57" s="977"/>
      <c r="B57" s="978"/>
      <c r="C57" s="979"/>
      <c r="D57" s="980" t="s">
        <v>895</v>
      </c>
      <c r="E57" s="972">
        <v>20500</v>
      </c>
      <c r="F57" s="972">
        <f t="shared" si="0"/>
        <v>24134</v>
      </c>
      <c r="G57" s="981">
        <v>19325</v>
      </c>
      <c r="H57" s="981">
        <v>2609</v>
      </c>
      <c r="I57" s="981">
        <v>2200</v>
      </c>
      <c r="J57" s="981"/>
      <c r="K57" s="981"/>
      <c r="L57" s="981"/>
      <c r="M57" s="981"/>
      <c r="N57" s="981"/>
      <c r="O57" s="981"/>
      <c r="P57" s="981"/>
      <c r="Q57" s="981"/>
      <c r="R57" s="982"/>
      <c r="S57" s="983"/>
      <c r="T57" s="976"/>
      <c r="U57" s="976"/>
      <c r="V57" s="976"/>
      <c r="W57" s="976"/>
      <c r="X57" s="976"/>
    </row>
    <row r="58" spans="1:24" ht="12.75" customHeight="1">
      <c r="A58" s="977" t="s">
        <v>424</v>
      </c>
      <c r="B58" s="978" t="s">
        <v>451</v>
      </c>
      <c r="C58" s="979" t="s">
        <v>452</v>
      </c>
      <c r="D58" s="984" t="s">
        <v>4</v>
      </c>
      <c r="E58" s="972">
        <v>103000</v>
      </c>
      <c r="F58" s="972">
        <f t="shared" si="0"/>
        <v>137252</v>
      </c>
      <c r="G58" s="981">
        <v>115200</v>
      </c>
      <c r="H58" s="981">
        <v>15552</v>
      </c>
      <c r="I58" s="981">
        <v>6500</v>
      </c>
      <c r="J58" s="981"/>
      <c r="K58" s="981"/>
      <c r="L58" s="981"/>
      <c r="M58" s="981"/>
      <c r="N58" s="981"/>
      <c r="O58" s="981"/>
      <c r="P58" s="981"/>
      <c r="Q58" s="981"/>
      <c r="R58" s="982"/>
      <c r="S58" s="983"/>
      <c r="T58" s="976"/>
      <c r="U58" s="976"/>
      <c r="V58" s="976"/>
      <c r="W58" s="976"/>
      <c r="X58" s="976"/>
    </row>
    <row r="59" spans="1:24" ht="12.75" customHeight="1">
      <c r="A59" s="977"/>
      <c r="B59" s="978"/>
      <c r="C59" s="979"/>
      <c r="D59" s="980" t="s">
        <v>816</v>
      </c>
      <c r="E59" s="972">
        <v>103000</v>
      </c>
      <c r="F59" s="972">
        <f t="shared" si="0"/>
        <v>137252</v>
      </c>
      <c r="G59" s="981">
        <v>115200</v>
      </c>
      <c r="H59" s="981">
        <v>15552</v>
      </c>
      <c r="I59" s="981">
        <v>6500</v>
      </c>
      <c r="J59" s="981"/>
      <c r="K59" s="981"/>
      <c r="L59" s="981"/>
      <c r="M59" s="981"/>
      <c r="N59" s="981"/>
      <c r="O59" s="981"/>
      <c r="P59" s="981"/>
      <c r="Q59" s="981"/>
      <c r="R59" s="982"/>
      <c r="S59" s="983"/>
      <c r="T59" s="976"/>
      <c r="U59" s="976"/>
      <c r="V59" s="976"/>
      <c r="W59" s="976"/>
      <c r="X59" s="976"/>
    </row>
    <row r="60" spans="1:24" ht="12.75" customHeight="1">
      <c r="A60" s="977"/>
      <c r="B60" s="978"/>
      <c r="C60" s="979"/>
      <c r="D60" s="980" t="s">
        <v>895</v>
      </c>
      <c r="E60" s="972">
        <v>101380</v>
      </c>
      <c r="F60" s="972">
        <f t="shared" si="0"/>
        <v>135632</v>
      </c>
      <c r="G60" s="981">
        <v>106075</v>
      </c>
      <c r="H60" s="981">
        <v>13087</v>
      </c>
      <c r="I60" s="981">
        <v>4143</v>
      </c>
      <c r="J60" s="981"/>
      <c r="K60" s="981"/>
      <c r="L60" s="981"/>
      <c r="M60" s="981"/>
      <c r="N60" s="981">
        <v>12327</v>
      </c>
      <c r="O60" s="981"/>
      <c r="P60" s="981"/>
      <c r="Q60" s="981"/>
      <c r="R60" s="982"/>
      <c r="S60" s="983"/>
      <c r="T60" s="976"/>
      <c r="U60" s="976"/>
      <c r="V60" s="976"/>
      <c r="W60" s="976"/>
      <c r="X60" s="976"/>
    </row>
    <row r="61" spans="1:24" s="966" customFormat="1" ht="12.75" customHeight="1">
      <c r="A61" s="977" t="s">
        <v>424</v>
      </c>
      <c r="B61" s="978" t="s">
        <v>453</v>
      </c>
      <c r="C61" s="979" t="s">
        <v>454</v>
      </c>
      <c r="D61" s="984" t="s">
        <v>4</v>
      </c>
      <c r="E61" s="972"/>
      <c r="F61" s="972">
        <f t="shared" si="0"/>
        <v>0</v>
      </c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2"/>
      <c r="S61" s="983"/>
      <c r="T61" s="976"/>
      <c r="U61" s="976"/>
      <c r="V61" s="976"/>
      <c r="W61" s="976"/>
      <c r="X61" s="976"/>
    </row>
    <row r="62" spans="1:24" ht="12.75" customHeight="1">
      <c r="A62" s="977"/>
      <c r="B62" s="978"/>
      <c r="C62" s="979"/>
      <c r="D62" s="980" t="s">
        <v>816</v>
      </c>
      <c r="E62" s="972"/>
      <c r="F62" s="972">
        <f t="shared" si="0"/>
        <v>0</v>
      </c>
      <c r="G62" s="981"/>
      <c r="H62" s="981"/>
      <c r="I62" s="981"/>
      <c r="J62" s="981"/>
      <c r="K62" s="981"/>
      <c r="L62" s="981"/>
      <c r="M62" s="981"/>
      <c r="N62" s="981"/>
      <c r="O62" s="981"/>
      <c r="P62" s="981"/>
      <c r="Q62" s="981"/>
      <c r="R62" s="982"/>
      <c r="S62" s="983"/>
      <c r="T62" s="976"/>
      <c r="U62" s="976"/>
      <c r="V62" s="976"/>
      <c r="W62" s="976"/>
      <c r="X62" s="976"/>
    </row>
    <row r="63" spans="1:24" ht="12.75" customHeight="1">
      <c r="A63" s="977"/>
      <c r="B63" s="978"/>
      <c r="C63" s="979"/>
      <c r="D63" s="980" t="s">
        <v>895</v>
      </c>
      <c r="E63" s="972"/>
      <c r="F63" s="972">
        <f t="shared" si="0"/>
        <v>0</v>
      </c>
      <c r="G63" s="981"/>
      <c r="H63" s="981"/>
      <c r="I63" s="981"/>
      <c r="J63" s="981"/>
      <c r="K63" s="981"/>
      <c r="L63" s="981"/>
      <c r="M63" s="981"/>
      <c r="N63" s="981"/>
      <c r="O63" s="981"/>
      <c r="P63" s="981"/>
      <c r="Q63" s="981"/>
      <c r="R63" s="982"/>
      <c r="S63" s="983"/>
      <c r="T63" s="976"/>
      <c r="U63" s="976"/>
      <c r="V63" s="976"/>
      <c r="W63" s="976"/>
      <c r="X63" s="976"/>
    </row>
    <row r="64" spans="1:19" ht="12.75" customHeight="1">
      <c r="A64" s="977" t="s">
        <v>424</v>
      </c>
      <c r="B64" s="978" t="s">
        <v>455</v>
      </c>
      <c r="C64" s="979" t="s">
        <v>456</v>
      </c>
      <c r="D64" s="984" t="s">
        <v>4</v>
      </c>
      <c r="E64" s="972">
        <v>3556</v>
      </c>
      <c r="F64" s="972">
        <f t="shared" si="0"/>
        <v>15031</v>
      </c>
      <c r="G64" s="981"/>
      <c r="H64" s="981"/>
      <c r="I64" s="981">
        <v>15031</v>
      </c>
      <c r="J64" s="981"/>
      <c r="K64" s="981"/>
      <c r="L64" s="981"/>
      <c r="M64" s="981"/>
      <c r="N64" s="981"/>
      <c r="O64" s="981"/>
      <c r="P64" s="981"/>
      <c r="Q64" s="981"/>
      <c r="R64" s="982"/>
      <c r="S64" s="983"/>
    </row>
    <row r="65" spans="1:19" ht="12.75" customHeight="1">
      <c r="A65" s="977"/>
      <c r="B65" s="978"/>
      <c r="C65" s="979"/>
      <c r="D65" s="980" t="s">
        <v>816</v>
      </c>
      <c r="E65" s="972">
        <v>3556</v>
      </c>
      <c r="F65" s="972">
        <f t="shared" si="0"/>
        <v>15031</v>
      </c>
      <c r="G65" s="981"/>
      <c r="H65" s="981"/>
      <c r="I65" s="981">
        <v>15031</v>
      </c>
      <c r="J65" s="981"/>
      <c r="K65" s="981"/>
      <c r="L65" s="981"/>
      <c r="M65" s="981"/>
      <c r="N65" s="981"/>
      <c r="O65" s="981"/>
      <c r="P65" s="981"/>
      <c r="Q65" s="981"/>
      <c r="R65" s="982"/>
      <c r="S65" s="983"/>
    </row>
    <row r="66" spans="1:19" ht="12.75" customHeight="1">
      <c r="A66" s="977"/>
      <c r="B66" s="978"/>
      <c r="C66" s="979"/>
      <c r="D66" s="980" t="s">
        <v>895</v>
      </c>
      <c r="E66" s="972">
        <f>E65-991</f>
        <v>2565</v>
      </c>
      <c r="F66" s="972">
        <f t="shared" si="0"/>
        <v>13495</v>
      </c>
      <c r="G66" s="981"/>
      <c r="H66" s="981"/>
      <c r="I66" s="981">
        <f>I65-1536</f>
        <v>13495</v>
      </c>
      <c r="J66" s="981"/>
      <c r="K66" s="981"/>
      <c r="L66" s="981"/>
      <c r="M66" s="981"/>
      <c r="N66" s="981"/>
      <c r="O66" s="981"/>
      <c r="P66" s="981"/>
      <c r="Q66" s="981"/>
      <c r="R66" s="982"/>
      <c r="S66" s="983"/>
    </row>
    <row r="67" spans="1:19" ht="12.75" customHeight="1">
      <c r="A67" s="977" t="s">
        <v>424</v>
      </c>
      <c r="B67" s="978" t="s">
        <v>457</v>
      </c>
      <c r="C67" s="979" t="s">
        <v>458</v>
      </c>
      <c r="D67" s="984" t="s">
        <v>4</v>
      </c>
      <c r="E67" s="972">
        <v>15000</v>
      </c>
      <c r="F67" s="972">
        <f t="shared" si="0"/>
        <v>183070</v>
      </c>
      <c r="G67" s="981"/>
      <c r="H67" s="981"/>
      <c r="I67" s="981">
        <v>8661</v>
      </c>
      <c r="J67" s="981"/>
      <c r="K67" s="981"/>
      <c r="L67" s="981"/>
      <c r="M67" s="981">
        <v>70160</v>
      </c>
      <c r="N67" s="981">
        <v>89787</v>
      </c>
      <c r="O67" s="981">
        <v>14462</v>
      </c>
      <c r="P67" s="981"/>
      <c r="Q67" s="981"/>
      <c r="R67" s="982"/>
      <c r="S67" s="983"/>
    </row>
    <row r="68" spans="1:19" ht="12.75" customHeight="1">
      <c r="A68" s="977"/>
      <c r="B68" s="978"/>
      <c r="C68" s="979"/>
      <c r="D68" s="980" t="s">
        <v>816</v>
      </c>
      <c r="E68" s="972">
        <v>15000</v>
      </c>
      <c r="F68" s="972">
        <f t="shared" si="0"/>
        <v>183070</v>
      </c>
      <c r="G68" s="981"/>
      <c r="H68" s="981"/>
      <c r="I68" s="981">
        <v>10872</v>
      </c>
      <c r="J68" s="981"/>
      <c r="K68" s="981"/>
      <c r="L68" s="981"/>
      <c r="M68" s="981">
        <v>70160</v>
      </c>
      <c r="N68" s="981">
        <v>87576</v>
      </c>
      <c r="O68" s="981">
        <v>14462</v>
      </c>
      <c r="P68" s="981"/>
      <c r="Q68" s="981"/>
      <c r="R68" s="982"/>
      <c r="S68" s="983"/>
    </row>
    <row r="69" spans="1:19" ht="12.75" customHeight="1">
      <c r="A69" s="977"/>
      <c r="B69" s="978"/>
      <c r="C69" s="979"/>
      <c r="D69" s="980" t="s">
        <v>895</v>
      </c>
      <c r="E69" s="972">
        <v>51875</v>
      </c>
      <c r="F69" s="972">
        <f t="shared" si="0"/>
        <v>185850</v>
      </c>
      <c r="G69" s="981"/>
      <c r="H69" s="981"/>
      <c r="I69" s="981">
        <f>I68-3200</f>
        <v>7672</v>
      </c>
      <c r="J69" s="981"/>
      <c r="K69" s="981"/>
      <c r="L69" s="981"/>
      <c r="M69" s="981">
        <v>70160</v>
      </c>
      <c r="N69" s="981">
        <f>N68+5980</f>
        <v>93556</v>
      </c>
      <c r="O69" s="981">
        <v>14462</v>
      </c>
      <c r="P69" s="981"/>
      <c r="Q69" s="981"/>
      <c r="R69" s="982"/>
      <c r="S69" s="983"/>
    </row>
    <row r="70" spans="1:19" ht="12.75" customHeight="1">
      <c r="A70" s="977" t="s">
        <v>424</v>
      </c>
      <c r="B70" s="978" t="s">
        <v>459</v>
      </c>
      <c r="C70" s="979" t="s">
        <v>460</v>
      </c>
      <c r="D70" s="984" t="s">
        <v>4</v>
      </c>
      <c r="E70" s="972"/>
      <c r="F70" s="972">
        <f t="shared" si="0"/>
        <v>0</v>
      </c>
      <c r="G70" s="981"/>
      <c r="H70" s="981"/>
      <c r="I70" s="981"/>
      <c r="J70" s="981"/>
      <c r="K70" s="981"/>
      <c r="L70" s="981"/>
      <c r="M70" s="981"/>
      <c r="N70" s="981"/>
      <c r="O70" s="981"/>
      <c r="P70" s="981"/>
      <c r="Q70" s="981"/>
      <c r="R70" s="982"/>
      <c r="S70" s="983"/>
    </row>
    <row r="71" spans="1:19" ht="12.75" customHeight="1">
      <c r="A71" s="977"/>
      <c r="B71" s="978"/>
      <c r="C71" s="979"/>
      <c r="D71" s="980" t="s">
        <v>816</v>
      </c>
      <c r="E71" s="972"/>
      <c r="F71" s="972">
        <f aca="true" t="shared" si="1" ref="F71:F134">SUM(G71:R71)</f>
        <v>0</v>
      </c>
      <c r="G71" s="981"/>
      <c r="H71" s="981"/>
      <c r="I71" s="981"/>
      <c r="J71" s="981"/>
      <c r="K71" s="981"/>
      <c r="L71" s="981"/>
      <c r="M71" s="981"/>
      <c r="N71" s="981"/>
      <c r="O71" s="981"/>
      <c r="P71" s="981"/>
      <c r="Q71" s="981"/>
      <c r="R71" s="982"/>
      <c r="S71" s="983"/>
    </row>
    <row r="72" spans="1:19" ht="12.75" customHeight="1">
      <c r="A72" s="977"/>
      <c r="B72" s="978"/>
      <c r="C72" s="979"/>
      <c r="D72" s="980" t="s">
        <v>895</v>
      </c>
      <c r="E72" s="972"/>
      <c r="F72" s="972">
        <f t="shared" si="1"/>
        <v>0</v>
      </c>
      <c r="G72" s="981"/>
      <c r="H72" s="981"/>
      <c r="I72" s="981"/>
      <c r="J72" s="981"/>
      <c r="K72" s="981"/>
      <c r="L72" s="981"/>
      <c r="M72" s="981"/>
      <c r="N72" s="981"/>
      <c r="O72" s="981"/>
      <c r="P72" s="981"/>
      <c r="Q72" s="981"/>
      <c r="R72" s="982"/>
      <c r="S72" s="983"/>
    </row>
    <row r="73" spans="1:24" ht="12.75" customHeight="1">
      <c r="A73" s="977" t="s">
        <v>424</v>
      </c>
      <c r="B73" s="978" t="s">
        <v>461</v>
      </c>
      <c r="C73" s="979" t="s">
        <v>462</v>
      </c>
      <c r="D73" s="984" t="s">
        <v>4</v>
      </c>
      <c r="E73" s="972"/>
      <c r="F73" s="972">
        <f t="shared" si="1"/>
        <v>78548</v>
      </c>
      <c r="G73" s="981"/>
      <c r="H73" s="981"/>
      <c r="I73" s="981">
        <v>78548</v>
      </c>
      <c r="J73" s="981"/>
      <c r="K73" s="972"/>
      <c r="L73" s="972"/>
      <c r="M73" s="972"/>
      <c r="N73" s="981"/>
      <c r="O73" s="981"/>
      <c r="P73" s="981"/>
      <c r="Q73" s="981"/>
      <c r="R73" s="982"/>
      <c r="S73" s="983"/>
      <c r="T73" s="976"/>
      <c r="U73" s="976"/>
      <c r="V73" s="976"/>
      <c r="W73" s="976"/>
      <c r="X73" s="976"/>
    </row>
    <row r="74" spans="1:24" ht="12.75" customHeight="1">
      <c r="A74" s="977"/>
      <c r="B74" s="978"/>
      <c r="C74" s="979"/>
      <c r="D74" s="980" t="s">
        <v>816</v>
      </c>
      <c r="E74" s="972"/>
      <c r="F74" s="972">
        <f t="shared" si="1"/>
        <v>78548</v>
      </c>
      <c r="G74" s="981"/>
      <c r="H74" s="981"/>
      <c r="I74" s="981">
        <v>39178</v>
      </c>
      <c r="J74" s="981">
        <v>39370</v>
      </c>
      <c r="K74" s="972"/>
      <c r="L74" s="972"/>
      <c r="M74" s="972"/>
      <c r="N74" s="981"/>
      <c r="O74" s="981"/>
      <c r="P74" s="981"/>
      <c r="Q74" s="981"/>
      <c r="R74" s="982"/>
      <c r="S74" s="983"/>
      <c r="T74" s="976"/>
      <c r="U74" s="976"/>
      <c r="V74" s="976"/>
      <c r="W74" s="976"/>
      <c r="X74" s="976"/>
    </row>
    <row r="75" spans="1:24" ht="12.75" customHeight="1">
      <c r="A75" s="977"/>
      <c r="B75" s="978"/>
      <c r="C75" s="979"/>
      <c r="D75" s="980" t="s">
        <v>895</v>
      </c>
      <c r="E75" s="972"/>
      <c r="F75" s="972">
        <f t="shared" si="1"/>
        <v>78548</v>
      </c>
      <c r="G75" s="981"/>
      <c r="H75" s="981"/>
      <c r="I75" s="981">
        <v>39178</v>
      </c>
      <c r="J75" s="981">
        <v>39370</v>
      </c>
      <c r="K75" s="972"/>
      <c r="L75" s="972"/>
      <c r="M75" s="972"/>
      <c r="N75" s="981"/>
      <c r="O75" s="981"/>
      <c r="P75" s="981"/>
      <c r="Q75" s="981"/>
      <c r="R75" s="982"/>
      <c r="S75" s="983"/>
      <c r="T75" s="976"/>
      <c r="U75" s="976"/>
      <c r="V75" s="976"/>
      <c r="W75" s="976"/>
      <c r="X75" s="976"/>
    </row>
    <row r="76" spans="1:24" ht="12.75" customHeight="1">
      <c r="A76" s="977" t="s">
        <v>427</v>
      </c>
      <c r="B76" s="978" t="s">
        <v>463</v>
      </c>
      <c r="C76" s="979" t="s">
        <v>464</v>
      </c>
      <c r="D76" s="984" t="s">
        <v>4</v>
      </c>
      <c r="E76" s="972"/>
      <c r="F76" s="972">
        <f t="shared" si="1"/>
        <v>50966</v>
      </c>
      <c r="G76" s="981"/>
      <c r="H76" s="981"/>
      <c r="I76" s="981"/>
      <c r="J76" s="981">
        <v>50966</v>
      </c>
      <c r="K76" s="981"/>
      <c r="L76" s="981"/>
      <c r="M76" s="981"/>
      <c r="N76" s="981"/>
      <c r="O76" s="981"/>
      <c r="P76" s="981"/>
      <c r="Q76" s="981"/>
      <c r="R76" s="982"/>
      <c r="S76" s="983"/>
      <c r="T76" s="976"/>
      <c r="U76" s="976"/>
      <c r="V76" s="976"/>
      <c r="W76" s="976"/>
      <c r="X76" s="976"/>
    </row>
    <row r="77" spans="1:24" ht="12.75" customHeight="1">
      <c r="A77" s="977"/>
      <c r="B77" s="978"/>
      <c r="C77" s="979"/>
      <c r="D77" s="980" t="s">
        <v>816</v>
      </c>
      <c r="E77" s="972"/>
      <c r="F77" s="972">
        <f t="shared" si="1"/>
        <v>50966</v>
      </c>
      <c r="G77" s="981"/>
      <c r="H77" s="981"/>
      <c r="I77" s="981"/>
      <c r="J77" s="981">
        <v>50966</v>
      </c>
      <c r="K77" s="981"/>
      <c r="L77" s="981"/>
      <c r="M77" s="981"/>
      <c r="N77" s="981"/>
      <c r="O77" s="981"/>
      <c r="P77" s="981"/>
      <c r="Q77" s="981"/>
      <c r="R77" s="982"/>
      <c r="S77" s="983"/>
      <c r="T77" s="976"/>
      <c r="U77" s="976"/>
      <c r="V77" s="976"/>
      <c r="W77" s="976"/>
      <c r="X77" s="976"/>
    </row>
    <row r="78" spans="1:24" ht="12.75" customHeight="1">
      <c r="A78" s="977"/>
      <c r="B78" s="978"/>
      <c r="C78" s="979"/>
      <c r="D78" s="980" t="s">
        <v>895</v>
      </c>
      <c r="E78" s="972"/>
      <c r="F78" s="972">
        <f t="shared" si="1"/>
        <v>50966</v>
      </c>
      <c r="G78" s="981"/>
      <c r="H78" s="981"/>
      <c r="I78" s="981"/>
      <c r="J78" s="981">
        <v>50966</v>
      </c>
      <c r="K78" s="981"/>
      <c r="L78" s="981"/>
      <c r="M78" s="981"/>
      <c r="N78" s="981"/>
      <c r="O78" s="981"/>
      <c r="P78" s="981"/>
      <c r="Q78" s="981"/>
      <c r="R78" s="982"/>
      <c r="S78" s="983"/>
      <c r="T78" s="976"/>
      <c r="U78" s="976"/>
      <c r="V78" s="976"/>
      <c r="W78" s="976"/>
      <c r="X78" s="976"/>
    </row>
    <row r="79" spans="1:19" ht="12.75" customHeight="1">
      <c r="A79" s="977" t="s">
        <v>424</v>
      </c>
      <c r="B79" s="978" t="s">
        <v>465</v>
      </c>
      <c r="C79" s="986" t="s">
        <v>466</v>
      </c>
      <c r="D79" s="984" t="s">
        <v>4</v>
      </c>
      <c r="E79" s="972"/>
      <c r="F79" s="972">
        <f t="shared" si="1"/>
        <v>42955</v>
      </c>
      <c r="G79" s="981"/>
      <c r="H79" s="981"/>
      <c r="I79" s="981">
        <v>42955</v>
      </c>
      <c r="J79" s="981"/>
      <c r="K79" s="981"/>
      <c r="L79" s="981"/>
      <c r="M79" s="981"/>
      <c r="N79" s="981"/>
      <c r="O79" s="981"/>
      <c r="P79" s="981"/>
      <c r="Q79" s="981"/>
      <c r="R79" s="982"/>
      <c r="S79" s="983"/>
    </row>
    <row r="80" spans="1:19" ht="12.75" customHeight="1">
      <c r="A80" s="977"/>
      <c r="B80" s="978"/>
      <c r="C80" s="986"/>
      <c r="D80" s="980" t="s">
        <v>816</v>
      </c>
      <c r="E80" s="972"/>
      <c r="F80" s="972">
        <f t="shared" si="1"/>
        <v>42955</v>
      </c>
      <c r="G80" s="981"/>
      <c r="H80" s="981"/>
      <c r="I80" s="981">
        <v>918</v>
      </c>
      <c r="J80" s="981">
        <v>42037</v>
      </c>
      <c r="K80" s="981"/>
      <c r="L80" s="981"/>
      <c r="M80" s="981"/>
      <c r="N80" s="981"/>
      <c r="O80" s="981"/>
      <c r="P80" s="981"/>
      <c r="Q80" s="981"/>
      <c r="R80" s="982"/>
      <c r="S80" s="983"/>
    </row>
    <row r="81" spans="1:19" ht="12.75" customHeight="1">
      <c r="A81" s="977"/>
      <c r="B81" s="978"/>
      <c r="C81" s="986"/>
      <c r="D81" s="980" t="s">
        <v>895</v>
      </c>
      <c r="E81" s="972"/>
      <c r="F81" s="972">
        <f t="shared" si="1"/>
        <v>42955</v>
      </c>
      <c r="G81" s="981"/>
      <c r="H81" s="981"/>
      <c r="I81" s="981">
        <v>918</v>
      </c>
      <c r="J81" s="981">
        <v>42037</v>
      </c>
      <c r="K81" s="981"/>
      <c r="L81" s="981"/>
      <c r="M81" s="981"/>
      <c r="N81" s="981"/>
      <c r="O81" s="981"/>
      <c r="P81" s="981"/>
      <c r="Q81" s="981"/>
      <c r="R81" s="982"/>
      <c r="S81" s="983"/>
    </row>
    <row r="82" spans="1:19" ht="12.75" customHeight="1">
      <c r="A82" s="977" t="s">
        <v>424</v>
      </c>
      <c r="B82" s="978" t="s">
        <v>336</v>
      </c>
      <c r="C82" s="979" t="s">
        <v>467</v>
      </c>
      <c r="D82" s="984" t="s">
        <v>4</v>
      </c>
      <c r="E82" s="972">
        <v>44220</v>
      </c>
      <c r="F82" s="972">
        <f t="shared" si="1"/>
        <v>50867</v>
      </c>
      <c r="G82" s="981"/>
      <c r="H82" s="981"/>
      <c r="I82" s="981">
        <v>20247</v>
      </c>
      <c r="J82" s="981"/>
      <c r="K82" s="981"/>
      <c r="L82" s="981"/>
      <c r="M82" s="981">
        <v>30620</v>
      </c>
      <c r="N82" s="981"/>
      <c r="O82" s="981"/>
      <c r="P82" s="981"/>
      <c r="Q82" s="981"/>
      <c r="R82" s="982"/>
      <c r="S82" s="983"/>
    </row>
    <row r="83" spans="1:19" ht="12.75" customHeight="1">
      <c r="A83" s="977"/>
      <c r="B83" s="978"/>
      <c r="C83" s="979"/>
      <c r="D83" s="980" t="s">
        <v>816</v>
      </c>
      <c r="E83" s="972">
        <v>44221</v>
      </c>
      <c r="F83" s="972">
        <f t="shared" si="1"/>
        <v>50868</v>
      </c>
      <c r="G83" s="981"/>
      <c r="H83" s="981"/>
      <c r="I83" s="981">
        <v>11041</v>
      </c>
      <c r="J83" s="981">
        <v>8000</v>
      </c>
      <c r="K83" s="981"/>
      <c r="L83" s="981"/>
      <c r="M83" s="981">
        <v>31826</v>
      </c>
      <c r="N83" s="981"/>
      <c r="O83" s="981">
        <v>1</v>
      </c>
      <c r="P83" s="981"/>
      <c r="Q83" s="981"/>
      <c r="R83" s="982"/>
      <c r="S83" s="983"/>
    </row>
    <row r="84" spans="1:19" ht="12.75" customHeight="1">
      <c r="A84" s="977"/>
      <c r="B84" s="978"/>
      <c r="C84" s="979"/>
      <c r="D84" s="980" t="s">
        <v>895</v>
      </c>
      <c r="E84" s="972">
        <f>E83-203</f>
        <v>44018</v>
      </c>
      <c r="F84" s="972">
        <f t="shared" si="1"/>
        <v>44223</v>
      </c>
      <c r="G84" s="981"/>
      <c r="H84" s="981"/>
      <c r="I84" s="981">
        <v>7396</v>
      </c>
      <c r="J84" s="981">
        <v>8000</v>
      </c>
      <c r="K84" s="981"/>
      <c r="L84" s="981"/>
      <c r="M84" s="981">
        <f>M83-3000</f>
        <v>28826</v>
      </c>
      <c r="N84" s="981"/>
      <c r="O84" s="981">
        <v>1</v>
      </c>
      <c r="P84" s="981"/>
      <c r="Q84" s="981"/>
      <c r="R84" s="982"/>
      <c r="S84" s="983"/>
    </row>
    <row r="85" spans="1:24" ht="12.75" customHeight="1">
      <c r="A85" s="977" t="s">
        <v>424</v>
      </c>
      <c r="B85" s="978" t="s">
        <v>468</v>
      </c>
      <c r="C85" s="979" t="s">
        <v>469</v>
      </c>
      <c r="D85" s="984" t="s">
        <v>4</v>
      </c>
      <c r="E85" s="972">
        <v>600</v>
      </c>
      <c r="F85" s="972">
        <f t="shared" si="1"/>
        <v>73283</v>
      </c>
      <c r="G85" s="985">
        <v>1000</v>
      </c>
      <c r="H85" s="985">
        <v>512</v>
      </c>
      <c r="I85" s="985">
        <v>56451</v>
      </c>
      <c r="J85" s="985"/>
      <c r="K85" s="985"/>
      <c r="L85" s="985"/>
      <c r="M85" s="985">
        <v>0</v>
      </c>
      <c r="N85" s="985">
        <v>15320</v>
      </c>
      <c r="O85" s="985"/>
      <c r="P85" s="985"/>
      <c r="Q85" s="985"/>
      <c r="R85" s="982"/>
      <c r="S85" s="983"/>
      <c r="T85" s="976"/>
      <c r="U85" s="976"/>
      <c r="V85" s="976"/>
      <c r="W85" s="976"/>
      <c r="X85" s="976"/>
    </row>
    <row r="86" spans="1:24" ht="12.75" customHeight="1">
      <c r="A86" s="977"/>
      <c r="B86" s="978"/>
      <c r="C86" s="979"/>
      <c r="D86" s="980" t="s">
        <v>816</v>
      </c>
      <c r="E86" s="972">
        <v>600</v>
      </c>
      <c r="F86" s="972">
        <f t="shared" si="1"/>
        <v>74068</v>
      </c>
      <c r="G86" s="985">
        <v>1000</v>
      </c>
      <c r="H86" s="985">
        <v>512</v>
      </c>
      <c r="I86" s="985">
        <v>35646</v>
      </c>
      <c r="J86" s="985">
        <v>21590</v>
      </c>
      <c r="K86" s="985"/>
      <c r="L86" s="985"/>
      <c r="M86" s="985"/>
      <c r="N86" s="985">
        <v>15320</v>
      </c>
      <c r="O86" s="985"/>
      <c r="P86" s="985"/>
      <c r="Q86" s="985"/>
      <c r="R86" s="982"/>
      <c r="S86" s="983"/>
      <c r="T86" s="976"/>
      <c r="U86" s="976"/>
      <c r="V86" s="976"/>
      <c r="W86" s="976"/>
      <c r="X86" s="976"/>
    </row>
    <row r="87" spans="1:24" ht="12.75" customHeight="1">
      <c r="A87" s="977"/>
      <c r="B87" s="978"/>
      <c r="C87" s="979"/>
      <c r="D87" s="980" t="s">
        <v>895</v>
      </c>
      <c r="E87" s="972">
        <v>600</v>
      </c>
      <c r="F87" s="972">
        <f t="shared" si="1"/>
        <v>68568</v>
      </c>
      <c r="G87" s="985">
        <v>1000</v>
      </c>
      <c r="H87" s="985">
        <v>512</v>
      </c>
      <c r="I87" s="985">
        <f>I86-70</f>
        <v>35576</v>
      </c>
      <c r="J87" s="985">
        <v>21590</v>
      </c>
      <c r="K87" s="985"/>
      <c r="L87" s="985"/>
      <c r="M87" s="985"/>
      <c r="N87" s="985">
        <f>N86-5430</f>
        <v>9890</v>
      </c>
      <c r="O87" s="985"/>
      <c r="P87" s="985"/>
      <c r="Q87" s="985"/>
      <c r="R87" s="982"/>
      <c r="S87" s="983"/>
      <c r="T87" s="976"/>
      <c r="U87" s="976"/>
      <c r="V87" s="976"/>
      <c r="W87" s="976"/>
      <c r="X87" s="976"/>
    </row>
    <row r="88" spans="1:24" ht="12.75" customHeight="1">
      <c r="A88" s="977" t="s">
        <v>424</v>
      </c>
      <c r="B88" s="978" t="s">
        <v>468</v>
      </c>
      <c r="C88" s="979" t="s">
        <v>470</v>
      </c>
      <c r="D88" s="984" t="s">
        <v>4</v>
      </c>
      <c r="E88" s="972"/>
      <c r="F88" s="972">
        <f t="shared" si="1"/>
        <v>0</v>
      </c>
      <c r="G88" s="985"/>
      <c r="H88" s="985"/>
      <c r="I88" s="985"/>
      <c r="J88" s="985"/>
      <c r="K88" s="985"/>
      <c r="L88" s="985"/>
      <c r="M88" s="985"/>
      <c r="N88" s="985"/>
      <c r="O88" s="985"/>
      <c r="P88" s="985"/>
      <c r="Q88" s="985"/>
      <c r="R88" s="982"/>
      <c r="S88" s="983"/>
      <c r="T88" s="976"/>
      <c r="U88" s="976"/>
      <c r="V88" s="976"/>
      <c r="W88" s="976"/>
      <c r="X88" s="976"/>
    </row>
    <row r="89" spans="1:24" ht="12.75" customHeight="1">
      <c r="A89" s="977"/>
      <c r="B89" s="978"/>
      <c r="C89" s="979"/>
      <c r="D89" s="980" t="s">
        <v>816</v>
      </c>
      <c r="E89" s="972"/>
      <c r="F89" s="972">
        <f t="shared" si="1"/>
        <v>0</v>
      </c>
      <c r="G89" s="985"/>
      <c r="H89" s="985"/>
      <c r="I89" s="985"/>
      <c r="J89" s="985"/>
      <c r="K89" s="985"/>
      <c r="L89" s="985"/>
      <c r="M89" s="985"/>
      <c r="N89" s="985"/>
      <c r="O89" s="985"/>
      <c r="P89" s="985"/>
      <c r="Q89" s="985"/>
      <c r="R89" s="982"/>
      <c r="S89" s="983"/>
      <c r="T89" s="976"/>
      <c r="U89" s="976"/>
      <c r="V89" s="976"/>
      <c r="W89" s="976"/>
      <c r="X89" s="976"/>
    </row>
    <row r="90" spans="1:24" ht="12.75" customHeight="1">
      <c r="A90" s="977"/>
      <c r="B90" s="978"/>
      <c r="C90" s="979"/>
      <c r="D90" s="980" t="s">
        <v>895</v>
      </c>
      <c r="E90" s="972"/>
      <c r="F90" s="972">
        <f t="shared" si="1"/>
        <v>0</v>
      </c>
      <c r="G90" s="985"/>
      <c r="H90" s="985"/>
      <c r="I90" s="985"/>
      <c r="J90" s="985"/>
      <c r="K90" s="985"/>
      <c r="L90" s="985"/>
      <c r="M90" s="985"/>
      <c r="N90" s="985"/>
      <c r="O90" s="985"/>
      <c r="P90" s="985"/>
      <c r="Q90" s="985"/>
      <c r="R90" s="982"/>
      <c r="S90" s="983"/>
      <c r="T90" s="976"/>
      <c r="U90" s="976"/>
      <c r="V90" s="976"/>
      <c r="W90" s="976"/>
      <c r="X90" s="976"/>
    </row>
    <row r="91" spans="1:24" ht="12.75" customHeight="1">
      <c r="A91" s="977" t="s">
        <v>427</v>
      </c>
      <c r="B91" s="978" t="s">
        <v>471</v>
      </c>
      <c r="C91" s="979" t="s">
        <v>472</v>
      </c>
      <c r="D91" s="984" t="s">
        <v>4</v>
      </c>
      <c r="E91" s="972">
        <v>1300</v>
      </c>
      <c r="F91" s="972">
        <f t="shared" si="1"/>
        <v>0</v>
      </c>
      <c r="G91" s="985"/>
      <c r="H91" s="985"/>
      <c r="I91" s="985"/>
      <c r="J91" s="985"/>
      <c r="K91" s="985"/>
      <c r="L91" s="985"/>
      <c r="M91" s="985"/>
      <c r="N91" s="985"/>
      <c r="O91" s="985"/>
      <c r="P91" s="985"/>
      <c r="Q91" s="985"/>
      <c r="R91" s="982"/>
      <c r="S91" s="983"/>
      <c r="T91" s="976"/>
      <c r="U91" s="976"/>
      <c r="V91" s="976"/>
      <c r="W91" s="976"/>
      <c r="X91" s="976"/>
    </row>
    <row r="92" spans="1:24" ht="12.75" customHeight="1">
      <c r="A92" s="977"/>
      <c r="B92" s="978"/>
      <c r="C92" s="979"/>
      <c r="D92" s="980" t="s">
        <v>816</v>
      </c>
      <c r="E92" s="972">
        <v>1300</v>
      </c>
      <c r="F92" s="972">
        <f t="shared" si="1"/>
        <v>0</v>
      </c>
      <c r="G92" s="985"/>
      <c r="H92" s="985"/>
      <c r="I92" s="985"/>
      <c r="J92" s="985"/>
      <c r="K92" s="985"/>
      <c r="L92" s="985"/>
      <c r="M92" s="985"/>
      <c r="N92" s="985"/>
      <c r="O92" s="985"/>
      <c r="P92" s="985"/>
      <c r="Q92" s="985"/>
      <c r="R92" s="982"/>
      <c r="S92" s="983"/>
      <c r="T92" s="976"/>
      <c r="U92" s="976"/>
      <c r="V92" s="976"/>
      <c r="W92" s="976"/>
      <c r="X92" s="976"/>
    </row>
    <row r="93" spans="1:24" ht="12.75" customHeight="1">
      <c r="A93" s="977"/>
      <c r="B93" s="978"/>
      <c r="C93" s="979"/>
      <c r="D93" s="980" t="s">
        <v>895</v>
      </c>
      <c r="E93" s="972">
        <v>1300</v>
      </c>
      <c r="F93" s="972">
        <f t="shared" si="1"/>
        <v>0</v>
      </c>
      <c r="G93" s="985"/>
      <c r="H93" s="985"/>
      <c r="I93" s="985"/>
      <c r="J93" s="985"/>
      <c r="K93" s="985"/>
      <c r="L93" s="985"/>
      <c r="M93" s="985"/>
      <c r="N93" s="985"/>
      <c r="O93" s="985"/>
      <c r="P93" s="985"/>
      <c r="Q93" s="985"/>
      <c r="R93" s="982"/>
      <c r="S93" s="983"/>
      <c r="T93" s="976"/>
      <c r="U93" s="976"/>
      <c r="V93" s="976"/>
      <c r="W93" s="976"/>
      <c r="X93" s="976"/>
    </row>
    <row r="94" spans="1:19" ht="12.75" customHeight="1">
      <c r="A94" s="977" t="s">
        <v>424</v>
      </c>
      <c r="B94" s="978" t="s">
        <v>473</v>
      </c>
      <c r="C94" s="984" t="s">
        <v>474</v>
      </c>
      <c r="D94" s="984" t="s">
        <v>4</v>
      </c>
      <c r="E94" s="972"/>
      <c r="F94" s="972">
        <f t="shared" si="1"/>
        <v>32270</v>
      </c>
      <c r="G94" s="981"/>
      <c r="H94" s="981"/>
      <c r="I94" s="981">
        <v>1270</v>
      </c>
      <c r="J94" s="981"/>
      <c r="K94" s="981"/>
      <c r="L94" s="981"/>
      <c r="M94" s="981"/>
      <c r="N94" s="981">
        <v>31000</v>
      </c>
      <c r="O94" s="981"/>
      <c r="P94" s="981"/>
      <c r="Q94" s="981"/>
      <c r="R94" s="982"/>
      <c r="S94" s="983"/>
    </row>
    <row r="95" spans="1:19" ht="12.75" customHeight="1">
      <c r="A95" s="977"/>
      <c r="B95" s="978"/>
      <c r="C95" s="984"/>
      <c r="D95" s="980" t="s">
        <v>816</v>
      </c>
      <c r="E95" s="972"/>
      <c r="F95" s="972">
        <f t="shared" si="1"/>
        <v>32270</v>
      </c>
      <c r="G95" s="981"/>
      <c r="H95" s="981"/>
      <c r="I95" s="981">
        <v>762</v>
      </c>
      <c r="J95" s="981">
        <v>508</v>
      </c>
      <c r="K95" s="981"/>
      <c r="L95" s="981"/>
      <c r="M95" s="981"/>
      <c r="N95" s="981">
        <v>31000</v>
      </c>
      <c r="O95" s="981"/>
      <c r="P95" s="981"/>
      <c r="Q95" s="981"/>
      <c r="R95" s="982"/>
      <c r="S95" s="983"/>
    </row>
    <row r="96" spans="1:19" ht="12.75" customHeight="1">
      <c r="A96" s="977"/>
      <c r="B96" s="978"/>
      <c r="C96" s="984"/>
      <c r="D96" s="980" t="s">
        <v>895</v>
      </c>
      <c r="E96" s="972">
        <v>203</v>
      </c>
      <c r="F96" s="972">
        <f t="shared" si="1"/>
        <v>32270</v>
      </c>
      <c r="G96" s="981"/>
      <c r="H96" s="981"/>
      <c r="I96" s="981">
        <v>762</v>
      </c>
      <c r="J96" s="981">
        <v>508</v>
      </c>
      <c r="K96" s="981"/>
      <c r="L96" s="981"/>
      <c r="M96" s="981"/>
      <c r="N96" s="981">
        <v>31000</v>
      </c>
      <c r="O96" s="981"/>
      <c r="P96" s="981"/>
      <c r="Q96" s="981"/>
      <c r="R96" s="982"/>
      <c r="S96" s="983"/>
    </row>
    <row r="97" spans="1:24" ht="12.75" customHeight="1">
      <c r="A97" s="977" t="s">
        <v>424</v>
      </c>
      <c r="B97" s="978" t="s">
        <v>475</v>
      </c>
      <c r="C97" s="979" t="s">
        <v>476</v>
      </c>
      <c r="D97" s="984" t="s">
        <v>4</v>
      </c>
      <c r="E97" s="972">
        <v>2582</v>
      </c>
      <c r="F97" s="972">
        <f t="shared" si="1"/>
        <v>133001</v>
      </c>
      <c r="G97" s="985"/>
      <c r="H97" s="985"/>
      <c r="I97" s="985">
        <v>55728</v>
      </c>
      <c r="J97" s="985"/>
      <c r="K97" s="985"/>
      <c r="L97" s="985"/>
      <c r="M97" s="985">
        <v>10453</v>
      </c>
      <c r="N97" s="985">
        <v>66820</v>
      </c>
      <c r="O97" s="987"/>
      <c r="P97" s="985"/>
      <c r="Q97" s="985"/>
      <c r="R97" s="982"/>
      <c r="S97" s="983"/>
      <c r="T97" s="976"/>
      <c r="U97" s="976"/>
      <c r="V97" s="976"/>
      <c r="W97" s="976"/>
      <c r="X97" s="976"/>
    </row>
    <row r="98" spans="1:24" ht="12.75" customHeight="1">
      <c r="A98" s="977"/>
      <c r="B98" s="978"/>
      <c r="C98" s="979"/>
      <c r="D98" s="980" t="s">
        <v>816</v>
      </c>
      <c r="E98" s="972">
        <v>2582</v>
      </c>
      <c r="F98" s="972">
        <f t="shared" si="1"/>
        <v>134488</v>
      </c>
      <c r="G98" s="985"/>
      <c r="H98" s="985"/>
      <c r="I98" s="985">
        <v>57215</v>
      </c>
      <c r="J98" s="985"/>
      <c r="K98" s="985"/>
      <c r="L98" s="985"/>
      <c r="M98" s="985">
        <v>10453</v>
      </c>
      <c r="N98" s="985">
        <v>66820</v>
      </c>
      <c r="O98" s="987"/>
      <c r="P98" s="985"/>
      <c r="Q98" s="985"/>
      <c r="R98" s="982"/>
      <c r="S98" s="983"/>
      <c r="T98" s="976"/>
      <c r="U98" s="976"/>
      <c r="V98" s="976"/>
      <c r="W98" s="976"/>
      <c r="X98" s="976"/>
    </row>
    <row r="99" spans="1:24" ht="12.75" customHeight="1">
      <c r="A99" s="977"/>
      <c r="B99" s="978"/>
      <c r="C99" s="979"/>
      <c r="D99" s="980" t="s">
        <v>895</v>
      </c>
      <c r="E99" s="972">
        <f>E98+456</f>
        <v>3038</v>
      </c>
      <c r="F99" s="972">
        <f t="shared" si="1"/>
        <v>142488</v>
      </c>
      <c r="G99" s="985"/>
      <c r="H99" s="985"/>
      <c r="I99" s="985">
        <v>57215</v>
      </c>
      <c r="J99" s="985"/>
      <c r="K99" s="985"/>
      <c r="L99" s="985"/>
      <c r="M99" s="985">
        <f>M98-2000</f>
        <v>8453</v>
      </c>
      <c r="N99" s="985">
        <f>N98+10000</f>
        <v>76820</v>
      </c>
      <c r="O99" s="987"/>
      <c r="P99" s="985"/>
      <c r="Q99" s="985"/>
      <c r="R99" s="982"/>
      <c r="S99" s="983"/>
      <c r="T99" s="976"/>
      <c r="U99" s="976"/>
      <c r="V99" s="976"/>
      <c r="W99" s="976"/>
      <c r="X99" s="976"/>
    </row>
    <row r="100" spans="1:24" ht="12.75" customHeight="1">
      <c r="A100" s="977" t="s">
        <v>424</v>
      </c>
      <c r="B100" s="978" t="s">
        <v>477</v>
      </c>
      <c r="C100" s="979" t="s">
        <v>478</v>
      </c>
      <c r="D100" s="984" t="s">
        <v>4</v>
      </c>
      <c r="E100" s="972"/>
      <c r="F100" s="972">
        <f t="shared" si="1"/>
        <v>99301</v>
      </c>
      <c r="G100" s="981"/>
      <c r="H100" s="981"/>
      <c r="I100" s="981">
        <v>89776</v>
      </c>
      <c r="J100" s="981"/>
      <c r="K100" s="981"/>
      <c r="L100" s="981"/>
      <c r="M100" s="981">
        <v>9525</v>
      </c>
      <c r="N100" s="981"/>
      <c r="O100" s="981"/>
      <c r="P100" s="981"/>
      <c r="Q100" s="981"/>
      <c r="R100" s="982"/>
      <c r="S100" s="983"/>
      <c r="T100" s="976"/>
      <c r="U100" s="976"/>
      <c r="V100" s="976"/>
      <c r="W100" s="976"/>
      <c r="X100" s="976"/>
    </row>
    <row r="101" spans="1:24" ht="12.75" customHeight="1">
      <c r="A101" s="977"/>
      <c r="B101" s="978"/>
      <c r="C101" s="979"/>
      <c r="D101" s="980" t="s">
        <v>816</v>
      </c>
      <c r="E101" s="972"/>
      <c r="F101" s="972">
        <f t="shared" si="1"/>
        <v>99301</v>
      </c>
      <c r="G101" s="981"/>
      <c r="H101" s="981"/>
      <c r="I101" s="981">
        <v>22171</v>
      </c>
      <c r="J101" s="981">
        <v>67605</v>
      </c>
      <c r="K101" s="981"/>
      <c r="L101" s="981"/>
      <c r="M101" s="981">
        <v>9525</v>
      </c>
      <c r="N101" s="981"/>
      <c r="O101" s="981"/>
      <c r="P101" s="981"/>
      <c r="Q101" s="981"/>
      <c r="R101" s="982"/>
      <c r="S101" s="983"/>
      <c r="T101" s="976"/>
      <c r="U101" s="976"/>
      <c r="V101" s="976"/>
      <c r="W101" s="976"/>
      <c r="X101" s="976"/>
    </row>
    <row r="102" spans="1:24" ht="12.75" customHeight="1">
      <c r="A102" s="977"/>
      <c r="B102" s="978"/>
      <c r="C102" s="979"/>
      <c r="D102" s="980" t="s">
        <v>895</v>
      </c>
      <c r="E102" s="972"/>
      <c r="F102" s="972">
        <f t="shared" si="1"/>
        <v>99301</v>
      </c>
      <c r="G102" s="981"/>
      <c r="H102" s="981"/>
      <c r="I102" s="981">
        <v>22171</v>
      </c>
      <c r="J102" s="981">
        <v>67605</v>
      </c>
      <c r="K102" s="981"/>
      <c r="L102" s="981"/>
      <c r="M102" s="981">
        <v>9525</v>
      </c>
      <c r="N102" s="981"/>
      <c r="O102" s="981"/>
      <c r="P102" s="981"/>
      <c r="Q102" s="981"/>
      <c r="R102" s="982"/>
      <c r="S102" s="983"/>
      <c r="T102" s="976"/>
      <c r="U102" s="976"/>
      <c r="V102" s="976"/>
      <c r="W102" s="976"/>
      <c r="X102" s="976"/>
    </row>
    <row r="103" spans="1:24" ht="12.75" customHeight="1">
      <c r="A103" s="977" t="s">
        <v>424</v>
      </c>
      <c r="B103" s="978" t="s">
        <v>477</v>
      </c>
      <c r="C103" s="979" t="s">
        <v>479</v>
      </c>
      <c r="D103" s="984" t="s">
        <v>4</v>
      </c>
      <c r="E103" s="972"/>
      <c r="F103" s="972">
        <f t="shared" si="1"/>
        <v>22225</v>
      </c>
      <c r="G103" s="985"/>
      <c r="H103" s="985"/>
      <c r="I103" s="985">
        <v>9525</v>
      </c>
      <c r="J103" s="985"/>
      <c r="K103" s="985"/>
      <c r="L103" s="985"/>
      <c r="M103" s="985">
        <v>12700</v>
      </c>
      <c r="N103" s="985"/>
      <c r="O103" s="985"/>
      <c r="P103" s="985"/>
      <c r="Q103" s="985"/>
      <c r="R103" s="982"/>
      <c r="S103" s="983"/>
      <c r="T103" s="976"/>
      <c r="U103" s="976"/>
      <c r="V103" s="976"/>
      <c r="W103" s="976"/>
      <c r="X103" s="976"/>
    </row>
    <row r="104" spans="1:24" ht="12.75" customHeight="1">
      <c r="A104" s="977"/>
      <c r="B104" s="978"/>
      <c r="C104" s="979"/>
      <c r="D104" s="980" t="s">
        <v>816</v>
      </c>
      <c r="E104" s="972"/>
      <c r="F104" s="972">
        <f t="shared" si="1"/>
        <v>22225</v>
      </c>
      <c r="G104" s="985"/>
      <c r="H104" s="985"/>
      <c r="I104" s="985">
        <v>0</v>
      </c>
      <c r="J104" s="985">
        <v>19045</v>
      </c>
      <c r="K104" s="985"/>
      <c r="L104" s="985"/>
      <c r="M104" s="985">
        <v>3180</v>
      </c>
      <c r="N104" s="985"/>
      <c r="O104" s="985"/>
      <c r="P104" s="985"/>
      <c r="Q104" s="985"/>
      <c r="R104" s="982"/>
      <c r="S104" s="983"/>
      <c r="T104" s="976"/>
      <c r="U104" s="976"/>
      <c r="V104" s="976"/>
      <c r="W104" s="976"/>
      <c r="X104" s="976"/>
    </row>
    <row r="105" spans="1:24" ht="12.75" customHeight="1">
      <c r="A105" s="977"/>
      <c r="B105" s="978"/>
      <c r="C105" s="979"/>
      <c r="D105" s="980" t="s">
        <v>895</v>
      </c>
      <c r="E105" s="972"/>
      <c r="F105" s="972">
        <f t="shared" si="1"/>
        <v>22225</v>
      </c>
      <c r="G105" s="985"/>
      <c r="H105" s="985"/>
      <c r="I105" s="985">
        <v>0</v>
      </c>
      <c r="J105" s="985">
        <v>19045</v>
      </c>
      <c r="K105" s="985"/>
      <c r="L105" s="985"/>
      <c r="M105" s="985">
        <v>3180</v>
      </c>
      <c r="N105" s="985"/>
      <c r="O105" s="985"/>
      <c r="P105" s="985"/>
      <c r="Q105" s="985"/>
      <c r="R105" s="982"/>
      <c r="S105" s="983"/>
      <c r="T105" s="976"/>
      <c r="U105" s="976"/>
      <c r="V105" s="976"/>
      <c r="W105" s="976"/>
      <c r="X105" s="976"/>
    </row>
    <row r="106" spans="1:24" ht="12.75" customHeight="1">
      <c r="A106" s="977" t="s">
        <v>424</v>
      </c>
      <c r="B106" s="978" t="s">
        <v>477</v>
      </c>
      <c r="C106" s="979" t="s">
        <v>480</v>
      </c>
      <c r="D106" s="984" t="s">
        <v>4</v>
      </c>
      <c r="E106" s="972"/>
      <c r="F106" s="972">
        <f t="shared" si="1"/>
        <v>0</v>
      </c>
      <c r="G106" s="985"/>
      <c r="H106" s="985"/>
      <c r="I106" s="985"/>
      <c r="J106" s="985"/>
      <c r="K106" s="985"/>
      <c r="L106" s="985"/>
      <c r="M106" s="985"/>
      <c r="N106" s="985"/>
      <c r="O106" s="985"/>
      <c r="P106" s="985"/>
      <c r="Q106" s="985"/>
      <c r="R106" s="982"/>
      <c r="S106" s="983"/>
      <c r="T106" s="976"/>
      <c r="U106" s="976"/>
      <c r="V106" s="976"/>
      <c r="W106" s="976"/>
      <c r="X106" s="976"/>
    </row>
    <row r="107" spans="1:24" ht="12.75" customHeight="1">
      <c r="A107" s="977"/>
      <c r="B107" s="978"/>
      <c r="C107" s="979"/>
      <c r="D107" s="980" t="s">
        <v>816</v>
      </c>
      <c r="E107" s="972"/>
      <c r="F107" s="972">
        <f t="shared" si="1"/>
        <v>0</v>
      </c>
      <c r="G107" s="985"/>
      <c r="H107" s="985"/>
      <c r="I107" s="985"/>
      <c r="J107" s="985"/>
      <c r="K107" s="985"/>
      <c r="L107" s="985"/>
      <c r="M107" s="985"/>
      <c r="N107" s="985"/>
      <c r="O107" s="985"/>
      <c r="P107" s="985"/>
      <c r="Q107" s="985"/>
      <c r="R107" s="982"/>
      <c r="S107" s="983"/>
      <c r="T107" s="976"/>
      <c r="U107" s="976"/>
      <c r="V107" s="976"/>
      <c r="W107" s="976"/>
      <c r="X107" s="976"/>
    </row>
    <row r="108" spans="1:24" ht="12.75" customHeight="1">
      <c r="A108" s="977"/>
      <c r="B108" s="978"/>
      <c r="C108" s="979"/>
      <c r="D108" s="980" t="s">
        <v>895</v>
      </c>
      <c r="E108" s="972"/>
      <c r="F108" s="972">
        <f t="shared" si="1"/>
        <v>0</v>
      </c>
      <c r="G108" s="985"/>
      <c r="H108" s="985"/>
      <c r="I108" s="985"/>
      <c r="J108" s="985"/>
      <c r="K108" s="985"/>
      <c r="L108" s="985"/>
      <c r="M108" s="985"/>
      <c r="N108" s="985"/>
      <c r="O108" s="985"/>
      <c r="P108" s="985"/>
      <c r="Q108" s="985"/>
      <c r="R108" s="982"/>
      <c r="S108" s="983"/>
      <c r="T108" s="976"/>
      <c r="U108" s="976"/>
      <c r="V108" s="976"/>
      <c r="W108" s="976"/>
      <c r="X108" s="976"/>
    </row>
    <row r="109" spans="1:24" ht="12.75" customHeight="1">
      <c r="A109" s="977" t="s">
        <v>424</v>
      </c>
      <c r="B109" s="978" t="s">
        <v>481</v>
      </c>
      <c r="C109" s="979" t="s">
        <v>482</v>
      </c>
      <c r="D109" s="984" t="s">
        <v>4</v>
      </c>
      <c r="E109" s="972"/>
      <c r="F109" s="972">
        <f t="shared" si="1"/>
        <v>12891</v>
      </c>
      <c r="G109" s="985"/>
      <c r="H109" s="985"/>
      <c r="I109" s="985">
        <v>12891</v>
      </c>
      <c r="J109" s="985"/>
      <c r="K109" s="985"/>
      <c r="L109" s="985"/>
      <c r="M109" s="985"/>
      <c r="N109" s="985"/>
      <c r="O109" s="985"/>
      <c r="P109" s="985"/>
      <c r="Q109" s="985"/>
      <c r="R109" s="982"/>
      <c r="S109" s="983"/>
      <c r="T109" s="976"/>
      <c r="U109" s="976"/>
      <c r="V109" s="976"/>
      <c r="W109" s="976"/>
      <c r="X109" s="976"/>
    </row>
    <row r="110" spans="1:24" ht="12.75" customHeight="1">
      <c r="A110" s="977"/>
      <c r="B110" s="978"/>
      <c r="C110" s="979"/>
      <c r="D110" s="980" t="s">
        <v>816</v>
      </c>
      <c r="E110" s="972"/>
      <c r="F110" s="972">
        <f t="shared" si="1"/>
        <v>12391</v>
      </c>
      <c r="G110" s="985"/>
      <c r="H110" s="985"/>
      <c r="I110" s="985">
        <v>12391</v>
      </c>
      <c r="J110" s="985"/>
      <c r="K110" s="985"/>
      <c r="L110" s="985"/>
      <c r="M110" s="985"/>
      <c r="N110" s="985"/>
      <c r="O110" s="985"/>
      <c r="P110" s="985"/>
      <c r="Q110" s="985"/>
      <c r="R110" s="982"/>
      <c r="S110" s="983"/>
      <c r="T110" s="976"/>
      <c r="U110" s="976"/>
      <c r="V110" s="976"/>
      <c r="W110" s="976"/>
      <c r="X110" s="976"/>
    </row>
    <row r="111" spans="1:24" ht="12.75" customHeight="1">
      <c r="A111" s="977"/>
      <c r="B111" s="978"/>
      <c r="C111" s="979"/>
      <c r="D111" s="980" t="s">
        <v>895</v>
      </c>
      <c r="E111" s="972"/>
      <c r="F111" s="972">
        <f t="shared" si="1"/>
        <v>12391</v>
      </c>
      <c r="G111" s="985"/>
      <c r="H111" s="985"/>
      <c r="I111" s="985">
        <v>12391</v>
      </c>
      <c r="J111" s="985"/>
      <c r="K111" s="985"/>
      <c r="L111" s="985"/>
      <c r="M111" s="985"/>
      <c r="N111" s="985"/>
      <c r="O111" s="985"/>
      <c r="P111" s="985"/>
      <c r="Q111" s="985"/>
      <c r="R111" s="982"/>
      <c r="S111" s="983"/>
      <c r="T111" s="976"/>
      <c r="U111" s="976"/>
      <c r="V111" s="976"/>
      <c r="W111" s="976"/>
      <c r="X111" s="976"/>
    </row>
    <row r="112" spans="1:24" ht="12.75" customHeight="1">
      <c r="A112" s="977" t="s">
        <v>424</v>
      </c>
      <c r="B112" s="978" t="s">
        <v>481</v>
      </c>
      <c r="C112" s="979" t="s">
        <v>483</v>
      </c>
      <c r="D112" s="984" t="s">
        <v>4</v>
      </c>
      <c r="E112" s="972"/>
      <c r="F112" s="972">
        <f t="shared" si="1"/>
        <v>30921</v>
      </c>
      <c r="G112" s="981">
        <v>1000</v>
      </c>
      <c r="H112" s="981">
        <v>282</v>
      </c>
      <c r="I112" s="981">
        <v>23639</v>
      </c>
      <c r="J112" s="981"/>
      <c r="K112" s="981"/>
      <c r="L112" s="981"/>
      <c r="M112" s="981"/>
      <c r="N112" s="981"/>
      <c r="O112" s="981">
        <v>6000</v>
      </c>
      <c r="P112" s="981"/>
      <c r="Q112" s="981"/>
      <c r="R112" s="982"/>
      <c r="S112" s="983"/>
      <c r="T112" s="976"/>
      <c r="U112" s="976"/>
      <c r="V112" s="976"/>
      <c r="W112" s="976"/>
      <c r="X112" s="976"/>
    </row>
    <row r="113" spans="1:24" ht="12.75" customHeight="1">
      <c r="A113" s="977"/>
      <c r="B113" s="978"/>
      <c r="C113" s="979"/>
      <c r="D113" s="980" t="s">
        <v>816</v>
      </c>
      <c r="E113" s="972"/>
      <c r="F113" s="972">
        <f t="shared" si="1"/>
        <v>30921</v>
      </c>
      <c r="G113" s="981">
        <v>1000</v>
      </c>
      <c r="H113" s="981">
        <v>282</v>
      </c>
      <c r="I113" s="981">
        <v>23639</v>
      </c>
      <c r="J113" s="981"/>
      <c r="K113" s="981"/>
      <c r="L113" s="981"/>
      <c r="M113" s="981"/>
      <c r="N113" s="981"/>
      <c r="O113" s="981">
        <v>6000</v>
      </c>
      <c r="P113" s="981"/>
      <c r="Q113" s="981"/>
      <c r="R113" s="982"/>
      <c r="S113" s="983"/>
      <c r="T113" s="976"/>
      <c r="U113" s="976"/>
      <c r="V113" s="976"/>
      <c r="W113" s="976"/>
      <c r="X113" s="976"/>
    </row>
    <row r="114" spans="1:24" ht="12.75" customHeight="1">
      <c r="A114" s="977"/>
      <c r="B114" s="978"/>
      <c r="C114" s="979"/>
      <c r="D114" s="980" t="s">
        <v>895</v>
      </c>
      <c r="E114" s="972"/>
      <c r="F114" s="972">
        <f t="shared" si="1"/>
        <v>20921</v>
      </c>
      <c r="G114" s="981">
        <f>G113-400</f>
        <v>600</v>
      </c>
      <c r="H114" s="981">
        <f>H113-120</f>
        <v>162</v>
      </c>
      <c r="I114" s="981">
        <f>I113+520-10000</f>
        <v>14159</v>
      </c>
      <c r="J114" s="981"/>
      <c r="K114" s="981"/>
      <c r="L114" s="981"/>
      <c r="M114" s="981"/>
      <c r="N114" s="981"/>
      <c r="O114" s="981">
        <v>6000</v>
      </c>
      <c r="P114" s="981"/>
      <c r="Q114" s="981"/>
      <c r="R114" s="982"/>
      <c r="S114" s="983"/>
      <c r="T114" s="976"/>
      <c r="U114" s="976"/>
      <c r="V114" s="976"/>
      <c r="W114" s="976"/>
      <c r="X114" s="976"/>
    </row>
    <row r="115" spans="1:24" ht="12.75" customHeight="1">
      <c r="A115" s="977" t="s">
        <v>424</v>
      </c>
      <c r="B115" s="978" t="s">
        <v>481</v>
      </c>
      <c r="C115" s="979" t="s">
        <v>484</v>
      </c>
      <c r="D115" s="984" t="s">
        <v>4</v>
      </c>
      <c r="E115" s="972"/>
      <c r="F115" s="972">
        <f t="shared" si="1"/>
        <v>184362</v>
      </c>
      <c r="G115" s="985"/>
      <c r="H115" s="985"/>
      <c r="I115" s="985">
        <v>16535</v>
      </c>
      <c r="J115" s="985">
        <v>142382</v>
      </c>
      <c r="K115" s="985"/>
      <c r="L115" s="985"/>
      <c r="M115" s="985">
        <v>3445</v>
      </c>
      <c r="N115" s="985">
        <v>22000</v>
      </c>
      <c r="O115" s="987"/>
      <c r="P115" s="985"/>
      <c r="Q115" s="985"/>
      <c r="R115" s="982"/>
      <c r="S115" s="983"/>
      <c r="T115" s="976"/>
      <c r="U115" s="976"/>
      <c r="V115" s="976"/>
      <c r="W115" s="976"/>
      <c r="X115" s="976"/>
    </row>
    <row r="116" spans="1:24" ht="12.75" customHeight="1">
      <c r="A116" s="977"/>
      <c r="B116" s="978"/>
      <c r="C116" s="979"/>
      <c r="D116" s="980" t="s">
        <v>816</v>
      </c>
      <c r="E116" s="972"/>
      <c r="F116" s="972">
        <f t="shared" si="1"/>
        <v>184308</v>
      </c>
      <c r="G116" s="985"/>
      <c r="H116" s="985"/>
      <c r="I116" s="985">
        <v>7091</v>
      </c>
      <c r="J116" s="985">
        <v>151772</v>
      </c>
      <c r="K116" s="985"/>
      <c r="L116" s="985"/>
      <c r="M116" s="985">
        <v>3445</v>
      </c>
      <c r="N116" s="985">
        <v>22000</v>
      </c>
      <c r="O116" s="987"/>
      <c r="P116" s="985"/>
      <c r="Q116" s="985"/>
      <c r="R116" s="982"/>
      <c r="S116" s="983"/>
      <c r="T116" s="976"/>
      <c r="U116" s="976"/>
      <c r="V116" s="976"/>
      <c r="W116" s="976"/>
      <c r="X116" s="976"/>
    </row>
    <row r="117" spans="1:24" ht="12.75" customHeight="1">
      <c r="A117" s="977"/>
      <c r="B117" s="978"/>
      <c r="C117" s="979"/>
      <c r="D117" s="980" t="s">
        <v>895</v>
      </c>
      <c r="E117" s="972"/>
      <c r="F117" s="972">
        <f t="shared" si="1"/>
        <v>179308</v>
      </c>
      <c r="G117" s="985"/>
      <c r="H117" s="985"/>
      <c r="I117" s="985">
        <f>I116-2000</f>
        <v>5091</v>
      </c>
      <c r="J117" s="985">
        <v>151772</v>
      </c>
      <c r="K117" s="985"/>
      <c r="L117" s="985"/>
      <c r="M117" s="985">
        <f>M116-3000</f>
        <v>445</v>
      </c>
      <c r="N117" s="985">
        <v>22000</v>
      </c>
      <c r="O117" s="987"/>
      <c r="P117" s="985"/>
      <c r="Q117" s="985"/>
      <c r="R117" s="982"/>
      <c r="S117" s="983"/>
      <c r="T117" s="976"/>
      <c r="U117" s="976"/>
      <c r="V117" s="976"/>
      <c r="W117" s="976"/>
      <c r="X117" s="976"/>
    </row>
    <row r="118" spans="1:24" ht="12.75" customHeight="1">
      <c r="A118" s="977" t="s">
        <v>427</v>
      </c>
      <c r="B118" s="978" t="s">
        <v>485</v>
      </c>
      <c r="C118" s="979" t="s">
        <v>357</v>
      </c>
      <c r="D118" s="984" t="s">
        <v>4</v>
      </c>
      <c r="E118" s="972"/>
      <c r="F118" s="972">
        <f t="shared" si="1"/>
        <v>0</v>
      </c>
      <c r="G118" s="985"/>
      <c r="H118" s="985"/>
      <c r="I118" s="985"/>
      <c r="J118" s="985"/>
      <c r="K118" s="985"/>
      <c r="L118" s="985"/>
      <c r="M118" s="985"/>
      <c r="N118" s="985"/>
      <c r="O118" s="987"/>
      <c r="P118" s="985"/>
      <c r="Q118" s="985"/>
      <c r="R118" s="982"/>
      <c r="S118" s="983"/>
      <c r="T118" s="976"/>
      <c r="U118" s="976"/>
      <c r="V118" s="976"/>
      <c r="W118" s="976"/>
      <c r="X118" s="976"/>
    </row>
    <row r="119" spans="1:24" ht="12.75" customHeight="1">
      <c r="A119" s="977"/>
      <c r="B119" s="978"/>
      <c r="C119" s="979"/>
      <c r="D119" s="980" t="s">
        <v>816</v>
      </c>
      <c r="E119" s="972"/>
      <c r="F119" s="972">
        <f t="shared" si="1"/>
        <v>0</v>
      </c>
      <c r="G119" s="985"/>
      <c r="H119" s="985"/>
      <c r="I119" s="985"/>
      <c r="J119" s="985"/>
      <c r="K119" s="985"/>
      <c r="L119" s="985"/>
      <c r="M119" s="985"/>
      <c r="N119" s="985"/>
      <c r="O119" s="987"/>
      <c r="P119" s="985"/>
      <c r="Q119" s="985"/>
      <c r="R119" s="982"/>
      <c r="S119" s="983"/>
      <c r="T119" s="976"/>
      <c r="U119" s="976"/>
      <c r="V119" s="976"/>
      <c r="W119" s="976"/>
      <c r="X119" s="976"/>
    </row>
    <row r="120" spans="1:24" ht="12.75" customHeight="1">
      <c r="A120" s="977"/>
      <c r="B120" s="978"/>
      <c r="C120" s="979"/>
      <c r="D120" s="980" t="s">
        <v>895</v>
      </c>
      <c r="E120" s="972"/>
      <c r="F120" s="972">
        <f t="shared" si="1"/>
        <v>0</v>
      </c>
      <c r="G120" s="985"/>
      <c r="H120" s="985"/>
      <c r="I120" s="985"/>
      <c r="J120" s="985"/>
      <c r="K120" s="985"/>
      <c r="L120" s="985"/>
      <c r="M120" s="985"/>
      <c r="N120" s="985"/>
      <c r="O120" s="987"/>
      <c r="P120" s="985"/>
      <c r="Q120" s="985"/>
      <c r="R120" s="982"/>
      <c r="S120" s="983"/>
      <c r="T120" s="976"/>
      <c r="U120" s="976"/>
      <c r="V120" s="976"/>
      <c r="W120" s="976"/>
      <c r="X120" s="976"/>
    </row>
    <row r="121" spans="1:24" ht="12.75" customHeight="1">
      <c r="A121" s="977" t="s">
        <v>427</v>
      </c>
      <c r="B121" s="978" t="s">
        <v>486</v>
      </c>
      <c r="C121" s="979" t="s">
        <v>487</v>
      </c>
      <c r="D121" s="984" t="s">
        <v>4</v>
      </c>
      <c r="E121" s="972">
        <v>215</v>
      </c>
      <c r="F121" s="972">
        <f t="shared" si="1"/>
        <v>11129</v>
      </c>
      <c r="G121" s="985">
        <v>5500</v>
      </c>
      <c r="H121" s="985">
        <v>2814</v>
      </c>
      <c r="I121" s="985">
        <v>2815</v>
      </c>
      <c r="J121" s="985"/>
      <c r="K121" s="985"/>
      <c r="L121" s="985"/>
      <c r="M121" s="985"/>
      <c r="N121" s="985"/>
      <c r="O121" s="985"/>
      <c r="P121" s="985"/>
      <c r="Q121" s="985"/>
      <c r="R121" s="982"/>
      <c r="S121" s="983"/>
      <c r="T121" s="976"/>
      <c r="U121" s="976"/>
      <c r="V121" s="976"/>
      <c r="W121" s="976"/>
      <c r="X121" s="976"/>
    </row>
    <row r="122" spans="1:24" ht="12.75" customHeight="1">
      <c r="A122" s="977"/>
      <c r="B122" s="978"/>
      <c r="C122" s="979"/>
      <c r="D122" s="980" t="s">
        <v>816</v>
      </c>
      <c r="E122" s="972">
        <v>215</v>
      </c>
      <c r="F122" s="972">
        <f t="shared" si="1"/>
        <v>11273</v>
      </c>
      <c r="G122" s="985">
        <v>5530</v>
      </c>
      <c r="H122" s="985">
        <v>2814</v>
      </c>
      <c r="I122" s="985">
        <v>2929</v>
      </c>
      <c r="J122" s="985"/>
      <c r="K122" s="985"/>
      <c r="L122" s="985"/>
      <c r="M122" s="985"/>
      <c r="N122" s="985"/>
      <c r="O122" s="985"/>
      <c r="P122" s="985"/>
      <c r="Q122" s="985"/>
      <c r="R122" s="982"/>
      <c r="S122" s="983"/>
      <c r="T122" s="976"/>
      <c r="U122" s="976"/>
      <c r="V122" s="976"/>
      <c r="W122" s="976"/>
      <c r="X122" s="976"/>
    </row>
    <row r="123" spans="1:24" ht="12.75" customHeight="1">
      <c r="A123" s="977"/>
      <c r="B123" s="978"/>
      <c r="C123" s="979"/>
      <c r="D123" s="980" t="s">
        <v>895</v>
      </c>
      <c r="E123" s="972">
        <v>215</v>
      </c>
      <c r="F123" s="972">
        <f t="shared" si="1"/>
        <v>11430</v>
      </c>
      <c r="G123" s="985">
        <f>G122+202</f>
        <v>5732</v>
      </c>
      <c r="H123" s="985">
        <v>2814</v>
      </c>
      <c r="I123" s="985">
        <f>I122-45</f>
        <v>2884</v>
      </c>
      <c r="J123" s="985"/>
      <c r="K123" s="985"/>
      <c r="L123" s="985"/>
      <c r="M123" s="985"/>
      <c r="N123" s="985"/>
      <c r="O123" s="985"/>
      <c r="P123" s="985"/>
      <c r="Q123" s="985"/>
      <c r="R123" s="982"/>
      <c r="S123" s="983"/>
      <c r="T123" s="976"/>
      <c r="U123" s="976"/>
      <c r="V123" s="976"/>
      <c r="W123" s="976"/>
      <c r="X123" s="976"/>
    </row>
    <row r="124" spans="1:24" ht="12.75" customHeight="1">
      <c r="A124" s="977" t="s">
        <v>427</v>
      </c>
      <c r="B124" s="978" t="s">
        <v>488</v>
      </c>
      <c r="C124" s="979" t="s">
        <v>489</v>
      </c>
      <c r="D124" s="984" t="s">
        <v>4</v>
      </c>
      <c r="E124" s="972"/>
      <c r="F124" s="972">
        <f t="shared" si="1"/>
        <v>1651</v>
      </c>
      <c r="G124" s="985"/>
      <c r="H124" s="985"/>
      <c r="I124" s="985">
        <v>1651</v>
      </c>
      <c r="J124" s="985"/>
      <c r="K124" s="985"/>
      <c r="L124" s="985"/>
      <c r="M124" s="985"/>
      <c r="N124" s="985"/>
      <c r="O124" s="987"/>
      <c r="P124" s="985"/>
      <c r="Q124" s="985"/>
      <c r="R124" s="982"/>
      <c r="S124" s="983"/>
      <c r="T124" s="976"/>
      <c r="U124" s="976"/>
      <c r="V124" s="976"/>
      <c r="W124" s="976"/>
      <c r="X124" s="976"/>
    </row>
    <row r="125" spans="1:24" ht="12.75" customHeight="1">
      <c r="A125" s="977"/>
      <c r="B125" s="978"/>
      <c r="C125" s="979"/>
      <c r="D125" s="980" t="s">
        <v>816</v>
      </c>
      <c r="E125" s="972"/>
      <c r="F125" s="972">
        <f t="shared" si="1"/>
        <v>1651</v>
      </c>
      <c r="G125" s="985"/>
      <c r="H125" s="985"/>
      <c r="I125" s="985">
        <v>381</v>
      </c>
      <c r="J125" s="985">
        <v>1270</v>
      </c>
      <c r="K125" s="985"/>
      <c r="L125" s="985"/>
      <c r="M125" s="985"/>
      <c r="N125" s="985"/>
      <c r="O125" s="987"/>
      <c r="P125" s="985"/>
      <c r="Q125" s="985"/>
      <c r="R125" s="982"/>
      <c r="S125" s="983"/>
      <c r="T125" s="976"/>
      <c r="U125" s="976"/>
      <c r="V125" s="976"/>
      <c r="W125" s="976"/>
      <c r="X125" s="976"/>
    </row>
    <row r="126" spans="1:24" ht="12.75" customHeight="1">
      <c r="A126" s="977"/>
      <c r="B126" s="978"/>
      <c r="C126" s="979"/>
      <c r="D126" s="980" t="s">
        <v>895</v>
      </c>
      <c r="E126" s="972"/>
      <c r="F126" s="972">
        <f t="shared" si="1"/>
        <v>1929</v>
      </c>
      <c r="G126" s="985"/>
      <c r="H126" s="985"/>
      <c r="I126" s="985">
        <f>I125+278</f>
        <v>659</v>
      </c>
      <c r="J126" s="985">
        <v>1270</v>
      </c>
      <c r="K126" s="985"/>
      <c r="L126" s="985"/>
      <c r="M126" s="985"/>
      <c r="N126" s="985"/>
      <c r="O126" s="987"/>
      <c r="P126" s="985"/>
      <c r="Q126" s="985"/>
      <c r="R126" s="982"/>
      <c r="S126" s="983"/>
      <c r="T126" s="976"/>
      <c r="U126" s="976"/>
      <c r="V126" s="976"/>
      <c r="W126" s="976"/>
      <c r="X126" s="976"/>
    </row>
    <row r="127" spans="1:24" ht="12.75" customHeight="1">
      <c r="A127" s="977" t="s">
        <v>424</v>
      </c>
      <c r="B127" s="978" t="s">
        <v>490</v>
      </c>
      <c r="C127" s="979" t="s">
        <v>491</v>
      </c>
      <c r="D127" s="984" t="s">
        <v>4</v>
      </c>
      <c r="E127" s="972"/>
      <c r="F127" s="972">
        <f t="shared" si="1"/>
        <v>115170</v>
      </c>
      <c r="G127" s="985"/>
      <c r="H127" s="985"/>
      <c r="I127" s="985">
        <v>1425</v>
      </c>
      <c r="J127" s="985">
        <v>113745</v>
      </c>
      <c r="K127" s="985"/>
      <c r="L127" s="985"/>
      <c r="M127" s="985"/>
      <c r="N127" s="985"/>
      <c r="O127" s="985"/>
      <c r="P127" s="985"/>
      <c r="Q127" s="985"/>
      <c r="R127" s="982"/>
      <c r="S127" s="983"/>
      <c r="T127" s="976"/>
      <c r="U127" s="976"/>
      <c r="V127" s="976"/>
      <c r="W127" s="976"/>
      <c r="X127" s="976"/>
    </row>
    <row r="128" spans="1:24" ht="12.75" customHeight="1">
      <c r="A128" s="977"/>
      <c r="B128" s="978"/>
      <c r="C128" s="979"/>
      <c r="D128" s="980" t="s">
        <v>816</v>
      </c>
      <c r="E128" s="972"/>
      <c r="F128" s="972">
        <f t="shared" si="1"/>
        <v>124757</v>
      </c>
      <c r="G128" s="985"/>
      <c r="H128" s="985"/>
      <c r="I128" s="985">
        <v>1825</v>
      </c>
      <c r="J128" s="985">
        <v>121932</v>
      </c>
      <c r="K128" s="985"/>
      <c r="L128" s="985"/>
      <c r="M128" s="985"/>
      <c r="N128" s="985">
        <v>1000</v>
      </c>
      <c r="O128" s="985"/>
      <c r="P128" s="985"/>
      <c r="Q128" s="985"/>
      <c r="R128" s="982"/>
      <c r="S128" s="983"/>
      <c r="T128" s="976"/>
      <c r="U128" s="976"/>
      <c r="V128" s="976"/>
      <c r="W128" s="976"/>
      <c r="X128" s="976"/>
    </row>
    <row r="129" spans="1:24" ht="12.75" customHeight="1">
      <c r="A129" s="977"/>
      <c r="B129" s="978"/>
      <c r="C129" s="979"/>
      <c r="D129" s="980" t="s">
        <v>895</v>
      </c>
      <c r="E129" s="972">
        <v>69</v>
      </c>
      <c r="F129" s="972">
        <f t="shared" si="1"/>
        <v>130165</v>
      </c>
      <c r="G129" s="985">
        <v>1536</v>
      </c>
      <c r="H129" s="985"/>
      <c r="I129" s="985">
        <f>I128+33</f>
        <v>1858</v>
      </c>
      <c r="J129" s="985">
        <f>J128+300</f>
        <v>122232</v>
      </c>
      <c r="K129" s="985"/>
      <c r="L129" s="985"/>
      <c r="M129" s="985"/>
      <c r="N129" s="985">
        <f>N128+345</f>
        <v>1345</v>
      </c>
      <c r="O129" s="985">
        <v>3194</v>
      </c>
      <c r="P129" s="985"/>
      <c r="Q129" s="985"/>
      <c r="R129" s="982"/>
      <c r="S129" s="983"/>
      <c r="T129" s="976"/>
      <c r="U129" s="976"/>
      <c r="V129" s="976"/>
      <c r="W129" s="976"/>
      <c r="X129" s="976"/>
    </row>
    <row r="130" spans="1:24" ht="12.75" customHeight="1">
      <c r="A130" s="977" t="s">
        <v>427</v>
      </c>
      <c r="B130" s="978" t="s">
        <v>492</v>
      </c>
      <c r="C130" s="979" t="s">
        <v>493</v>
      </c>
      <c r="D130" s="984" t="s">
        <v>4</v>
      </c>
      <c r="E130" s="972"/>
      <c r="F130" s="972">
        <f t="shared" si="1"/>
        <v>1800</v>
      </c>
      <c r="G130" s="981"/>
      <c r="H130" s="981"/>
      <c r="I130" s="981">
        <v>1800</v>
      </c>
      <c r="J130" s="981"/>
      <c r="K130" s="972"/>
      <c r="L130" s="972"/>
      <c r="M130" s="981"/>
      <c r="N130" s="981"/>
      <c r="O130" s="981"/>
      <c r="P130" s="981"/>
      <c r="Q130" s="981"/>
      <c r="R130" s="982"/>
      <c r="S130" s="983"/>
      <c r="T130" s="976"/>
      <c r="U130" s="976"/>
      <c r="V130" s="976"/>
      <c r="W130" s="976"/>
      <c r="X130" s="976"/>
    </row>
    <row r="131" spans="1:24" ht="12.75" customHeight="1">
      <c r="A131" s="977"/>
      <c r="B131" s="978"/>
      <c r="C131" s="979"/>
      <c r="D131" s="980" t="s">
        <v>816</v>
      </c>
      <c r="E131" s="972"/>
      <c r="F131" s="972">
        <f t="shared" si="1"/>
        <v>1800</v>
      </c>
      <c r="G131" s="981"/>
      <c r="H131" s="981"/>
      <c r="I131" s="981">
        <v>1800</v>
      </c>
      <c r="J131" s="981"/>
      <c r="K131" s="972"/>
      <c r="L131" s="972"/>
      <c r="M131" s="981"/>
      <c r="N131" s="981"/>
      <c r="O131" s="981"/>
      <c r="P131" s="981"/>
      <c r="Q131" s="981"/>
      <c r="R131" s="982"/>
      <c r="S131" s="983"/>
      <c r="T131" s="976"/>
      <c r="U131" s="976"/>
      <c r="V131" s="976"/>
      <c r="W131" s="976"/>
      <c r="X131" s="976"/>
    </row>
    <row r="132" spans="1:24" ht="12.75" customHeight="1">
      <c r="A132" s="977"/>
      <c r="B132" s="978"/>
      <c r="C132" s="979"/>
      <c r="D132" s="980" t="s">
        <v>895</v>
      </c>
      <c r="E132" s="972">
        <v>116</v>
      </c>
      <c r="F132" s="972">
        <f t="shared" si="1"/>
        <v>1916</v>
      </c>
      <c r="G132" s="981"/>
      <c r="H132" s="981"/>
      <c r="I132" s="981">
        <f>I131+116</f>
        <v>1916</v>
      </c>
      <c r="J132" s="981"/>
      <c r="K132" s="972"/>
      <c r="L132" s="972"/>
      <c r="M132" s="981"/>
      <c r="N132" s="981"/>
      <c r="O132" s="981"/>
      <c r="P132" s="981"/>
      <c r="Q132" s="981"/>
      <c r="R132" s="982"/>
      <c r="S132" s="983"/>
      <c r="T132" s="976"/>
      <c r="U132" s="976"/>
      <c r="V132" s="976"/>
      <c r="W132" s="976"/>
      <c r="X132" s="976"/>
    </row>
    <row r="133" spans="1:24" ht="12.75" customHeight="1">
      <c r="A133" s="977" t="s">
        <v>427</v>
      </c>
      <c r="B133" s="988" t="s">
        <v>494</v>
      </c>
      <c r="C133" s="989" t="s">
        <v>495</v>
      </c>
      <c r="D133" s="984" t="s">
        <v>4</v>
      </c>
      <c r="E133" s="972"/>
      <c r="F133" s="972">
        <f t="shared" si="1"/>
        <v>25825</v>
      </c>
      <c r="G133" s="985">
        <v>3360</v>
      </c>
      <c r="H133" s="985">
        <v>907</v>
      </c>
      <c r="I133" s="985">
        <v>21558</v>
      </c>
      <c r="J133" s="985"/>
      <c r="K133" s="985"/>
      <c r="L133" s="985"/>
      <c r="M133" s="985"/>
      <c r="N133" s="985"/>
      <c r="O133" s="985"/>
      <c r="P133" s="985"/>
      <c r="Q133" s="985"/>
      <c r="R133" s="982"/>
      <c r="S133" s="983"/>
      <c r="T133" s="976"/>
      <c r="U133" s="976"/>
      <c r="V133" s="976"/>
      <c r="W133" s="976"/>
      <c r="X133" s="976"/>
    </row>
    <row r="134" spans="1:24" ht="12.75" customHeight="1">
      <c r="A134" s="977"/>
      <c r="B134" s="988"/>
      <c r="C134" s="989"/>
      <c r="D134" s="980" t="s">
        <v>816</v>
      </c>
      <c r="E134" s="972"/>
      <c r="F134" s="972">
        <f t="shared" si="1"/>
        <v>25825</v>
      </c>
      <c r="G134" s="985">
        <v>3360</v>
      </c>
      <c r="H134" s="985">
        <v>907</v>
      </c>
      <c r="I134" s="985">
        <v>21558</v>
      </c>
      <c r="J134" s="985"/>
      <c r="K134" s="985"/>
      <c r="L134" s="985"/>
      <c r="M134" s="985"/>
      <c r="N134" s="985"/>
      <c r="O134" s="985"/>
      <c r="P134" s="985"/>
      <c r="Q134" s="985"/>
      <c r="R134" s="982"/>
      <c r="S134" s="983"/>
      <c r="T134" s="976"/>
      <c r="U134" s="976"/>
      <c r="V134" s="976"/>
      <c r="W134" s="976"/>
      <c r="X134" s="976"/>
    </row>
    <row r="135" spans="1:24" ht="12.75" customHeight="1">
      <c r="A135" s="977"/>
      <c r="B135" s="988"/>
      <c r="C135" s="989"/>
      <c r="D135" s="980" t="s">
        <v>895</v>
      </c>
      <c r="E135" s="972"/>
      <c r="F135" s="972">
        <f aca="true" t="shared" si="2" ref="F135:F198">SUM(G135:R135)</f>
        <v>25825</v>
      </c>
      <c r="G135" s="985">
        <v>3360</v>
      </c>
      <c r="H135" s="985">
        <v>907</v>
      </c>
      <c r="I135" s="985">
        <v>21558</v>
      </c>
      <c r="J135" s="985"/>
      <c r="K135" s="985"/>
      <c r="L135" s="985"/>
      <c r="M135" s="985"/>
      <c r="N135" s="985"/>
      <c r="O135" s="985"/>
      <c r="P135" s="985"/>
      <c r="Q135" s="985"/>
      <c r="R135" s="982"/>
      <c r="S135" s="983"/>
      <c r="T135" s="976"/>
      <c r="U135" s="976"/>
      <c r="V135" s="976"/>
      <c r="W135" s="976"/>
      <c r="X135" s="976"/>
    </row>
    <row r="136" spans="1:19" s="976" customFormat="1" ht="12.75" customHeight="1">
      <c r="A136" s="977" t="s">
        <v>427</v>
      </c>
      <c r="B136" s="978" t="s">
        <v>496</v>
      </c>
      <c r="C136" s="979" t="s">
        <v>497</v>
      </c>
      <c r="D136" s="984" t="s">
        <v>4</v>
      </c>
      <c r="E136" s="972">
        <v>24720</v>
      </c>
      <c r="F136" s="972">
        <f t="shared" si="2"/>
        <v>248778</v>
      </c>
      <c r="G136" s="981"/>
      <c r="H136" s="981"/>
      <c r="I136" s="981"/>
      <c r="J136" s="981">
        <v>200930</v>
      </c>
      <c r="K136" s="981"/>
      <c r="L136" s="981"/>
      <c r="M136" s="981"/>
      <c r="N136" s="981"/>
      <c r="O136" s="981">
        <v>24128</v>
      </c>
      <c r="P136" s="981"/>
      <c r="Q136" s="981">
        <v>23720</v>
      </c>
      <c r="R136" s="982"/>
      <c r="S136" s="983"/>
    </row>
    <row r="137" spans="1:19" ht="12.75" customHeight="1">
      <c r="A137" s="977"/>
      <c r="B137" s="978"/>
      <c r="C137" s="979"/>
      <c r="D137" s="980" t="s">
        <v>816</v>
      </c>
      <c r="E137" s="972">
        <v>24720</v>
      </c>
      <c r="F137" s="972">
        <f t="shared" si="2"/>
        <v>263003</v>
      </c>
      <c r="G137" s="981"/>
      <c r="H137" s="981"/>
      <c r="I137" s="981"/>
      <c r="J137" s="981">
        <v>223250</v>
      </c>
      <c r="K137" s="981"/>
      <c r="L137" s="981"/>
      <c r="M137" s="981"/>
      <c r="N137" s="981"/>
      <c r="O137" s="981">
        <v>39753</v>
      </c>
      <c r="P137" s="981"/>
      <c r="Q137" s="981"/>
      <c r="R137" s="982"/>
      <c r="S137" s="983"/>
    </row>
    <row r="138" spans="1:19" ht="12.75" customHeight="1">
      <c r="A138" s="977"/>
      <c r="B138" s="978"/>
      <c r="C138" s="979"/>
      <c r="D138" s="980" t="s">
        <v>895</v>
      </c>
      <c r="E138" s="972">
        <f>E137+15636</f>
        <v>40356</v>
      </c>
      <c r="F138" s="972">
        <f t="shared" si="2"/>
        <v>277144</v>
      </c>
      <c r="G138" s="981"/>
      <c r="H138" s="981"/>
      <c r="I138" s="981"/>
      <c r="J138" s="981">
        <f>J137-2795</f>
        <v>220455</v>
      </c>
      <c r="K138" s="981"/>
      <c r="L138" s="981"/>
      <c r="M138" s="981"/>
      <c r="N138" s="981"/>
      <c r="O138" s="981">
        <f>O137+15636+1300</f>
        <v>56689</v>
      </c>
      <c r="P138" s="981"/>
      <c r="Q138" s="981"/>
      <c r="R138" s="982"/>
      <c r="S138" s="983"/>
    </row>
    <row r="139" spans="1:24" s="966" customFormat="1" ht="12.75" customHeight="1">
      <c r="A139" s="977" t="s">
        <v>424</v>
      </c>
      <c r="B139" s="978" t="s">
        <v>498</v>
      </c>
      <c r="C139" s="979" t="s">
        <v>999</v>
      </c>
      <c r="D139" s="984" t="s">
        <v>4</v>
      </c>
      <c r="E139" s="972"/>
      <c r="F139" s="972">
        <f t="shared" si="2"/>
        <v>2400</v>
      </c>
      <c r="G139" s="985"/>
      <c r="H139" s="985"/>
      <c r="I139" s="985"/>
      <c r="J139" s="985">
        <v>2400</v>
      </c>
      <c r="K139" s="985"/>
      <c r="L139" s="985"/>
      <c r="M139" s="985"/>
      <c r="N139" s="985"/>
      <c r="O139" s="985"/>
      <c r="P139" s="985"/>
      <c r="Q139" s="985"/>
      <c r="R139" s="982"/>
      <c r="S139" s="983"/>
      <c r="T139" s="976"/>
      <c r="U139" s="976"/>
      <c r="V139" s="976"/>
      <c r="W139" s="976"/>
      <c r="X139" s="976"/>
    </row>
    <row r="140" spans="1:24" ht="12.75" customHeight="1">
      <c r="A140" s="977"/>
      <c r="B140" s="978"/>
      <c r="C140" s="979"/>
      <c r="D140" s="980" t="s">
        <v>816</v>
      </c>
      <c r="E140" s="972"/>
      <c r="F140" s="972">
        <f t="shared" si="2"/>
        <v>2400</v>
      </c>
      <c r="G140" s="985"/>
      <c r="H140" s="985"/>
      <c r="I140" s="985"/>
      <c r="J140" s="985">
        <v>2400</v>
      </c>
      <c r="K140" s="985"/>
      <c r="L140" s="985"/>
      <c r="M140" s="985"/>
      <c r="N140" s="985"/>
      <c r="O140" s="985"/>
      <c r="P140" s="985"/>
      <c r="Q140" s="985"/>
      <c r="R140" s="982"/>
      <c r="S140" s="983"/>
      <c r="T140" s="976"/>
      <c r="U140" s="976"/>
      <c r="V140" s="976"/>
      <c r="W140" s="976"/>
      <c r="X140" s="976"/>
    </row>
    <row r="141" spans="1:24" ht="12.75" customHeight="1">
      <c r="A141" s="977"/>
      <c r="B141" s="978"/>
      <c r="C141" s="979"/>
      <c r="D141" s="980" t="s">
        <v>895</v>
      </c>
      <c r="E141" s="972"/>
      <c r="F141" s="972">
        <f t="shared" si="2"/>
        <v>2400</v>
      </c>
      <c r="G141" s="985"/>
      <c r="H141" s="985"/>
      <c r="I141" s="985"/>
      <c r="J141" s="985">
        <v>2400</v>
      </c>
      <c r="K141" s="985"/>
      <c r="L141" s="985"/>
      <c r="M141" s="985"/>
      <c r="N141" s="985"/>
      <c r="O141" s="985"/>
      <c r="P141" s="985"/>
      <c r="Q141" s="985"/>
      <c r="R141" s="982"/>
      <c r="S141" s="983"/>
      <c r="T141" s="976"/>
      <c r="U141" s="976"/>
      <c r="V141" s="976"/>
      <c r="W141" s="976"/>
      <c r="X141" s="976"/>
    </row>
    <row r="142" spans="1:24" ht="12.75" customHeight="1">
      <c r="A142" s="977" t="s">
        <v>427</v>
      </c>
      <c r="B142" s="978" t="s">
        <v>499</v>
      </c>
      <c r="C142" s="986" t="s">
        <v>1000</v>
      </c>
      <c r="D142" s="984" t="s">
        <v>4</v>
      </c>
      <c r="E142" s="972">
        <v>1815</v>
      </c>
      <c r="F142" s="972">
        <f t="shared" si="2"/>
        <v>20298</v>
      </c>
      <c r="G142" s="985">
        <v>3895</v>
      </c>
      <c r="H142" s="985">
        <v>1993</v>
      </c>
      <c r="I142" s="985">
        <v>5310</v>
      </c>
      <c r="J142" s="985">
        <v>5100</v>
      </c>
      <c r="K142" s="985">
        <v>4000</v>
      </c>
      <c r="L142" s="985"/>
      <c r="M142" s="985"/>
      <c r="N142" s="985"/>
      <c r="O142" s="985"/>
      <c r="P142" s="985"/>
      <c r="Q142" s="985"/>
      <c r="R142" s="982"/>
      <c r="S142" s="983"/>
      <c r="T142" s="976"/>
      <c r="U142" s="976"/>
      <c r="V142" s="976"/>
      <c r="W142" s="976"/>
      <c r="X142" s="976"/>
    </row>
    <row r="143" spans="1:24" ht="12.75" customHeight="1">
      <c r="A143" s="977"/>
      <c r="B143" s="978"/>
      <c r="C143" s="986"/>
      <c r="D143" s="980" t="s">
        <v>816</v>
      </c>
      <c r="E143" s="972">
        <v>1815</v>
      </c>
      <c r="F143" s="972">
        <f t="shared" si="2"/>
        <v>20298</v>
      </c>
      <c r="G143" s="985">
        <v>3895</v>
      </c>
      <c r="H143" s="985">
        <v>1993</v>
      </c>
      <c r="I143" s="985">
        <v>5310</v>
      </c>
      <c r="J143" s="985">
        <v>5100</v>
      </c>
      <c r="K143" s="985">
        <v>4000</v>
      </c>
      <c r="L143" s="985"/>
      <c r="M143" s="985"/>
      <c r="N143" s="985"/>
      <c r="O143" s="985"/>
      <c r="P143" s="985"/>
      <c r="Q143" s="985"/>
      <c r="R143" s="982"/>
      <c r="S143" s="983"/>
      <c r="T143" s="976"/>
      <c r="U143" s="976"/>
      <c r="V143" s="976"/>
      <c r="W143" s="976"/>
      <c r="X143" s="976"/>
    </row>
    <row r="144" spans="1:24" ht="12.75" customHeight="1">
      <c r="A144" s="977"/>
      <c r="B144" s="978"/>
      <c r="C144" s="986"/>
      <c r="D144" s="980" t="s">
        <v>895</v>
      </c>
      <c r="E144" s="972">
        <f>E143-685</f>
        <v>1130</v>
      </c>
      <c r="F144" s="972">
        <f t="shared" si="2"/>
        <v>19817</v>
      </c>
      <c r="G144" s="985">
        <f>G143+199</f>
        <v>4094</v>
      </c>
      <c r="H144" s="985">
        <v>1993</v>
      </c>
      <c r="I144" s="985">
        <f>I143-680</f>
        <v>4630</v>
      </c>
      <c r="J144" s="985">
        <v>5100</v>
      </c>
      <c r="K144" s="985">
        <v>4000</v>
      </c>
      <c r="L144" s="985"/>
      <c r="M144" s="985"/>
      <c r="N144" s="985"/>
      <c r="O144" s="985"/>
      <c r="P144" s="985"/>
      <c r="Q144" s="985"/>
      <c r="R144" s="982"/>
      <c r="S144" s="983"/>
      <c r="T144" s="976"/>
      <c r="U144" s="976"/>
      <c r="V144" s="976"/>
      <c r="W144" s="976"/>
      <c r="X144" s="976"/>
    </row>
    <row r="145" spans="1:24" ht="12.75" customHeight="1">
      <c r="A145" s="977" t="s">
        <v>427</v>
      </c>
      <c r="B145" s="978" t="s">
        <v>500</v>
      </c>
      <c r="C145" s="979" t="s">
        <v>501</v>
      </c>
      <c r="D145" s="984" t="s">
        <v>4</v>
      </c>
      <c r="E145" s="972"/>
      <c r="F145" s="972">
        <f t="shared" si="2"/>
        <v>27000</v>
      </c>
      <c r="G145" s="985">
        <v>9000</v>
      </c>
      <c r="H145" s="985">
        <v>5000</v>
      </c>
      <c r="I145" s="985">
        <v>13000</v>
      </c>
      <c r="J145" s="985"/>
      <c r="K145" s="985"/>
      <c r="L145" s="985"/>
      <c r="M145" s="985"/>
      <c r="N145" s="985"/>
      <c r="O145" s="985"/>
      <c r="P145" s="985"/>
      <c r="Q145" s="985"/>
      <c r="R145" s="982"/>
      <c r="S145" s="983"/>
      <c r="T145" s="976"/>
      <c r="U145" s="976"/>
      <c r="V145" s="976"/>
      <c r="W145" s="976"/>
      <c r="X145" s="976"/>
    </row>
    <row r="146" spans="1:24" ht="12.75" customHeight="1">
      <c r="A146" s="977"/>
      <c r="B146" s="978"/>
      <c r="C146" s="979"/>
      <c r="D146" s="980" t="s">
        <v>816</v>
      </c>
      <c r="E146" s="972"/>
      <c r="F146" s="972">
        <f t="shared" si="2"/>
        <v>27054</v>
      </c>
      <c r="G146" s="985">
        <v>9000</v>
      </c>
      <c r="H146" s="985">
        <v>5000</v>
      </c>
      <c r="I146" s="985">
        <v>13000</v>
      </c>
      <c r="J146" s="985"/>
      <c r="K146" s="985"/>
      <c r="L146" s="985"/>
      <c r="M146" s="985"/>
      <c r="N146" s="985">
        <v>54</v>
      </c>
      <c r="O146" s="985"/>
      <c r="P146" s="985"/>
      <c r="Q146" s="985"/>
      <c r="R146" s="982"/>
      <c r="S146" s="983"/>
      <c r="T146" s="976"/>
      <c r="U146" s="976"/>
      <c r="V146" s="976"/>
      <c r="W146" s="976"/>
      <c r="X146" s="976"/>
    </row>
    <row r="147" spans="1:24" ht="12.75" customHeight="1">
      <c r="A147" s="977"/>
      <c r="B147" s="978"/>
      <c r="C147" s="979"/>
      <c r="D147" s="980" t="s">
        <v>895</v>
      </c>
      <c r="E147" s="972">
        <v>99</v>
      </c>
      <c r="F147" s="972">
        <f t="shared" si="2"/>
        <v>27053</v>
      </c>
      <c r="G147" s="985">
        <f>G146+1500</f>
        <v>10500</v>
      </c>
      <c r="H147" s="985">
        <v>5000</v>
      </c>
      <c r="I147" s="985">
        <f>I146-2001</f>
        <v>10999</v>
      </c>
      <c r="J147" s="985">
        <v>500</v>
      </c>
      <c r="K147" s="985"/>
      <c r="L147" s="985"/>
      <c r="M147" s="985"/>
      <c r="N147" s="985">
        <v>54</v>
      </c>
      <c r="O147" s="985"/>
      <c r="P147" s="985"/>
      <c r="Q147" s="985"/>
      <c r="R147" s="982"/>
      <c r="S147" s="983"/>
      <c r="T147" s="976"/>
      <c r="U147" s="976"/>
      <c r="V147" s="976"/>
      <c r="W147" s="976"/>
      <c r="X147" s="976"/>
    </row>
    <row r="148" spans="1:24" ht="12.75" customHeight="1">
      <c r="A148" s="977" t="s">
        <v>427</v>
      </c>
      <c r="B148" s="978" t="s">
        <v>500</v>
      </c>
      <c r="C148" s="979" t="s">
        <v>502</v>
      </c>
      <c r="D148" s="984" t="s">
        <v>4</v>
      </c>
      <c r="E148" s="972"/>
      <c r="F148" s="972">
        <f t="shared" si="2"/>
        <v>0</v>
      </c>
      <c r="G148" s="985"/>
      <c r="H148" s="985"/>
      <c r="I148" s="985"/>
      <c r="J148" s="985"/>
      <c r="K148" s="985"/>
      <c r="L148" s="985"/>
      <c r="M148" s="985"/>
      <c r="N148" s="985"/>
      <c r="O148" s="985"/>
      <c r="P148" s="985"/>
      <c r="Q148" s="985"/>
      <c r="R148" s="982"/>
      <c r="S148" s="983"/>
      <c r="T148" s="976"/>
      <c r="U148" s="976"/>
      <c r="V148" s="976"/>
      <c r="W148" s="976"/>
      <c r="X148" s="976"/>
    </row>
    <row r="149" spans="1:24" ht="12.75" customHeight="1">
      <c r="A149" s="977"/>
      <c r="B149" s="978"/>
      <c r="C149" s="979"/>
      <c r="D149" s="980" t="s">
        <v>816</v>
      </c>
      <c r="E149" s="972"/>
      <c r="F149" s="972">
        <f t="shared" si="2"/>
        <v>0</v>
      </c>
      <c r="G149" s="985"/>
      <c r="H149" s="985"/>
      <c r="I149" s="985"/>
      <c r="J149" s="985"/>
      <c r="K149" s="985"/>
      <c r="L149" s="985"/>
      <c r="M149" s="985"/>
      <c r="N149" s="985"/>
      <c r="O149" s="985"/>
      <c r="P149" s="985"/>
      <c r="Q149" s="985"/>
      <c r="R149" s="982"/>
      <c r="S149" s="983"/>
      <c r="T149" s="976"/>
      <c r="U149" s="976"/>
      <c r="V149" s="976"/>
      <c r="W149" s="976"/>
      <c r="X149" s="976"/>
    </row>
    <row r="150" spans="1:24" ht="12.75" customHeight="1">
      <c r="A150" s="977"/>
      <c r="B150" s="978"/>
      <c r="C150" s="979"/>
      <c r="D150" s="980" t="s">
        <v>895</v>
      </c>
      <c r="E150" s="972"/>
      <c r="F150" s="972">
        <f t="shared" si="2"/>
        <v>0</v>
      </c>
      <c r="G150" s="985"/>
      <c r="H150" s="985"/>
      <c r="I150" s="985"/>
      <c r="J150" s="985"/>
      <c r="K150" s="985"/>
      <c r="L150" s="985"/>
      <c r="M150" s="985"/>
      <c r="N150" s="985"/>
      <c r="O150" s="985"/>
      <c r="P150" s="985"/>
      <c r="Q150" s="985"/>
      <c r="R150" s="982"/>
      <c r="S150" s="983"/>
      <c r="T150" s="976"/>
      <c r="U150" s="976"/>
      <c r="V150" s="976"/>
      <c r="W150" s="976"/>
      <c r="X150" s="976"/>
    </row>
    <row r="151" spans="1:24" ht="12.75" customHeight="1">
      <c r="A151" s="977" t="s">
        <v>427</v>
      </c>
      <c r="B151" s="978" t="s">
        <v>500</v>
      </c>
      <c r="C151" s="979" t="s">
        <v>503</v>
      </c>
      <c r="D151" s="984" t="s">
        <v>4</v>
      </c>
      <c r="E151" s="972"/>
      <c r="F151" s="972">
        <f t="shared" si="2"/>
        <v>0</v>
      </c>
      <c r="G151" s="985"/>
      <c r="H151" s="985"/>
      <c r="I151" s="985"/>
      <c r="J151" s="985"/>
      <c r="K151" s="985"/>
      <c r="L151" s="985"/>
      <c r="M151" s="985"/>
      <c r="N151" s="985"/>
      <c r="O151" s="985"/>
      <c r="P151" s="985"/>
      <c r="Q151" s="985"/>
      <c r="R151" s="982"/>
      <c r="S151" s="983"/>
      <c r="T151" s="976"/>
      <c r="U151" s="976"/>
      <c r="V151" s="976"/>
      <c r="W151" s="976"/>
      <c r="X151" s="976"/>
    </row>
    <row r="152" spans="1:24" ht="12.75" customHeight="1">
      <c r="A152" s="977"/>
      <c r="B152" s="978"/>
      <c r="C152" s="979"/>
      <c r="D152" s="980" t="s">
        <v>816</v>
      </c>
      <c r="E152" s="972"/>
      <c r="F152" s="972">
        <f t="shared" si="2"/>
        <v>0</v>
      </c>
      <c r="G152" s="985"/>
      <c r="H152" s="985"/>
      <c r="I152" s="985"/>
      <c r="J152" s="985"/>
      <c r="K152" s="985"/>
      <c r="L152" s="985"/>
      <c r="M152" s="985"/>
      <c r="N152" s="985"/>
      <c r="O152" s="985"/>
      <c r="P152" s="985"/>
      <c r="Q152" s="985"/>
      <c r="R152" s="982"/>
      <c r="S152" s="983"/>
      <c r="T152" s="976"/>
      <c r="U152" s="976"/>
      <c r="V152" s="976"/>
      <c r="W152" s="976"/>
      <c r="X152" s="976"/>
    </row>
    <row r="153" spans="1:24" ht="12.75" customHeight="1">
      <c r="A153" s="977"/>
      <c r="B153" s="978"/>
      <c r="C153" s="979"/>
      <c r="D153" s="980" t="s">
        <v>895</v>
      </c>
      <c r="E153" s="972"/>
      <c r="F153" s="972">
        <f t="shared" si="2"/>
        <v>0</v>
      </c>
      <c r="G153" s="985"/>
      <c r="H153" s="985"/>
      <c r="I153" s="985"/>
      <c r="J153" s="985"/>
      <c r="K153" s="985"/>
      <c r="L153" s="985"/>
      <c r="M153" s="985"/>
      <c r="N153" s="985"/>
      <c r="O153" s="985"/>
      <c r="P153" s="985"/>
      <c r="Q153" s="985"/>
      <c r="R153" s="982"/>
      <c r="S153" s="983"/>
      <c r="T153" s="976"/>
      <c r="U153" s="976"/>
      <c r="V153" s="976"/>
      <c r="W153" s="976"/>
      <c r="X153" s="976"/>
    </row>
    <row r="154" spans="1:24" ht="12.75" customHeight="1">
      <c r="A154" s="977" t="s">
        <v>427</v>
      </c>
      <c r="B154" s="978" t="s">
        <v>504</v>
      </c>
      <c r="C154" s="979" t="s">
        <v>505</v>
      </c>
      <c r="D154" s="984" t="s">
        <v>4</v>
      </c>
      <c r="E154" s="972"/>
      <c r="F154" s="972">
        <f t="shared" si="2"/>
        <v>2500</v>
      </c>
      <c r="G154" s="985"/>
      <c r="H154" s="985"/>
      <c r="I154" s="985">
        <v>2500</v>
      </c>
      <c r="J154" s="985"/>
      <c r="K154" s="985"/>
      <c r="L154" s="985"/>
      <c r="M154" s="985"/>
      <c r="N154" s="985"/>
      <c r="O154" s="987"/>
      <c r="P154" s="985"/>
      <c r="Q154" s="985"/>
      <c r="R154" s="982"/>
      <c r="S154" s="983"/>
      <c r="T154" s="976"/>
      <c r="U154" s="976"/>
      <c r="V154" s="976"/>
      <c r="W154" s="976"/>
      <c r="X154" s="976"/>
    </row>
    <row r="155" spans="1:24" ht="12.75" customHeight="1">
      <c r="A155" s="977"/>
      <c r="B155" s="978"/>
      <c r="C155" s="979"/>
      <c r="D155" s="980" t="s">
        <v>816</v>
      </c>
      <c r="E155" s="972"/>
      <c r="F155" s="972">
        <f t="shared" si="2"/>
        <v>2500</v>
      </c>
      <c r="G155" s="985"/>
      <c r="H155" s="985"/>
      <c r="I155" s="985">
        <v>2500</v>
      </c>
      <c r="J155" s="985"/>
      <c r="K155" s="985"/>
      <c r="L155" s="985"/>
      <c r="M155" s="985"/>
      <c r="N155" s="985"/>
      <c r="O155" s="987"/>
      <c r="P155" s="985"/>
      <c r="Q155" s="985"/>
      <c r="R155" s="982"/>
      <c r="S155" s="983"/>
      <c r="T155" s="976"/>
      <c r="U155" s="976"/>
      <c r="V155" s="976"/>
      <c r="W155" s="976"/>
      <c r="X155" s="976"/>
    </row>
    <row r="156" spans="1:24" ht="12.75" customHeight="1">
      <c r="A156" s="977"/>
      <c r="B156" s="978"/>
      <c r="C156" s="979"/>
      <c r="D156" s="980" t="s">
        <v>895</v>
      </c>
      <c r="E156" s="972"/>
      <c r="F156" s="972">
        <f t="shared" si="2"/>
        <v>2500</v>
      </c>
      <c r="G156" s="985"/>
      <c r="H156" s="985"/>
      <c r="I156" s="985">
        <v>2500</v>
      </c>
      <c r="J156" s="985"/>
      <c r="K156" s="985"/>
      <c r="L156" s="985"/>
      <c r="M156" s="985"/>
      <c r="N156" s="985"/>
      <c r="O156" s="987"/>
      <c r="P156" s="985"/>
      <c r="Q156" s="985"/>
      <c r="R156" s="982"/>
      <c r="S156" s="983"/>
      <c r="T156" s="976"/>
      <c r="U156" s="976"/>
      <c r="V156" s="976"/>
      <c r="W156" s="976"/>
      <c r="X156" s="976"/>
    </row>
    <row r="157" spans="1:29" ht="12.75" customHeight="1">
      <c r="A157" s="977" t="s">
        <v>427</v>
      </c>
      <c r="B157" s="978" t="s">
        <v>506</v>
      </c>
      <c r="C157" s="979" t="s">
        <v>507</v>
      </c>
      <c r="D157" s="984" t="s">
        <v>4</v>
      </c>
      <c r="E157" s="972"/>
      <c r="F157" s="972">
        <f t="shared" si="2"/>
        <v>0</v>
      </c>
      <c r="G157" s="985"/>
      <c r="H157" s="985"/>
      <c r="I157" s="985"/>
      <c r="J157" s="985"/>
      <c r="K157" s="985"/>
      <c r="L157" s="985"/>
      <c r="M157" s="985"/>
      <c r="N157" s="985"/>
      <c r="O157" s="987"/>
      <c r="P157" s="985"/>
      <c r="Q157" s="985"/>
      <c r="R157" s="982"/>
      <c r="S157" s="983"/>
      <c r="T157" s="976"/>
      <c r="U157" s="976"/>
      <c r="V157" s="976"/>
      <c r="W157" s="976"/>
      <c r="X157" s="976"/>
      <c r="Y157" s="976"/>
      <c r="Z157" s="976"/>
      <c r="AA157" s="976"/>
      <c r="AB157" s="976"/>
      <c r="AC157" s="976"/>
    </row>
    <row r="158" spans="1:29" ht="12.75" customHeight="1">
      <c r="A158" s="977"/>
      <c r="B158" s="978"/>
      <c r="C158" s="979"/>
      <c r="D158" s="980" t="s">
        <v>816</v>
      </c>
      <c r="E158" s="972"/>
      <c r="F158" s="972">
        <f t="shared" si="2"/>
        <v>0</v>
      </c>
      <c r="G158" s="985"/>
      <c r="H158" s="985"/>
      <c r="I158" s="985"/>
      <c r="J158" s="985"/>
      <c r="K158" s="985"/>
      <c r="L158" s="985"/>
      <c r="M158" s="985"/>
      <c r="N158" s="985"/>
      <c r="O158" s="987"/>
      <c r="P158" s="985"/>
      <c r="Q158" s="985"/>
      <c r="R158" s="982"/>
      <c r="S158" s="983"/>
      <c r="T158" s="976"/>
      <c r="U158" s="976"/>
      <c r="V158" s="976"/>
      <c r="W158" s="976"/>
      <c r="X158" s="976"/>
      <c r="Y158" s="976"/>
      <c r="Z158" s="976"/>
      <c r="AA158" s="976"/>
      <c r="AB158" s="976"/>
      <c r="AC158" s="976"/>
    </row>
    <row r="159" spans="1:29" ht="12.75" customHeight="1">
      <c r="A159" s="977"/>
      <c r="B159" s="978"/>
      <c r="C159" s="979"/>
      <c r="D159" s="980" t="s">
        <v>895</v>
      </c>
      <c r="E159" s="972"/>
      <c r="F159" s="972">
        <f t="shared" si="2"/>
        <v>0</v>
      </c>
      <c r="G159" s="985"/>
      <c r="H159" s="985"/>
      <c r="I159" s="985"/>
      <c r="J159" s="985"/>
      <c r="K159" s="985"/>
      <c r="L159" s="985"/>
      <c r="M159" s="985"/>
      <c r="N159" s="985"/>
      <c r="O159" s="987"/>
      <c r="P159" s="985"/>
      <c r="Q159" s="985"/>
      <c r="R159" s="982"/>
      <c r="S159" s="983"/>
      <c r="T159" s="976"/>
      <c r="U159" s="976"/>
      <c r="V159" s="976"/>
      <c r="W159" s="976"/>
      <c r="X159" s="976"/>
      <c r="Y159" s="976"/>
      <c r="Z159" s="976"/>
      <c r="AA159" s="976"/>
      <c r="AB159" s="976"/>
      <c r="AC159" s="976"/>
    </row>
    <row r="160" spans="1:24" ht="12.75" customHeight="1">
      <c r="A160" s="977" t="s">
        <v>427</v>
      </c>
      <c r="B160" s="978" t="s">
        <v>508</v>
      </c>
      <c r="C160" s="979" t="s">
        <v>509</v>
      </c>
      <c r="D160" s="984" t="s">
        <v>4</v>
      </c>
      <c r="E160" s="972"/>
      <c r="F160" s="972">
        <f t="shared" si="2"/>
        <v>1500</v>
      </c>
      <c r="G160" s="985"/>
      <c r="H160" s="985"/>
      <c r="I160" s="985"/>
      <c r="J160" s="985"/>
      <c r="K160" s="985">
        <v>1500</v>
      </c>
      <c r="L160" s="985"/>
      <c r="M160" s="985"/>
      <c r="N160" s="985"/>
      <c r="O160" s="985"/>
      <c r="P160" s="985"/>
      <c r="Q160" s="985"/>
      <c r="R160" s="982"/>
      <c r="S160" s="983"/>
      <c r="T160" s="976"/>
      <c r="U160" s="976"/>
      <c r="V160" s="976"/>
      <c r="W160" s="976"/>
      <c r="X160" s="976"/>
    </row>
    <row r="161" spans="1:24" ht="12.75" customHeight="1">
      <c r="A161" s="977"/>
      <c r="B161" s="978"/>
      <c r="C161" s="979"/>
      <c r="D161" s="980" t="s">
        <v>816</v>
      </c>
      <c r="E161" s="972"/>
      <c r="F161" s="972">
        <f t="shared" si="2"/>
        <v>1573</v>
      </c>
      <c r="G161" s="985"/>
      <c r="H161" s="985"/>
      <c r="I161" s="985"/>
      <c r="J161" s="985"/>
      <c r="K161" s="985">
        <v>1573</v>
      </c>
      <c r="L161" s="985"/>
      <c r="M161" s="985"/>
      <c r="N161" s="985"/>
      <c r="O161" s="985"/>
      <c r="P161" s="985"/>
      <c r="Q161" s="985"/>
      <c r="R161" s="982"/>
      <c r="S161" s="983"/>
      <c r="T161" s="976"/>
      <c r="U161" s="976"/>
      <c r="V161" s="976"/>
      <c r="W161" s="976"/>
      <c r="X161" s="976"/>
    </row>
    <row r="162" spans="1:24" ht="12.75" customHeight="1">
      <c r="A162" s="977"/>
      <c r="B162" s="978"/>
      <c r="C162" s="979"/>
      <c r="D162" s="980" t="s">
        <v>895</v>
      </c>
      <c r="E162" s="972"/>
      <c r="F162" s="972">
        <f t="shared" si="2"/>
        <v>2446</v>
      </c>
      <c r="G162" s="985"/>
      <c r="H162" s="985"/>
      <c r="I162" s="985"/>
      <c r="J162" s="985"/>
      <c r="K162" s="985">
        <f>K161+873</f>
        <v>2446</v>
      </c>
      <c r="L162" s="985"/>
      <c r="M162" s="985"/>
      <c r="N162" s="985"/>
      <c r="O162" s="985"/>
      <c r="P162" s="985"/>
      <c r="Q162" s="985"/>
      <c r="R162" s="982"/>
      <c r="S162" s="983"/>
      <c r="T162" s="976"/>
      <c r="U162" s="976"/>
      <c r="V162" s="976"/>
      <c r="W162" s="976"/>
      <c r="X162" s="976"/>
    </row>
    <row r="163" spans="1:24" ht="12.75" customHeight="1">
      <c r="A163" s="977" t="s">
        <v>427</v>
      </c>
      <c r="B163" s="978" t="s">
        <v>508</v>
      </c>
      <c r="C163" s="979" t="s">
        <v>509</v>
      </c>
      <c r="D163" s="984" t="s">
        <v>4</v>
      </c>
      <c r="E163" s="972"/>
      <c r="F163" s="972">
        <f t="shared" si="2"/>
        <v>0</v>
      </c>
      <c r="G163" s="985"/>
      <c r="H163" s="985"/>
      <c r="I163" s="985"/>
      <c r="J163" s="985"/>
      <c r="K163" s="985"/>
      <c r="L163" s="985"/>
      <c r="M163" s="985"/>
      <c r="N163" s="985"/>
      <c r="O163" s="985"/>
      <c r="P163" s="985"/>
      <c r="Q163" s="985"/>
      <c r="R163" s="982"/>
      <c r="S163" s="983"/>
      <c r="T163" s="976"/>
      <c r="U163" s="976"/>
      <c r="V163" s="976"/>
      <c r="W163" s="976"/>
      <c r="X163" s="976"/>
    </row>
    <row r="164" spans="1:24" ht="12.75" customHeight="1">
      <c r="A164" s="977"/>
      <c r="B164" s="978"/>
      <c r="C164" s="979"/>
      <c r="D164" s="980" t="s">
        <v>816</v>
      </c>
      <c r="E164" s="972"/>
      <c r="F164" s="972">
        <f t="shared" si="2"/>
        <v>0</v>
      </c>
      <c r="G164" s="985"/>
      <c r="H164" s="985"/>
      <c r="I164" s="985"/>
      <c r="J164" s="985"/>
      <c r="K164" s="985"/>
      <c r="L164" s="985"/>
      <c r="M164" s="985"/>
      <c r="N164" s="985"/>
      <c r="O164" s="985"/>
      <c r="P164" s="985"/>
      <c r="Q164" s="985"/>
      <c r="R164" s="982"/>
      <c r="S164" s="983"/>
      <c r="T164" s="976"/>
      <c r="U164" s="976"/>
      <c r="V164" s="976"/>
      <c r="W164" s="976"/>
      <c r="X164" s="976"/>
    </row>
    <row r="165" spans="1:24" ht="12.75" customHeight="1">
      <c r="A165" s="977"/>
      <c r="B165" s="978"/>
      <c r="C165" s="979"/>
      <c r="D165" s="980" t="s">
        <v>895</v>
      </c>
      <c r="E165" s="972"/>
      <c r="F165" s="972">
        <f t="shared" si="2"/>
        <v>0</v>
      </c>
      <c r="G165" s="985"/>
      <c r="H165" s="985"/>
      <c r="I165" s="985"/>
      <c r="J165" s="985"/>
      <c r="K165" s="985"/>
      <c r="L165" s="985"/>
      <c r="M165" s="985"/>
      <c r="N165" s="985"/>
      <c r="O165" s="985"/>
      <c r="P165" s="985"/>
      <c r="Q165" s="985"/>
      <c r="R165" s="982"/>
      <c r="S165" s="983"/>
      <c r="T165" s="976"/>
      <c r="U165" s="976"/>
      <c r="V165" s="976"/>
      <c r="W165" s="976"/>
      <c r="X165" s="976"/>
    </row>
    <row r="166" spans="1:24" ht="12.75" customHeight="1">
      <c r="A166" s="977" t="s">
        <v>427</v>
      </c>
      <c r="B166" s="978" t="s">
        <v>510</v>
      </c>
      <c r="C166" s="979" t="s">
        <v>511</v>
      </c>
      <c r="D166" s="984" t="s">
        <v>4</v>
      </c>
      <c r="E166" s="972"/>
      <c r="F166" s="972">
        <f t="shared" si="2"/>
        <v>0</v>
      </c>
      <c r="G166" s="985"/>
      <c r="H166" s="985"/>
      <c r="I166" s="985"/>
      <c r="J166" s="985"/>
      <c r="K166" s="985"/>
      <c r="L166" s="985"/>
      <c r="M166" s="985"/>
      <c r="N166" s="985"/>
      <c r="O166" s="985"/>
      <c r="P166" s="985"/>
      <c r="Q166" s="985"/>
      <c r="R166" s="982"/>
      <c r="S166" s="983"/>
      <c r="T166" s="976"/>
      <c r="U166" s="976"/>
      <c r="V166" s="976"/>
      <c r="W166" s="976"/>
      <c r="X166" s="976"/>
    </row>
    <row r="167" spans="1:24" ht="12.75" customHeight="1">
      <c r="A167" s="977"/>
      <c r="B167" s="978"/>
      <c r="C167" s="979"/>
      <c r="D167" s="980" t="s">
        <v>816</v>
      </c>
      <c r="E167" s="972"/>
      <c r="F167" s="972">
        <f t="shared" si="2"/>
        <v>0</v>
      </c>
      <c r="G167" s="985"/>
      <c r="H167" s="985"/>
      <c r="I167" s="985"/>
      <c r="J167" s="985"/>
      <c r="K167" s="985"/>
      <c r="L167" s="985"/>
      <c r="M167" s="985"/>
      <c r="N167" s="985"/>
      <c r="O167" s="985"/>
      <c r="P167" s="985"/>
      <c r="Q167" s="985"/>
      <c r="R167" s="982"/>
      <c r="S167" s="983"/>
      <c r="T167" s="976"/>
      <c r="U167" s="976"/>
      <c r="V167" s="976"/>
      <c r="W167" s="976"/>
      <c r="X167" s="976"/>
    </row>
    <row r="168" spans="1:24" ht="12.75" customHeight="1">
      <c r="A168" s="977"/>
      <c r="B168" s="978"/>
      <c r="C168" s="979"/>
      <c r="D168" s="980" t="s">
        <v>895</v>
      </c>
      <c r="E168" s="972"/>
      <c r="F168" s="972">
        <f t="shared" si="2"/>
        <v>0</v>
      </c>
      <c r="G168" s="985"/>
      <c r="H168" s="985"/>
      <c r="I168" s="985"/>
      <c r="J168" s="985"/>
      <c r="K168" s="985"/>
      <c r="L168" s="985"/>
      <c r="M168" s="985"/>
      <c r="N168" s="985"/>
      <c r="O168" s="985"/>
      <c r="P168" s="985"/>
      <c r="Q168" s="985"/>
      <c r="R168" s="982"/>
      <c r="S168" s="983"/>
      <c r="T168" s="976"/>
      <c r="U168" s="976"/>
      <c r="V168" s="976"/>
      <c r="W168" s="976"/>
      <c r="X168" s="976"/>
    </row>
    <row r="169" spans="1:24" ht="12.75" customHeight="1">
      <c r="A169" s="977" t="s">
        <v>424</v>
      </c>
      <c r="B169" s="978" t="s">
        <v>512</v>
      </c>
      <c r="C169" s="979" t="s">
        <v>513</v>
      </c>
      <c r="D169" s="984" t="s">
        <v>4</v>
      </c>
      <c r="E169" s="972"/>
      <c r="F169" s="972">
        <f t="shared" si="2"/>
        <v>0</v>
      </c>
      <c r="G169" s="981"/>
      <c r="H169" s="981"/>
      <c r="I169" s="981"/>
      <c r="J169" s="981"/>
      <c r="K169" s="981"/>
      <c r="L169" s="981"/>
      <c r="M169" s="981"/>
      <c r="N169" s="981"/>
      <c r="O169" s="981"/>
      <c r="P169" s="981"/>
      <c r="Q169" s="981"/>
      <c r="R169" s="982"/>
      <c r="S169" s="983"/>
      <c r="T169" s="976"/>
      <c r="U169" s="976"/>
      <c r="V169" s="976"/>
      <c r="W169" s="976"/>
      <c r="X169" s="976"/>
    </row>
    <row r="170" spans="1:24" ht="12.75" customHeight="1">
      <c r="A170" s="977"/>
      <c r="B170" s="978"/>
      <c r="C170" s="979"/>
      <c r="D170" s="980" t="s">
        <v>816</v>
      </c>
      <c r="E170" s="972"/>
      <c r="F170" s="972">
        <f t="shared" si="2"/>
        <v>0</v>
      </c>
      <c r="G170" s="981"/>
      <c r="H170" s="981"/>
      <c r="I170" s="981"/>
      <c r="J170" s="981"/>
      <c r="K170" s="981"/>
      <c r="L170" s="981"/>
      <c r="M170" s="981"/>
      <c r="N170" s="981"/>
      <c r="O170" s="981"/>
      <c r="P170" s="981"/>
      <c r="Q170" s="981"/>
      <c r="R170" s="982"/>
      <c r="S170" s="983"/>
      <c r="T170" s="976"/>
      <c r="U170" s="976"/>
      <c r="V170" s="976"/>
      <c r="W170" s="976"/>
      <c r="X170" s="976"/>
    </row>
    <row r="171" spans="1:24" ht="12.75" customHeight="1">
      <c r="A171" s="977"/>
      <c r="B171" s="978"/>
      <c r="C171" s="979"/>
      <c r="D171" s="980" t="s">
        <v>895</v>
      </c>
      <c r="E171" s="972"/>
      <c r="F171" s="972">
        <f t="shared" si="2"/>
        <v>0</v>
      </c>
      <c r="G171" s="981"/>
      <c r="H171" s="981"/>
      <c r="I171" s="981"/>
      <c r="J171" s="981"/>
      <c r="K171" s="981"/>
      <c r="L171" s="981"/>
      <c r="M171" s="981"/>
      <c r="N171" s="981"/>
      <c r="O171" s="981"/>
      <c r="P171" s="981"/>
      <c r="Q171" s="981"/>
      <c r="R171" s="982"/>
      <c r="S171" s="983"/>
      <c r="T171" s="976"/>
      <c r="U171" s="976"/>
      <c r="V171" s="976"/>
      <c r="W171" s="976"/>
      <c r="X171" s="976"/>
    </row>
    <row r="172" spans="1:24" ht="12.75" customHeight="1">
      <c r="A172" s="977" t="s">
        <v>424</v>
      </c>
      <c r="B172" s="978" t="s">
        <v>514</v>
      </c>
      <c r="C172" s="979" t="s">
        <v>515</v>
      </c>
      <c r="D172" s="984" t="s">
        <v>4</v>
      </c>
      <c r="E172" s="972"/>
      <c r="F172" s="972">
        <f t="shared" si="2"/>
        <v>0</v>
      </c>
      <c r="G172" s="985"/>
      <c r="H172" s="985"/>
      <c r="I172" s="985"/>
      <c r="J172" s="985"/>
      <c r="K172" s="985"/>
      <c r="L172" s="985"/>
      <c r="M172" s="985"/>
      <c r="N172" s="985"/>
      <c r="O172" s="985"/>
      <c r="P172" s="985"/>
      <c r="Q172" s="985"/>
      <c r="R172" s="982"/>
      <c r="S172" s="983"/>
      <c r="T172" s="976"/>
      <c r="U172" s="976"/>
      <c r="V172" s="976"/>
      <c r="W172" s="976"/>
      <c r="X172" s="976"/>
    </row>
    <row r="173" spans="1:24" ht="12.75" customHeight="1">
      <c r="A173" s="977"/>
      <c r="B173" s="978"/>
      <c r="C173" s="979"/>
      <c r="D173" s="980" t="s">
        <v>816</v>
      </c>
      <c r="E173" s="972">
        <v>12</v>
      </c>
      <c r="F173" s="972">
        <f t="shared" si="2"/>
        <v>0</v>
      </c>
      <c r="G173" s="985"/>
      <c r="H173" s="985"/>
      <c r="I173" s="985"/>
      <c r="J173" s="985"/>
      <c r="K173" s="985"/>
      <c r="L173" s="985"/>
      <c r="M173" s="985"/>
      <c r="N173" s="985"/>
      <c r="O173" s="985"/>
      <c r="P173" s="985"/>
      <c r="Q173" s="985"/>
      <c r="R173" s="982"/>
      <c r="S173" s="983"/>
      <c r="T173" s="976"/>
      <c r="U173" s="976"/>
      <c r="V173" s="976"/>
      <c r="W173" s="976"/>
      <c r="X173" s="976"/>
    </row>
    <row r="174" spans="1:24" ht="12.75" customHeight="1">
      <c r="A174" s="977"/>
      <c r="B174" s="978"/>
      <c r="C174" s="979"/>
      <c r="D174" s="980" t="s">
        <v>895</v>
      </c>
      <c r="E174" s="972">
        <f>E173+3451</f>
        <v>3463</v>
      </c>
      <c r="F174" s="972">
        <f t="shared" si="2"/>
        <v>0</v>
      </c>
      <c r="G174" s="985"/>
      <c r="H174" s="985"/>
      <c r="I174" s="985"/>
      <c r="J174" s="985"/>
      <c r="K174" s="985"/>
      <c r="L174" s="985"/>
      <c r="M174" s="985"/>
      <c r="N174" s="985"/>
      <c r="O174" s="985"/>
      <c r="P174" s="985"/>
      <c r="Q174" s="985"/>
      <c r="R174" s="982"/>
      <c r="S174" s="983"/>
      <c r="T174" s="976"/>
      <c r="U174" s="976"/>
      <c r="V174" s="976"/>
      <c r="W174" s="976"/>
      <c r="X174" s="976"/>
    </row>
    <row r="175" spans="1:24" ht="12.75" customHeight="1">
      <c r="A175" s="977" t="s">
        <v>424</v>
      </c>
      <c r="B175" s="978" t="s">
        <v>514</v>
      </c>
      <c r="C175" s="979" t="s">
        <v>515</v>
      </c>
      <c r="D175" s="984" t="s">
        <v>4</v>
      </c>
      <c r="E175" s="972"/>
      <c r="F175" s="972">
        <f t="shared" si="2"/>
        <v>0</v>
      </c>
      <c r="G175" s="981"/>
      <c r="H175" s="981"/>
      <c r="I175" s="981"/>
      <c r="J175" s="981"/>
      <c r="K175" s="981"/>
      <c r="L175" s="981"/>
      <c r="M175" s="981"/>
      <c r="N175" s="981"/>
      <c r="O175" s="981"/>
      <c r="P175" s="981"/>
      <c r="Q175" s="981"/>
      <c r="R175" s="982"/>
      <c r="S175" s="983"/>
      <c r="T175" s="976"/>
      <c r="U175" s="976"/>
      <c r="V175" s="976"/>
      <c r="W175" s="976"/>
      <c r="X175" s="976"/>
    </row>
    <row r="176" spans="1:24" ht="12.75" customHeight="1">
      <c r="A176" s="977"/>
      <c r="B176" s="978"/>
      <c r="C176" s="979"/>
      <c r="D176" s="980" t="s">
        <v>816</v>
      </c>
      <c r="E176" s="972"/>
      <c r="F176" s="972">
        <f t="shared" si="2"/>
        <v>0</v>
      </c>
      <c r="G176" s="981"/>
      <c r="H176" s="981"/>
      <c r="I176" s="981"/>
      <c r="J176" s="981"/>
      <c r="K176" s="981"/>
      <c r="L176" s="981"/>
      <c r="M176" s="981"/>
      <c r="N176" s="981"/>
      <c r="O176" s="981"/>
      <c r="P176" s="981"/>
      <c r="Q176" s="981"/>
      <c r="R176" s="982"/>
      <c r="S176" s="983"/>
      <c r="T176" s="976"/>
      <c r="U176" s="976"/>
      <c r="V176" s="976"/>
      <c r="W176" s="976"/>
      <c r="X176" s="976"/>
    </row>
    <row r="177" spans="1:24" ht="12.75" customHeight="1">
      <c r="A177" s="977"/>
      <c r="B177" s="978"/>
      <c r="C177" s="979"/>
      <c r="D177" s="980" t="s">
        <v>895</v>
      </c>
      <c r="E177" s="972"/>
      <c r="F177" s="972">
        <f t="shared" si="2"/>
        <v>0</v>
      </c>
      <c r="G177" s="981"/>
      <c r="H177" s="981"/>
      <c r="I177" s="981"/>
      <c r="J177" s="981"/>
      <c r="K177" s="981"/>
      <c r="L177" s="981"/>
      <c r="M177" s="981"/>
      <c r="N177" s="981"/>
      <c r="O177" s="981"/>
      <c r="P177" s="981"/>
      <c r="Q177" s="981"/>
      <c r="R177" s="982"/>
      <c r="S177" s="983"/>
      <c r="T177" s="976"/>
      <c r="U177" s="976"/>
      <c r="V177" s="976"/>
      <c r="W177" s="976"/>
      <c r="X177" s="976"/>
    </row>
    <row r="178" spans="1:19" s="976" customFormat="1" ht="12.75" customHeight="1">
      <c r="A178" s="977" t="s">
        <v>424</v>
      </c>
      <c r="B178" s="978" t="s">
        <v>514</v>
      </c>
      <c r="C178" s="979" t="s">
        <v>516</v>
      </c>
      <c r="D178" s="984" t="s">
        <v>4</v>
      </c>
      <c r="E178" s="972"/>
      <c r="F178" s="972">
        <f t="shared" si="2"/>
        <v>0</v>
      </c>
      <c r="G178" s="985"/>
      <c r="H178" s="985"/>
      <c r="I178" s="985"/>
      <c r="J178" s="985"/>
      <c r="K178" s="985"/>
      <c r="L178" s="985"/>
      <c r="M178" s="985"/>
      <c r="N178" s="985"/>
      <c r="O178" s="987"/>
      <c r="P178" s="985"/>
      <c r="Q178" s="985"/>
      <c r="R178" s="982"/>
      <c r="S178" s="983"/>
    </row>
    <row r="179" spans="1:19" ht="12.75" customHeight="1">
      <c r="A179" s="977"/>
      <c r="B179" s="978"/>
      <c r="C179" s="979"/>
      <c r="D179" s="980" t="s">
        <v>816</v>
      </c>
      <c r="E179" s="972"/>
      <c r="F179" s="972">
        <f t="shared" si="2"/>
        <v>0</v>
      </c>
      <c r="G179" s="985"/>
      <c r="H179" s="985"/>
      <c r="I179" s="985"/>
      <c r="J179" s="985"/>
      <c r="K179" s="985"/>
      <c r="L179" s="985"/>
      <c r="M179" s="985"/>
      <c r="N179" s="985"/>
      <c r="O179" s="987"/>
      <c r="P179" s="985"/>
      <c r="Q179" s="985"/>
      <c r="R179" s="982"/>
      <c r="S179" s="983"/>
    </row>
    <row r="180" spans="1:19" ht="12.75" customHeight="1">
      <c r="A180" s="977"/>
      <c r="B180" s="978"/>
      <c r="C180" s="979"/>
      <c r="D180" s="980" t="s">
        <v>895</v>
      </c>
      <c r="E180" s="972"/>
      <c r="F180" s="972">
        <f t="shared" si="2"/>
        <v>0</v>
      </c>
      <c r="G180" s="985"/>
      <c r="H180" s="985"/>
      <c r="I180" s="985"/>
      <c r="J180" s="985"/>
      <c r="K180" s="985"/>
      <c r="L180" s="985"/>
      <c r="M180" s="985"/>
      <c r="N180" s="985"/>
      <c r="O180" s="987"/>
      <c r="P180" s="985"/>
      <c r="Q180" s="985"/>
      <c r="R180" s="982"/>
      <c r="S180" s="983"/>
    </row>
    <row r="181" spans="1:24" s="966" customFormat="1" ht="12.75" customHeight="1">
      <c r="A181" s="977" t="s">
        <v>424</v>
      </c>
      <c r="B181" s="978" t="s">
        <v>517</v>
      </c>
      <c r="C181" s="979" t="s">
        <v>518</v>
      </c>
      <c r="D181" s="984" t="s">
        <v>4</v>
      </c>
      <c r="E181" s="972">
        <v>0</v>
      </c>
      <c r="F181" s="972">
        <f t="shared" si="2"/>
        <v>0</v>
      </c>
      <c r="G181" s="985"/>
      <c r="H181" s="985"/>
      <c r="I181" s="985"/>
      <c r="J181" s="985"/>
      <c r="K181" s="985"/>
      <c r="L181" s="985"/>
      <c r="M181" s="985"/>
      <c r="N181" s="985"/>
      <c r="O181" s="987"/>
      <c r="P181" s="985"/>
      <c r="Q181" s="985"/>
      <c r="R181" s="982"/>
      <c r="S181" s="983"/>
      <c r="T181" s="976"/>
      <c r="U181" s="976"/>
      <c r="V181" s="976"/>
      <c r="W181" s="976"/>
      <c r="X181" s="976"/>
    </row>
    <row r="182" spans="1:24" ht="12.75" customHeight="1">
      <c r="A182" s="977"/>
      <c r="B182" s="978"/>
      <c r="C182" s="979"/>
      <c r="D182" s="980" t="s">
        <v>816</v>
      </c>
      <c r="E182" s="972"/>
      <c r="F182" s="972">
        <f t="shared" si="2"/>
        <v>0</v>
      </c>
      <c r="G182" s="985"/>
      <c r="H182" s="985"/>
      <c r="I182" s="985"/>
      <c r="J182" s="985"/>
      <c r="K182" s="985"/>
      <c r="L182" s="985"/>
      <c r="M182" s="985"/>
      <c r="N182" s="985"/>
      <c r="O182" s="987"/>
      <c r="P182" s="985"/>
      <c r="Q182" s="985"/>
      <c r="R182" s="982"/>
      <c r="S182" s="983"/>
      <c r="T182" s="976"/>
      <c r="U182" s="976"/>
      <c r="V182" s="976"/>
      <c r="W182" s="976"/>
      <c r="X182" s="976"/>
    </row>
    <row r="183" spans="1:24" ht="12.75" customHeight="1">
      <c r="A183" s="977"/>
      <c r="B183" s="978"/>
      <c r="C183" s="979"/>
      <c r="D183" s="980" t="s">
        <v>895</v>
      </c>
      <c r="E183" s="972"/>
      <c r="F183" s="972">
        <f t="shared" si="2"/>
        <v>0</v>
      </c>
      <c r="G183" s="985"/>
      <c r="H183" s="985"/>
      <c r="I183" s="985"/>
      <c r="J183" s="985"/>
      <c r="K183" s="985"/>
      <c r="L183" s="985"/>
      <c r="M183" s="985"/>
      <c r="N183" s="985"/>
      <c r="O183" s="987"/>
      <c r="P183" s="985"/>
      <c r="Q183" s="985"/>
      <c r="R183" s="982"/>
      <c r="S183" s="983"/>
      <c r="T183" s="976"/>
      <c r="U183" s="976"/>
      <c r="V183" s="976"/>
      <c r="W183" s="976"/>
      <c r="X183" s="976"/>
    </row>
    <row r="184" spans="1:24" ht="12.75" customHeight="1">
      <c r="A184" s="977" t="s">
        <v>424</v>
      </c>
      <c r="B184" s="978" t="s">
        <v>519</v>
      </c>
      <c r="C184" s="979" t="s">
        <v>520</v>
      </c>
      <c r="D184" s="984" t="s">
        <v>4</v>
      </c>
      <c r="E184" s="972">
        <v>29000</v>
      </c>
      <c r="F184" s="972">
        <f t="shared" si="2"/>
        <v>55992</v>
      </c>
      <c r="G184" s="981"/>
      <c r="H184" s="981"/>
      <c r="I184" s="981">
        <v>55992</v>
      </c>
      <c r="J184" s="981"/>
      <c r="K184" s="981"/>
      <c r="L184" s="981"/>
      <c r="M184" s="981"/>
      <c r="N184" s="981"/>
      <c r="O184" s="981"/>
      <c r="P184" s="981"/>
      <c r="Q184" s="981"/>
      <c r="R184" s="982"/>
      <c r="S184" s="983"/>
      <c r="T184" s="976"/>
      <c r="U184" s="976"/>
      <c r="V184" s="976"/>
      <c r="W184" s="976"/>
      <c r="X184" s="976"/>
    </row>
    <row r="185" spans="1:24" ht="12.75" customHeight="1">
      <c r="A185" s="977"/>
      <c r="B185" s="978"/>
      <c r="C185" s="979"/>
      <c r="D185" s="980" t="s">
        <v>816</v>
      </c>
      <c r="E185" s="972">
        <v>29000</v>
      </c>
      <c r="F185" s="972">
        <f t="shared" si="2"/>
        <v>55992</v>
      </c>
      <c r="G185" s="981"/>
      <c r="H185" s="981"/>
      <c r="I185" s="981">
        <v>55992</v>
      </c>
      <c r="J185" s="981"/>
      <c r="K185" s="981"/>
      <c r="L185" s="981"/>
      <c r="M185" s="981"/>
      <c r="N185" s="981"/>
      <c r="O185" s="981"/>
      <c r="P185" s="981"/>
      <c r="Q185" s="981"/>
      <c r="R185" s="982"/>
      <c r="S185" s="983"/>
      <c r="T185" s="976"/>
      <c r="U185" s="976"/>
      <c r="V185" s="976"/>
      <c r="W185" s="976"/>
      <c r="X185" s="976"/>
    </row>
    <row r="186" spans="1:24" ht="12.75" customHeight="1">
      <c r="A186" s="977"/>
      <c r="B186" s="978"/>
      <c r="C186" s="979"/>
      <c r="D186" s="980" t="s">
        <v>895</v>
      </c>
      <c r="E186" s="972">
        <v>29000</v>
      </c>
      <c r="F186" s="972">
        <f t="shared" si="2"/>
        <v>55992</v>
      </c>
      <c r="G186" s="981"/>
      <c r="H186" s="981"/>
      <c r="I186" s="981">
        <v>55992</v>
      </c>
      <c r="J186" s="981"/>
      <c r="K186" s="981"/>
      <c r="L186" s="981"/>
      <c r="M186" s="981"/>
      <c r="N186" s="981"/>
      <c r="O186" s="981"/>
      <c r="P186" s="981"/>
      <c r="Q186" s="981"/>
      <c r="R186" s="982"/>
      <c r="S186" s="983"/>
      <c r="T186" s="976"/>
      <c r="U186" s="976"/>
      <c r="V186" s="976"/>
      <c r="W186" s="976"/>
      <c r="X186" s="976"/>
    </row>
    <row r="187" spans="1:24" ht="12.75" customHeight="1">
      <c r="A187" s="977" t="s">
        <v>424</v>
      </c>
      <c r="B187" s="978" t="s">
        <v>521</v>
      </c>
      <c r="C187" s="979" t="s">
        <v>522</v>
      </c>
      <c r="D187" s="984" t="s">
        <v>4</v>
      </c>
      <c r="E187" s="972"/>
      <c r="F187" s="972">
        <f t="shared" si="2"/>
        <v>0</v>
      </c>
      <c r="G187" s="985"/>
      <c r="H187" s="985"/>
      <c r="I187" s="985"/>
      <c r="J187" s="985"/>
      <c r="K187" s="985"/>
      <c r="L187" s="985"/>
      <c r="M187" s="985"/>
      <c r="N187" s="985"/>
      <c r="O187" s="985"/>
      <c r="P187" s="985"/>
      <c r="Q187" s="985"/>
      <c r="R187" s="982"/>
      <c r="S187" s="983"/>
      <c r="T187" s="976"/>
      <c r="U187" s="976"/>
      <c r="V187" s="976"/>
      <c r="W187" s="976"/>
      <c r="X187" s="976"/>
    </row>
    <row r="188" spans="1:24" ht="12.75" customHeight="1">
      <c r="A188" s="977"/>
      <c r="B188" s="978"/>
      <c r="C188" s="979"/>
      <c r="D188" s="980" t="s">
        <v>816</v>
      </c>
      <c r="E188" s="972"/>
      <c r="F188" s="972">
        <f t="shared" si="2"/>
        <v>0</v>
      </c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2"/>
      <c r="S188" s="983"/>
      <c r="T188" s="976"/>
      <c r="U188" s="976"/>
      <c r="V188" s="976"/>
      <c r="W188" s="976"/>
      <c r="X188" s="976"/>
    </row>
    <row r="189" spans="1:24" ht="12.75" customHeight="1">
      <c r="A189" s="977"/>
      <c r="B189" s="978"/>
      <c r="C189" s="979"/>
      <c r="D189" s="980" t="s">
        <v>895</v>
      </c>
      <c r="E189" s="972"/>
      <c r="F189" s="972">
        <f t="shared" si="2"/>
        <v>0</v>
      </c>
      <c r="G189" s="985"/>
      <c r="H189" s="985"/>
      <c r="I189" s="985"/>
      <c r="J189" s="985"/>
      <c r="K189" s="985"/>
      <c r="L189" s="985"/>
      <c r="M189" s="985"/>
      <c r="N189" s="985"/>
      <c r="O189" s="985"/>
      <c r="P189" s="985"/>
      <c r="Q189" s="985"/>
      <c r="R189" s="982"/>
      <c r="S189" s="983"/>
      <c r="T189" s="976"/>
      <c r="U189" s="976"/>
      <c r="V189" s="976"/>
      <c r="W189" s="976"/>
      <c r="X189" s="976"/>
    </row>
    <row r="190" spans="1:24" ht="12.75" customHeight="1">
      <c r="A190" s="977" t="s">
        <v>427</v>
      </c>
      <c r="B190" s="978" t="s">
        <v>521</v>
      </c>
      <c r="C190" s="979" t="s">
        <v>522</v>
      </c>
      <c r="D190" s="984" t="s">
        <v>4</v>
      </c>
      <c r="E190" s="972">
        <v>0</v>
      </c>
      <c r="F190" s="972">
        <f t="shared" si="2"/>
        <v>0</v>
      </c>
      <c r="G190" s="985"/>
      <c r="H190" s="985"/>
      <c r="I190" s="985"/>
      <c r="J190" s="985"/>
      <c r="K190" s="985"/>
      <c r="L190" s="985"/>
      <c r="M190" s="985"/>
      <c r="N190" s="985"/>
      <c r="O190" s="985"/>
      <c r="P190" s="985"/>
      <c r="Q190" s="985"/>
      <c r="R190" s="982"/>
      <c r="S190" s="983"/>
      <c r="T190" s="976"/>
      <c r="U190" s="976"/>
      <c r="V190" s="976"/>
      <c r="W190" s="976"/>
      <c r="X190" s="976"/>
    </row>
    <row r="191" spans="1:24" ht="12.75" customHeight="1">
      <c r="A191" s="977"/>
      <c r="B191" s="978"/>
      <c r="C191" s="979"/>
      <c r="D191" s="980" t="s">
        <v>816</v>
      </c>
      <c r="E191" s="972"/>
      <c r="F191" s="972">
        <f t="shared" si="2"/>
        <v>0</v>
      </c>
      <c r="G191" s="985"/>
      <c r="H191" s="985"/>
      <c r="I191" s="985"/>
      <c r="J191" s="985"/>
      <c r="K191" s="985"/>
      <c r="L191" s="985"/>
      <c r="M191" s="985"/>
      <c r="N191" s="985"/>
      <c r="O191" s="985"/>
      <c r="P191" s="985"/>
      <c r="Q191" s="985"/>
      <c r="R191" s="982"/>
      <c r="S191" s="983"/>
      <c r="T191" s="976"/>
      <c r="U191" s="976"/>
      <c r="V191" s="976"/>
      <c r="W191" s="976"/>
      <c r="X191" s="976"/>
    </row>
    <row r="192" spans="1:24" ht="12.75" customHeight="1">
      <c r="A192" s="977"/>
      <c r="B192" s="978"/>
      <c r="C192" s="979"/>
      <c r="D192" s="980" t="s">
        <v>895</v>
      </c>
      <c r="E192" s="972"/>
      <c r="F192" s="972">
        <f t="shared" si="2"/>
        <v>0</v>
      </c>
      <c r="G192" s="985"/>
      <c r="H192" s="985"/>
      <c r="I192" s="985"/>
      <c r="J192" s="985"/>
      <c r="K192" s="985"/>
      <c r="L192" s="985"/>
      <c r="M192" s="985"/>
      <c r="N192" s="985"/>
      <c r="O192" s="985"/>
      <c r="P192" s="985"/>
      <c r="Q192" s="985"/>
      <c r="R192" s="982"/>
      <c r="S192" s="983"/>
      <c r="T192" s="976"/>
      <c r="U192" s="976"/>
      <c r="V192" s="976"/>
      <c r="W192" s="976"/>
      <c r="X192" s="976"/>
    </row>
    <row r="193" spans="1:24" ht="12.75" customHeight="1">
      <c r="A193" s="977" t="s">
        <v>427</v>
      </c>
      <c r="B193" s="978" t="s">
        <v>521</v>
      </c>
      <c r="C193" s="979" t="s">
        <v>522</v>
      </c>
      <c r="D193" s="984" t="s">
        <v>4</v>
      </c>
      <c r="E193" s="972"/>
      <c r="F193" s="972">
        <f t="shared" si="2"/>
        <v>0</v>
      </c>
      <c r="G193" s="985"/>
      <c r="H193" s="985"/>
      <c r="I193" s="985"/>
      <c r="J193" s="985"/>
      <c r="K193" s="985"/>
      <c r="L193" s="985"/>
      <c r="M193" s="985"/>
      <c r="N193" s="985"/>
      <c r="O193" s="985"/>
      <c r="P193" s="985"/>
      <c r="Q193" s="985"/>
      <c r="R193" s="982"/>
      <c r="S193" s="983"/>
      <c r="T193" s="976"/>
      <c r="U193" s="976"/>
      <c r="V193" s="976"/>
      <c r="W193" s="976"/>
      <c r="X193" s="976"/>
    </row>
    <row r="194" spans="1:24" ht="12.75" customHeight="1">
      <c r="A194" s="977"/>
      <c r="B194" s="978"/>
      <c r="C194" s="979"/>
      <c r="D194" s="980" t="s">
        <v>816</v>
      </c>
      <c r="E194" s="972"/>
      <c r="F194" s="972">
        <f t="shared" si="2"/>
        <v>0</v>
      </c>
      <c r="G194" s="985"/>
      <c r="H194" s="985"/>
      <c r="I194" s="985"/>
      <c r="J194" s="985"/>
      <c r="K194" s="985"/>
      <c r="L194" s="985"/>
      <c r="M194" s="985"/>
      <c r="N194" s="985"/>
      <c r="O194" s="985"/>
      <c r="P194" s="985"/>
      <c r="Q194" s="985"/>
      <c r="R194" s="982"/>
      <c r="S194" s="983"/>
      <c r="T194" s="976"/>
      <c r="U194" s="976"/>
      <c r="V194" s="976"/>
      <c r="W194" s="976"/>
      <c r="X194" s="976"/>
    </row>
    <row r="195" spans="1:24" ht="12.75" customHeight="1">
      <c r="A195" s="977"/>
      <c r="B195" s="978"/>
      <c r="C195" s="979"/>
      <c r="D195" s="980" t="s">
        <v>895</v>
      </c>
      <c r="E195" s="972"/>
      <c r="F195" s="972">
        <f t="shared" si="2"/>
        <v>0</v>
      </c>
      <c r="G195" s="985"/>
      <c r="H195" s="985"/>
      <c r="I195" s="985"/>
      <c r="J195" s="985"/>
      <c r="K195" s="985"/>
      <c r="L195" s="985"/>
      <c r="M195" s="985"/>
      <c r="N195" s="985"/>
      <c r="O195" s="985"/>
      <c r="P195" s="985"/>
      <c r="Q195" s="985"/>
      <c r="R195" s="982"/>
      <c r="S195" s="983"/>
      <c r="T195" s="976"/>
      <c r="U195" s="976"/>
      <c r="V195" s="976"/>
      <c r="W195" s="976"/>
      <c r="X195" s="976"/>
    </row>
    <row r="196" spans="1:24" ht="12.75" customHeight="1">
      <c r="A196" s="977" t="s">
        <v>424</v>
      </c>
      <c r="B196" s="978" t="s">
        <v>523</v>
      </c>
      <c r="C196" s="979" t="s">
        <v>524</v>
      </c>
      <c r="D196" s="984" t="s">
        <v>4</v>
      </c>
      <c r="E196" s="972"/>
      <c r="F196" s="972">
        <f t="shared" si="2"/>
        <v>39974</v>
      </c>
      <c r="G196" s="985"/>
      <c r="H196" s="985"/>
      <c r="I196" s="985"/>
      <c r="J196" s="985"/>
      <c r="K196" s="985">
        <v>39974</v>
      </c>
      <c r="L196" s="985"/>
      <c r="M196" s="985"/>
      <c r="N196" s="985"/>
      <c r="O196" s="985"/>
      <c r="P196" s="985"/>
      <c r="Q196" s="985"/>
      <c r="R196" s="982"/>
      <c r="S196" s="983"/>
      <c r="T196" s="976"/>
      <c r="U196" s="976"/>
      <c r="V196" s="976"/>
      <c r="W196" s="976"/>
      <c r="X196" s="976"/>
    </row>
    <row r="197" spans="1:24" ht="12.75" customHeight="1">
      <c r="A197" s="977"/>
      <c r="B197" s="978"/>
      <c r="C197" s="979"/>
      <c r="D197" s="980" t="s">
        <v>816</v>
      </c>
      <c r="E197" s="972"/>
      <c r="F197" s="972">
        <f t="shared" si="2"/>
        <v>38973</v>
      </c>
      <c r="G197" s="985"/>
      <c r="H197" s="985"/>
      <c r="I197" s="985"/>
      <c r="J197" s="985"/>
      <c r="K197" s="985">
        <v>38973</v>
      </c>
      <c r="L197" s="985"/>
      <c r="M197" s="985"/>
      <c r="N197" s="985"/>
      <c r="O197" s="985"/>
      <c r="P197" s="985"/>
      <c r="Q197" s="985"/>
      <c r="R197" s="982"/>
      <c r="S197" s="983"/>
      <c r="T197" s="976"/>
      <c r="U197" s="976"/>
      <c r="V197" s="976"/>
      <c r="W197" s="976"/>
      <c r="X197" s="976"/>
    </row>
    <row r="198" spans="1:24" ht="12.75" customHeight="1">
      <c r="A198" s="977"/>
      <c r="B198" s="978"/>
      <c r="C198" s="979"/>
      <c r="D198" s="980" t="s">
        <v>895</v>
      </c>
      <c r="E198" s="972">
        <v>128</v>
      </c>
      <c r="F198" s="972">
        <f t="shared" si="2"/>
        <v>36048</v>
      </c>
      <c r="G198" s="985"/>
      <c r="H198" s="985"/>
      <c r="I198" s="985">
        <v>27</v>
      </c>
      <c r="J198" s="985"/>
      <c r="K198" s="985">
        <f>K197-2952</f>
        <v>36021</v>
      </c>
      <c r="L198" s="985"/>
      <c r="M198" s="985"/>
      <c r="N198" s="985"/>
      <c r="O198" s="985"/>
      <c r="P198" s="985"/>
      <c r="Q198" s="985"/>
      <c r="R198" s="982"/>
      <c r="S198" s="983"/>
      <c r="T198" s="976"/>
      <c r="U198" s="976"/>
      <c r="V198" s="976"/>
      <c r="W198" s="976"/>
      <c r="X198" s="976"/>
    </row>
    <row r="199" spans="1:24" ht="12.75" customHeight="1">
      <c r="A199" s="977" t="s">
        <v>427</v>
      </c>
      <c r="B199" s="978" t="s">
        <v>523</v>
      </c>
      <c r="C199" s="979" t="s">
        <v>524</v>
      </c>
      <c r="D199" s="984" t="s">
        <v>4</v>
      </c>
      <c r="E199" s="972"/>
      <c r="F199" s="972">
        <f aca="true" t="shared" si="3" ref="F199:F208">SUM(G199:R199)</f>
        <v>0</v>
      </c>
      <c r="G199" s="985"/>
      <c r="H199" s="985"/>
      <c r="I199" s="985"/>
      <c r="J199" s="985"/>
      <c r="K199" s="985"/>
      <c r="L199" s="985"/>
      <c r="M199" s="985"/>
      <c r="N199" s="985"/>
      <c r="O199" s="985"/>
      <c r="P199" s="985"/>
      <c r="Q199" s="985"/>
      <c r="R199" s="982"/>
      <c r="S199" s="983"/>
      <c r="T199" s="976"/>
      <c r="U199" s="976"/>
      <c r="V199" s="976"/>
      <c r="W199" s="976"/>
      <c r="X199" s="976"/>
    </row>
    <row r="200" spans="1:24" ht="12.75" customHeight="1">
      <c r="A200" s="977"/>
      <c r="B200" s="978"/>
      <c r="C200" s="979"/>
      <c r="D200" s="980" t="s">
        <v>816</v>
      </c>
      <c r="E200" s="972"/>
      <c r="F200" s="972">
        <f t="shared" si="3"/>
        <v>0</v>
      </c>
      <c r="G200" s="985"/>
      <c r="H200" s="985"/>
      <c r="I200" s="985"/>
      <c r="J200" s="985"/>
      <c r="K200" s="985"/>
      <c r="L200" s="985"/>
      <c r="M200" s="985"/>
      <c r="N200" s="985"/>
      <c r="O200" s="985"/>
      <c r="P200" s="985"/>
      <c r="Q200" s="985"/>
      <c r="R200" s="982"/>
      <c r="S200" s="983"/>
      <c r="T200" s="976"/>
      <c r="U200" s="976"/>
      <c r="V200" s="976"/>
      <c r="W200" s="976"/>
      <c r="X200" s="976"/>
    </row>
    <row r="201" spans="1:24" ht="12.75" customHeight="1">
      <c r="A201" s="977"/>
      <c r="B201" s="978"/>
      <c r="C201" s="979"/>
      <c r="D201" s="980" t="s">
        <v>895</v>
      </c>
      <c r="E201" s="972"/>
      <c r="F201" s="972">
        <f t="shared" si="3"/>
        <v>0</v>
      </c>
      <c r="G201" s="985"/>
      <c r="H201" s="985"/>
      <c r="I201" s="985"/>
      <c r="J201" s="985"/>
      <c r="K201" s="985"/>
      <c r="L201" s="985"/>
      <c r="M201" s="985"/>
      <c r="N201" s="985"/>
      <c r="O201" s="985"/>
      <c r="P201" s="985"/>
      <c r="Q201" s="985"/>
      <c r="R201" s="982"/>
      <c r="S201" s="983"/>
      <c r="T201" s="976"/>
      <c r="U201" s="976"/>
      <c r="V201" s="976"/>
      <c r="W201" s="976"/>
      <c r="X201" s="976"/>
    </row>
    <row r="202" spans="1:24" ht="12.75" customHeight="1">
      <c r="A202" s="977" t="s">
        <v>427</v>
      </c>
      <c r="B202" s="978" t="s">
        <v>523</v>
      </c>
      <c r="C202" s="979" t="s">
        <v>524</v>
      </c>
      <c r="D202" s="984" t="s">
        <v>4</v>
      </c>
      <c r="E202" s="972"/>
      <c r="F202" s="972">
        <f t="shared" si="3"/>
        <v>0</v>
      </c>
      <c r="G202" s="985"/>
      <c r="H202" s="985"/>
      <c r="I202" s="985"/>
      <c r="J202" s="985"/>
      <c r="K202" s="985"/>
      <c r="L202" s="985"/>
      <c r="M202" s="985"/>
      <c r="N202" s="985"/>
      <c r="O202" s="985"/>
      <c r="P202" s="985"/>
      <c r="Q202" s="985"/>
      <c r="R202" s="982"/>
      <c r="S202" s="983"/>
      <c r="T202" s="976"/>
      <c r="U202" s="976"/>
      <c r="V202" s="976"/>
      <c r="W202" s="976"/>
      <c r="X202" s="976"/>
    </row>
    <row r="203" spans="1:24" ht="12.75" customHeight="1">
      <c r="A203" s="977"/>
      <c r="B203" s="978"/>
      <c r="C203" s="979"/>
      <c r="D203" s="980" t="s">
        <v>816</v>
      </c>
      <c r="E203" s="972"/>
      <c r="F203" s="972">
        <f t="shared" si="3"/>
        <v>0</v>
      </c>
      <c r="G203" s="985"/>
      <c r="H203" s="985"/>
      <c r="I203" s="985"/>
      <c r="J203" s="985"/>
      <c r="K203" s="985"/>
      <c r="L203" s="985"/>
      <c r="M203" s="985"/>
      <c r="N203" s="985"/>
      <c r="O203" s="985"/>
      <c r="P203" s="985"/>
      <c r="Q203" s="985"/>
      <c r="R203" s="982"/>
      <c r="S203" s="983"/>
      <c r="T203" s="976"/>
      <c r="U203" s="976"/>
      <c r="V203" s="976"/>
      <c r="W203" s="976"/>
      <c r="X203" s="976"/>
    </row>
    <row r="204" spans="1:24" ht="12.75" customHeight="1">
      <c r="A204" s="977"/>
      <c r="B204" s="978"/>
      <c r="C204" s="979"/>
      <c r="D204" s="980" t="s">
        <v>895</v>
      </c>
      <c r="E204" s="972"/>
      <c r="F204" s="972">
        <f t="shared" si="3"/>
        <v>0</v>
      </c>
      <c r="G204" s="985"/>
      <c r="H204" s="985"/>
      <c r="I204" s="985"/>
      <c r="J204" s="985"/>
      <c r="K204" s="985"/>
      <c r="L204" s="985"/>
      <c r="M204" s="985"/>
      <c r="N204" s="985"/>
      <c r="O204" s="985"/>
      <c r="P204" s="985"/>
      <c r="Q204" s="985"/>
      <c r="R204" s="982"/>
      <c r="S204" s="983"/>
      <c r="T204" s="976"/>
      <c r="U204" s="976"/>
      <c r="V204" s="976"/>
      <c r="W204" s="976"/>
      <c r="X204" s="976"/>
    </row>
    <row r="205" spans="1:24" ht="12.75" customHeight="1">
      <c r="A205" s="977" t="s">
        <v>424</v>
      </c>
      <c r="B205" s="978" t="s">
        <v>523</v>
      </c>
      <c r="C205" s="979" t="s">
        <v>524</v>
      </c>
      <c r="D205" s="984" t="s">
        <v>4</v>
      </c>
      <c r="E205" s="972"/>
      <c r="F205" s="972">
        <f t="shared" si="3"/>
        <v>0</v>
      </c>
      <c r="G205" s="985"/>
      <c r="H205" s="985"/>
      <c r="I205" s="985"/>
      <c r="J205" s="985"/>
      <c r="K205" s="985"/>
      <c r="L205" s="985"/>
      <c r="M205" s="985"/>
      <c r="N205" s="985"/>
      <c r="O205" s="985"/>
      <c r="P205" s="985"/>
      <c r="Q205" s="985"/>
      <c r="R205" s="982"/>
      <c r="S205" s="983"/>
      <c r="T205" s="976"/>
      <c r="U205" s="976"/>
      <c r="V205" s="976"/>
      <c r="W205" s="976"/>
      <c r="X205" s="976"/>
    </row>
    <row r="206" spans="1:24" ht="12.75" customHeight="1">
      <c r="A206" s="977"/>
      <c r="B206" s="978"/>
      <c r="C206" s="979"/>
      <c r="D206" s="980" t="s">
        <v>816</v>
      </c>
      <c r="E206" s="972"/>
      <c r="F206" s="972">
        <f t="shared" si="3"/>
        <v>0</v>
      </c>
      <c r="G206" s="985"/>
      <c r="H206" s="985"/>
      <c r="I206" s="985"/>
      <c r="J206" s="985"/>
      <c r="K206" s="985"/>
      <c r="L206" s="985"/>
      <c r="M206" s="985"/>
      <c r="N206" s="985"/>
      <c r="O206" s="985"/>
      <c r="P206" s="985"/>
      <c r="Q206" s="985"/>
      <c r="R206" s="982"/>
      <c r="S206" s="983"/>
      <c r="T206" s="976"/>
      <c r="U206" s="976"/>
      <c r="V206" s="976"/>
      <c r="W206" s="976"/>
      <c r="X206" s="976"/>
    </row>
    <row r="207" spans="1:24" ht="12.75" customHeight="1">
      <c r="A207" s="977"/>
      <c r="B207" s="978"/>
      <c r="C207" s="979"/>
      <c r="D207" s="980" t="s">
        <v>895</v>
      </c>
      <c r="E207" s="972"/>
      <c r="F207" s="972">
        <f t="shared" si="3"/>
        <v>0</v>
      </c>
      <c r="G207" s="985"/>
      <c r="H207" s="985"/>
      <c r="I207" s="985"/>
      <c r="J207" s="985"/>
      <c r="K207" s="985"/>
      <c r="L207" s="985"/>
      <c r="M207" s="985"/>
      <c r="N207" s="985"/>
      <c r="O207" s="985"/>
      <c r="P207" s="985"/>
      <c r="Q207" s="985"/>
      <c r="R207" s="982"/>
      <c r="S207" s="983"/>
      <c r="T207" s="976"/>
      <c r="U207" s="976"/>
      <c r="V207" s="976"/>
      <c r="W207" s="976"/>
      <c r="X207" s="976"/>
    </row>
    <row r="208" spans="1:24" ht="12.75" customHeight="1">
      <c r="A208" s="977" t="s">
        <v>420</v>
      </c>
      <c r="B208" s="978" t="s">
        <v>525</v>
      </c>
      <c r="C208" s="979" t="s">
        <v>526</v>
      </c>
      <c r="D208" s="984" t="s">
        <v>4</v>
      </c>
      <c r="E208" s="972">
        <v>709262</v>
      </c>
      <c r="F208" s="972">
        <f t="shared" si="3"/>
        <v>25339</v>
      </c>
      <c r="G208" s="985"/>
      <c r="H208" s="985"/>
      <c r="I208" s="985">
        <v>25339</v>
      </c>
      <c r="J208" s="985"/>
      <c r="K208" s="985"/>
      <c r="L208" s="985"/>
      <c r="M208" s="985"/>
      <c r="N208" s="985"/>
      <c r="O208" s="985"/>
      <c r="P208" s="985"/>
      <c r="Q208" s="985"/>
      <c r="R208" s="982"/>
      <c r="S208" s="983"/>
      <c r="T208" s="976"/>
      <c r="U208" s="976"/>
      <c r="V208" s="976"/>
      <c r="W208" s="976"/>
      <c r="X208" s="976"/>
    </row>
    <row r="209" spans="1:24" ht="12.75" customHeight="1">
      <c r="A209" s="977"/>
      <c r="B209" s="978"/>
      <c r="C209" s="979"/>
      <c r="D209" s="980" t="s">
        <v>816</v>
      </c>
      <c r="E209" s="972">
        <v>909262</v>
      </c>
      <c r="F209" s="972">
        <f aca="true" t="shared" si="4" ref="F209:F216">SUM(G209:S209)</f>
        <v>280895</v>
      </c>
      <c r="G209" s="985"/>
      <c r="H209" s="985"/>
      <c r="I209" s="985">
        <v>25339</v>
      </c>
      <c r="J209" s="985"/>
      <c r="K209" s="985"/>
      <c r="L209" s="985"/>
      <c r="M209" s="985"/>
      <c r="N209" s="985"/>
      <c r="O209" s="985"/>
      <c r="P209" s="985"/>
      <c r="Q209" s="985">
        <v>55556</v>
      </c>
      <c r="R209" s="982"/>
      <c r="S209" s="990">
        <v>200000</v>
      </c>
      <c r="T209" s="976"/>
      <c r="U209" s="976"/>
      <c r="V209" s="976"/>
      <c r="W209" s="976"/>
      <c r="X209" s="976"/>
    </row>
    <row r="210" spans="1:24" ht="12.75" customHeight="1">
      <c r="A210" s="977"/>
      <c r="B210" s="978"/>
      <c r="C210" s="979"/>
      <c r="D210" s="980" t="s">
        <v>895</v>
      </c>
      <c r="E210" s="972">
        <f>E209+946894</f>
        <v>1856156</v>
      </c>
      <c r="F210" s="972">
        <f t="shared" si="4"/>
        <v>1227789</v>
      </c>
      <c r="G210" s="985"/>
      <c r="H210" s="985"/>
      <c r="I210" s="985">
        <v>25339</v>
      </c>
      <c r="J210" s="985"/>
      <c r="K210" s="985"/>
      <c r="L210" s="985"/>
      <c r="M210" s="985"/>
      <c r="N210" s="985"/>
      <c r="O210" s="985"/>
      <c r="P210" s="985"/>
      <c r="Q210" s="985">
        <f>Q209+166394+560500</f>
        <v>782450</v>
      </c>
      <c r="R210" s="982"/>
      <c r="S210" s="990">
        <f>S209+220000</f>
        <v>420000</v>
      </c>
      <c r="T210" s="976"/>
      <c r="U210" s="976"/>
      <c r="V210" s="976"/>
      <c r="W210" s="976"/>
      <c r="X210" s="976"/>
    </row>
    <row r="211" spans="1:24" ht="12.75" customHeight="1">
      <c r="A211" s="977" t="s">
        <v>420</v>
      </c>
      <c r="B211" s="978" t="s">
        <v>527</v>
      </c>
      <c r="C211" s="979" t="s">
        <v>528</v>
      </c>
      <c r="D211" s="984" t="s">
        <v>4</v>
      </c>
      <c r="E211" s="972"/>
      <c r="F211" s="972">
        <f t="shared" si="4"/>
        <v>15000</v>
      </c>
      <c r="G211" s="985"/>
      <c r="H211" s="985"/>
      <c r="I211" s="985"/>
      <c r="J211" s="985"/>
      <c r="K211" s="985"/>
      <c r="L211" s="985">
        <v>15000</v>
      </c>
      <c r="M211" s="985"/>
      <c r="N211" s="985"/>
      <c r="O211" s="985"/>
      <c r="P211" s="985"/>
      <c r="Q211" s="985"/>
      <c r="R211" s="982"/>
      <c r="S211" s="983"/>
      <c r="T211" s="976"/>
      <c r="U211" s="976"/>
      <c r="V211" s="976"/>
      <c r="W211" s="976"/>
      <c r="X211" s="976"/>
    </row>
    <row r="212" spans="1:24" ht="12.75" customHeight="1">
      <c r="A212" s="977"/>
      <c r="B212" s="978"/>
      <c r="C212" s="979"/>
      <c r="D212" s="980" t="s">
        <v>816</v>
      </c>
      <c r="E212" s="972"/>
      <c r="F212" s="972">
        <f t="shared" si="4"/>
        <v>12274</v>
      </c>
      <c r="G212" s="985"/>
      <c r="H212" s="985"/>
      <c r="I212" s="985"/>
      <c r="J212" s="985"/>
      <c r="K212" s="985"/>
      <c r="L212" s="985">
        <v>12274</v>
      </c>
      <c r="M212" s="985"/>
      <c r="N212" s="985"/>
      <c r="O212" s="985"/>
      <c r="P212" s="985"/>
      <c r="Q212" s="985"/>
      <c r="R212" s="982"/>
      <c r="S212" s="983"/>
      <c r="T212" s="976"/>
      <c r="U212" s="976"/>
      <c r="V212" s="976"/>
      <c r="W212" s="976"/>
      <c r="X212" s="976"/>
    </row>
    <row r="213" spans="1:24" ht="12.75" customHeight="1">
      <c r="A213" s="977"/>
      <c r="B213" s="978"/>
      <c r="C213" s="979"/>
      <c r="D213" s="980" t="s">
        <v>895</v>
      </c>
      <c r="E213" s="972"/>
      <c r="F213" s="972">
        <f t="shared" si="4"/>
        <v>6086</v>
      </c>
      <c r="G213" s="985"/>
      <c r="H213" s="985"/>
      <c r="I213" s="985"/>
      <c r="J213" s="985"/>
      <c r="K213" s="985"/>
      <c r="L213" s="985">
        <f>6086</f>
        <v>6086</v>
      </c>
      <c r="M213" s="985"/>
      <c r="N213" s="985"/>
      <c r="O213" s="985"/>
      <c r="P213" s="985"/>
      <c r="Q213" s="985"/>
      <c r="R213" s="982"/>
      <c r="S213" s="983"/>
      <c r="T213" s="976"/>
      <c r="U213" s="976"/>
      <c r="V213" s="976"/>
      <c r="W213" s="976"/>
      <c r="X213" s="976"/>
    </row>
    <row r="214" spans="1:24" ht="12.75" customHeight="1">
      <c r="A214" s="977" t="s">
        <v>420</v>
      </c>
      <c r="B214" s="978" t="s">
        <v>527</v>
      </c>
      <c r="C214" s="979" t="s">
        <v>556</v>
      </c>
      <c r="D214" s="984" t="s">
        <v>4</v>
      </c>
      <c r="E214" s="972"/>
      <c r="F214" s="972">
        <f t="shared" si="4"/>
        <v>425917</v>
      </c>
      <c r="G214" s="985"/>
      <c r="H214" s="985"/>
      <c r="I214" s="985"/>
      <c r="J214" s="985"/>
      <c r="K214" s="985"/>
      <c r="L214" s="985">
        <v>178800</v>
      </c>
      <c r="M214" s="985"/>
      <c r="N214" s="985"/>
      <c r="O214" s="985"/>
      <c r="P214" s="985">
        <v>247117</v>
      </c>
      <c r="Q214" s="985"/>
      <c r="R214" s="982"/>
      <c r="S214" s="983"/>
      <c r="T214" s="976"/>
      <c r="U214" s="976"/>
      <c r="V214" s="976"/>
      <c r="W214" s="976"/>
      <c r="X214" s="976"/>
    </row>
    <row r="215" spans="1:24" ht="12.75" customHeight="1">
      <c r="A215" s="977"/>
      <c r="B215" s="978"/>
      <c r="C215" s="979"/>
      <c r="D215" s="980" t="s">
        <v>816</v>
      </c>
      <c r="E215" s="972"/>
      <c r="F215" s="972">
        <f t="shared" si="4"/>
        <v>270151</v>
      </c>
      <c r="G215" s="985"/>
      <c r="H215" s="985"/>
      <c r="I215" s="985"/>
      <c r="J215" s="985"/>
      <c r="K215" s="985"/>
      <c r="L215" s="985">
        <v>66771</v>
      </c>
      <c r="M215" s="985"/>
      <c r="N215" s="985"/>
      <c r="O215" s="985"/>
      <c r="P215" s="985">
        <v>203380</v>
      </c>
      <c r="Q215" s="985"/>
      <c r="R215" s="982"/>
      <c r="S215" s="983"/>
      <c r="T215" s="976"/>
      <c r="U215" s="976"/>
      <c r="V215" s="976"/>
      <c r="W215" s="976"/>
      <c r="X215" s="976"/>
    </row>
    <row r="216" spans="1:24" ht="12.75" customHeight="1">
      <c r="A216" s="977"/>
      <c r="B216" s="978"/>
      <c r="C216" s="979"/>
      <c r="D216" s="980" t="s">
        <v>895</v>
      </c>
      <c r="E216" s="972"/>
      <c r="F216" s="972">
        <f t="shared" si="4"/>
        <v>61792</v>
      </c>
      <c r="G216" s="985"/>
      <c r="H216" s="985"/>
      <c r="I216" s="985"/>
      <c r="J216" s="985"/>
      <c r="K216" s="985"/>
      <c r="L216" s="985">
        <f>19478+1934</f>
        <v>21412</v>
      </c>
      <c r="M216" s="985"/>
      <c r="N216" s="985"/>
      <c r="O216" s="985"/>
      <c r="P216" s="985">
        <f>P215-161136-1864</f>
        <v>40380</v>
      </c>
      <c r="Q216" s="985"/>
      <c r="R216" s="982"/>
      <c r="S216" s="983"/>
      <c r="T216" s="976"/>
      <c r="U216" s="976"/>
      <c r="V216" s="976"/>
      <c r="W216" s="976"/>
      <c r="X216" s="976"/>
    </row>
    <row r="217" spans="1:24" ht="12.75" customHeight="1">
      <c r="A217" s="977"/>
      <c r="B217" s="1084" t="s">
        <v>382</v>
      </c>
      <c r="C217" s="1084"/>
      <c r="D217" s="991" t="s">
        <v>4</v>
      </c>
      <c r="E217" s="992">
        <f aca="true" t="shared" si="5" ref="E217:S219">(E7+E10+E13+E16+E19+E22+E25+E28+E31+E34+E37+E40+E43+E46+E49+E52+E55+E58+E61+E64+E67+E70+E73+E76+E79+E82+E85+E88+E91+E94+E97+E100+E103+E106+E109+E112+E115+E118+E121+E124+E127+E130+E133+E136+E139+E142+E145+E148+E151+E154+E157+E160+E163+E166+E169+E172+E175+E178+E181+E184+E187+E190+E193+E196+E199+E202+E205+E208+E211+E214)</f>
        <v>6924047</v>
      </c>
      <c r="F217" s="992">
        <f t="shared" si="5"/>
        <v>6924047</v>
      </c>
      <c r="G217" s="992">
        <f t="shared" si="5"/>
        <v>221020</v>
      </c>
      <c r="H217" s="992">
        <f t="shared" si="5"/>
        <v>50693</v>
      </c>
      <c r="I217" s="992">
        <f t="shared" si="5"/>
        <v>974880</v>
      </c>
      <c r="J217" s="992">
        <f t="shared" si="5"/>
        <v>873528</v>
      </c>
      <c r="K217" s="992">
        <f t="shared" si="5"/>
        <v>45474</v>
      </c>
      <c r="L217" s="992">
        <f t="shared" si="5"/>
        <v>193800</v>
      </c>
      <c r="M217" s="992">
        <f t="shared" si="5"/>
        <v>234263</v>
      </c>
      <c r="N217" s="992">
        <f t="shared" si="5"/>
        <v>2192246</v>
      </c>
      <c r="O217" s="992">
        <f t="shared" si="5"/>
        <v>193590</v>
      </c>
      <c r="P217" s="992">
        <f t="shared" si="5"/>
        <v>247117</v>
      </c>
      <c r="Q217" s="992">
        <f t="shared" si="5"/>
        <v>41220</v>
      </c>
      <c r="R217" s="992">
        <f t="shared" si="5"/>
        <v>1656216</v>
      </c>
      <c r="S217" s="993">
        <f t="shared" si="5"/>
        <v>0</v>
      </c>
      <c r="T217" s="976"/>
      <c r="U217" s="976"/>
      <c r="V217" s="976"/>
      <c r="W217" s="976"/>
      <c r="X217" s="976"/>
    </row>
    <row r="218" spans="1:24" ht="12.75" customHeight="1">
      <c r="A218" s="977"/>
      <c r="B218" s="991"/>
      <c r="C218" s="991"/>
      <c r="D218" s="994" t="s">
        <v>816</v>
      </c>
      <c r="E218" s="992">
        <f t="shared" si="5"/>
        <v>7144233</v>
      </c>
      <c r="F218" s="992">
        <f t="shared" si="5"/>
        <v>7144233</v>
      </c>
      <c r="G218" s="992">
        <f t="shared" si="5"/>
        <v>225064</v>
      </c>
      <c r="H218" s="992">
        <f t="shared" si="5"/>
        <v>51449</v>
      </c>
      <c r="I218" s="992">
        <f t="shared" si="5"/>
        <v>875957</v>
      </c>
      <c r="J218" s="992">
        <f t="shared" si="5"/>
        <v>1134594</v>
      </c>
      <c r="K218" s="992">
        <f t="shared" si="5"/>
        <v>44546</v>
      </c>
      <c r="L218" s="992">
        <f t="shared" si="5"/>
        <v>79045</v>
      </c>
      <c r="M218" s="992">
        <f t="shared" si="5"/>
        <v>239899</v>
      </c>
      <c r="N218" s="992">
        <f t="shared" si="5"/>
        <v>2099560</v>
      </c>
      <c r="O218" s="992">
        <f t="shared" si="5"/>
        <v>222366</v>
      </c>
      <c r="P218" s="992">
        <f t="shared" si="5"/>
        <v>203380</v>
      </c>
      <c r="Q218" s="992">
        <f t="shared" si="5"/>
        <v>90687</v>
      </c>
      <c r="R218" s="992">
        <f t="shared" si="5"/>
        <v>1677686</v>
      </c>
      <c r="S218" s="993">
        <f t="shared" si="5"/>
        <v>200000</v>
      </c>
      <c r="T218" s="976"/>
      <c r="U218" s="976"/>
      <c r="V218" s="976"/>
      <c r="W218" s="976"/>
      <c r="X218" s="976"/>
    </row>
    <row r="219" spans="1:24" ht="12.75" customHeight="1">
      <c r="A219" s="977"/>
      <c r="B219" s="991"/>
      <c r="C219" s="991"/>
      <c r="D219" s="980" t="s">
        <v>895</v>
      </c>
      <c r="E219" s="992">
        <f t="shared" si="5"/>
        <v>8146662</v>
      </c>
      <c r="F219" s="992">
        <f t="shared" si="5"/>
        <v>8146662</v>
      </c>
      <c r="G219" s="992">
        <f t="shared" si="5"/>
        <v>220793</v>
      </c>
      <c r="H219" s="992">
        <f t="shared" si="5"/>
        <v>49109</v>
      </c>
      <c r="I219" s="992">
        <f t="shared" si="5"/>
        <v>1018951</v>
      </c>
      <c r="J219" s="992">
        <f t="shared" si="5"/>
        <v>1157491</v>
      </c>
      <c r="K219" s="992">
        <f t="shared" si="5"/>
        <v>42467</v>
      </c>
      <c r="L219" s="992">
        <f t="shared" si="5"/>
        <v>27498</v>
      </c>
      <c r="M219" s="992">
        <f t="shared" si="5"/>
        <v>227712</v>
      </c>
      <c r="N219" s="992">
        <f t="shared" si="5"/>
        <v>2161911</v>
      </c>
      <c r="O219" s="992">
        <f t="shared" si="5"/>
        <v>261412</v>
      </c>
      <c r="P219" s="992">
        <f t="shared" si="5"/>
        <v>40380</v>
      </c>
      <c r="Q219" s="992">
        <f t="shared" si="5"/>
        <v>817581</v>
      </c>
      <c r="R219" s="992">
        <f t="shared" si="5"/>
        <v>1701357</v>
      </c>
      <c r="S219" s="992">
        <f t="shared" si="5"/>
        <v>420000</v>
      </c>
      <c r="T219" s="976"/>
      <c r="U219" s="976"/>
      <c r="V219" s="976"/>
      <c r="W219" s="976"/>
      <c r="X219" s="976"/>
    </row>
    <row r="220" spans="1:24" ht="12.75" customHeight="1">
      <c r="A220" s="977"/>
      <c r="B220" s="991"/>
      <c r="C220" s="991"/>
      <c r="D220" s="991"/>
      <c r="E220" s="992"/>
      <c r="F220" s="972"/>
      <c r="G220" s="992"/>
      <c r="H220" s="992"/>
      <c r="I220" s="992"/>
      <c r="J220" s="992"/>
      <c r="K220" s="992"/>
      <c r="L220" s="992"/>
      <c r="M220" s="992"/>
      <c r="N220" s="992"/>
      <c r="O220" s="992"/>
      <c r="P220" s="992"/>
      <c r="Q220" s="992"/>
      <c r="R220" s="992"/>
      <c r="S220" s="983"/>
      <c r="T220" s="976"/>
      <c r="U220" s="976"/>
      <c r="V220" s="976"/>
      <c r="W220" s="976"/>
      <c r="X220" s="976"/>
    </row>
    <row r="221" spans="1:24" ht="12.75" customHeight="1">
      <c r="A221" s="977"/>
      <c r="B221" s="1084" t="s">
        <v>257</v>
      </c>
      <c r="C221" s="1084"/>
      <c r="D221" s="991" t="s">
        <v>4</v>
      </c>
      <c r="E221" s="992">
        <f>SUM(E13+E19+E22+E46+E49+E52+E55+E58+E61+E64+E67+E70+E73+E79+E82+E85+E88+E94+E97+E100+E103+E106+E109+E112+E115+E127+E139+E169+E172+E175+E178+E181+E184+E187+E196+E205)</f>
        <v>4732402</v>
      </c>
      <c r="F221" s="972">
        <f>SUM(G221:R221)</f>
        <v>3877540</v>
      </c>
      <c r="G221" s="992">
        <f aca="true" t="shared" si="6" ref="G221:S223">SUM(G13+G19+G22+G46+G49+G52+G55+G58+G61+G64+G67+G70+G73+G79+G82+G85+G88+G94+G97+G100+G103+G106+G109+G112+G115+G127+G139+G169+G172+G175+G178+G181+G184+G187+G196+G205)</f>
        <v>136525</v>
      </c>
      <c r="H221" s="992">
        <f t="shared" si="6"/>
        <v>18955</v>
      </c>
      <c r="I221" s="992">
        <f t="shared" si="6"/>
        <v>861347</v>
      </c>
      <c r="J221" s="992">
        <f t="shared" si="6"/>
        <v>260527</v>
      </c>
      <c r="K221" s="992">
        <f t="shared" si="6"/>
        <v>39974</v>
      </c>
      <c r="L221" s="992">
        <f t="shared" si="6"/>
        <v>0</v>
      </c>
      <c r="M221" s="992">
        <f t="shared" si="6"/>
        <v>233247</v>
      </c>
      <c r="N221" s="992">
        <f t="shared" si="6"/>
        <v>2151003</v>
      </c>
      <c r="O221" s="992">
        <f t="shared" si="6"/>
        <v>169462</v>
      </c>
      <c r="P221" s="992">
        <f t="shared" si="6"/>
        <v>0</v>
      </c>
      <c r="Q221" s="992">
        <f t="shared" si="6"/>
        <v>6500</v>
      </c>
      <c r="R221" s="992">
        <f t="shared" si="6"/>
        <v>0</v>
      </c>
      <c r="S221" s="993">
        <f t="shared" si="6"/>
        <v>0</v>
      </c>
      <c r="T221" s="976"/>
      <c r="U221" s="976"/>
      <c r="V221" s="976"/>
      <c r="W221" s="976"/>
      <c r="X221" s="976"/>
    </row>
    <row r="222" spans="1:24" ht="12.75" customHeight="1">
      <c r="A222" s="977"/>
      <c r="B222" s="991"/>
      <c r="C222" s="991"/>
      <c r="D222" s="994" t="s">
        <v>816</v>
      </c>
      <c r="E222" s="992">
        <f>SUM(E14+E20+E23+E47+E50+E53+E56+E59+E62+E65+E68+E71+E74+E80+E83+E86+E89+E95+E98+E101+E104+E107+E110+E113+E116+E128+E140+E170+E173+E176+E179+E182+E185+E188+E197+E206)</f>
        <v>4747593</v>
      </c>
      <c r="F222" s="992">
        <f>SUM(F14+F20+F23+F47+F50+F53+F56+F59+F62+F65+F68+F71+F74+F80+F83+F86+F89+F95+F98+F101+F104+F107+F110+F113+F116+F128+F140+F170+F173+F176+F179+F182+F185+F188+F197+F206)</f>
        <v>3925896</v>
      </c>
      <c r="G222" s="992">
        <f t="shared" si="6"/>
        <v>139635</v>
      </c>
      <c r="H222" s="992">
        <f t="shared" si="6"/>
        <v>19711</v>
      </c>
      <c r="I222" s="992">
        <f t="shared" si="6"/>
        <v>764804</v>
      </c>
      <c r="J222" s="992">
        <f t="shared" si="6"/>
        <v>483394</v>
      </c>
      <c r="K222" s="992">
        <f t="shared" si="6"/>
        <v>38973</v>
      </c>
      <c r="L222" s="992">
        <f t="shared" si="6"/>
        <v>0</v>
      </c>
      <c r="M222" s="992">
        <f t="shared" si="6"/>
        <v>238883</v>
      </c>
      <c r="N222" s="992">
        <f t="shared" si="6"/>
        <v>2058263</v>
      </c>
      <c r="O222" s="992">
        <f t="shared" si="6"/>
        <v>182233</v>
      </c>
      <c r="P222" s="992">
        <f t="shared" si="6"/>
        <v>0</v>
      </c>
      <c r="Q222" s="992">
        <f t="shared" si="6"/>
        <v>0</v>
      </c>
      <c r="R222" s="992">
        <f t="shared" si="6"/>
        <v>0</v>
      </c>
      <c r="S222" s="992">
        <f t="shared" si="6"/>
        <v>0</v>
      </c>
      <c r="T222" s="976"/>
      <c r="U222" s="976"/>
      <c r="V222" s="976"/>
      <c r="W222" s="976"/>
      <c r="X222" s="976"/>
    </row>
    <row r="223" spans="1:24" ht="12.75" customHeight="1">
      <c r="A223" s="977"/>
      <c r="B223" s="991"/>
      <c r="C223" s="991"/>
      <c r="D223" s="980" t="s">
        <v>895</v>
      </c>
      <c r="E223" s="992">
        <f>SUM(E15+E21+E24+E48+E51+E54+E57+E60+E63+E66+E69+E72+E75+E81+E84+E87+E90+E96+E99+E102+E105+E108+E111+E114+E117+E129+E141+E171+E174+E177+E180+E183+E186+E189+E198+E207)</f>
        <v>4750129</v>
      </c>
      <c r="F223" s="992">
        <f>SUM(F15+F21+F24+F48+F51+F54+F57+F60+F63+F66+F69+F72+F75+F81+F84+F87+F90+F96+F99+F102+F105+F108+F111+F114+F117+F129+F141+F171+F174+F177+F180+F183+F186+F189+F198+F207)</f>
        <v>3862385</v>
      </c>
      <c r="G223" s="992">
        <f t="shared" si="6"/>
        <v>131646</v>
      </c>
      <c r="H223" s="992">
        <f t="shared" si="6"/>
        <v>17126</v>
      </c>
      <c r="I223" s="992">
        <f t="shared" si="6"/>
        <v>632584</v>
      </c>
      <c r="J223" s="992">
        <f t="shared" si="6"/>
        <v>483694</v>
      </c>
      <c r="K223" s="992">
        <f t="shared" si="6"/>
        <v>36021</v>
      </c>
      <c r="L223" s="992">
        <f t="shared" si="6"/>
        <v>0</v>
      </c>
      <c r="M223" s="992">
        <f t="shared" si="6"/>
        <v>226696</v>
      </c>
      <c r="N223" s="992">
        <f t="shared" si="6"/>
        <v>2130275</v>
      </c>
      <c r="O223" s="992">
        <f t="shared" si="6"/>
        <v>204343</v>
      </c>
      <c r="P223" s="992">
        <f t="shared" si="6"/>
        <v>0</v>
      </c>
      <c r="Q223" s="992">
        <f t="shared" si="6"/>
        <v>0</v>
      </c>
      <c r="R223" s="992">
        <f t="shared" si="6"/>
        <v>0</v>
      </c>
      <c r="S223" s="992">
        <f t="shared" si="6"/>
        <v>0</v>
      </c>
      <c r="T223" s="976"/>
      <c r="U223" s="976"/>
      <c r="V223" s="976"/>
      <c r="W223" s="976"/>
      <c r="X223" s="976"/>
    </row>
    <row r="224" spans="1:24" ht="12.75" customHeight="1">
      <c r="A224" s="977"/>
      <c r="B224" s="991"/>
      <c r="C224" s="991"/>
      <c r="D224" s="991"/>
      <c r="E224" s="992"/>
      <c r="F224" s="972"/>
      <c r="G224" s="992"/>
      <c r="H224" s="992"/>
      <c r="I224" s="992"/>
      <c r="J224" s="992"/>
      <c r="K224" s="992"/>
      <c r="L224" s="992"/>
      <c r="M224" s="992"/>
      <c r="N224" s="992"/>
      <c r="O224" s="992"/>
      <c r="P224" s="992"/>
      <c r="Q224" s="992"/>
      <c r="R224" s="992"/>
      <c r="S224" s="983"/>
      <c r="T224" s="976"/>
      <c r="U224" s="976"/>
      <c r="V224" s="976"/>
      <c r="W224" s="976"/>
      <c r="X224" s="976"/>
    </row>
    <row r="225" spans="1:24" ht="12.75" customHeight="1">
      <c r="A225" s="977"/>
      <c r="B225" s="1084" t="s">
        <v>557</v>
      </c>
      <c r="C225" s="1084"/>
      <c r="D225" s="991" t="s">
        <v>4</v>
      </c>
      <c r="E225" s="992">
        <f>SUM(E16+E25+E28+E31+E34+E76+E91+E118+E121+E124+E130+E133+E136+E142+E145+E148+E151+E154+E157+E160+E163+E166+E190+E193+E199+E202)</f>
        <v>33350</v>
      </c>
      <c r="F225" s="972">
        <f>SUM(G225:R225)</f>
        <v>416916</v>
      </c>
      <c r="G225" s="992">
        <f aca="true" t="shared" si="7" ref="G225:S227">SUM(G16+G25+G28+G31+G34+G76+G91+G118+G121+G124+G130+G133+G136+G142+G145+G148+G151+G154+G157+G160+G163+G166+G190+G193+G199+G202)</f>
        <v>35045</v>
      </c>
      <c r="H225" s="992">
        <f t="shared" si="7"/>
        <v>17043</v>
      </c>
      <c r="I225" s="992">
        <f t="shared" si="7"/>
        <v>54484</v>
      </c>
      <c r="J225" s="992">
        <f t="shared" si="7"/>
        <v>256996</v>
      </c>
      <c r="K225" s="992">
        <f t="shared" si="7"/>
        <v>5500</v>
      </c>
      <c r="L225" s="992">
        <f t="shared" si="7"/>
        <v>0</v>
      </c>
      <c r="M225" s="992">
        <f t="shared" si="7"/>
        <v>0</v>
      </c>
      <c r="N225" s="992">
        <f t="shared" si="7"/>
        <v>0</v>
      </c>
      <c r="O225" s="992">
        <f t="shared" si="7"/>
        <v>24128</v>
      </c>
      <c r="P225" s="992">
        <f t="shared" si="7"/>
        <v>0</v>
      </c>
      <c r="Q225" s="992">
        <f t="shared" si="7"/>
        <v>23720</v>
      </c>
      <c r="R225" s="992">
        <f t="shared" si="7"/>
        <v>0</v>
      </c>
      <c r="S225" s="993">
        <f t="shared" si="7"/>
        <v>0</v>
      </c>
      <c r="T225" s="976"/>
      <c r="U225" s="976"/>
      <c r="V225" s="976"/>
      <c r="W225" s="976"/>
      <c r="X225" s="976"/>
    </row>
    <row r="226" spans="1:24" ht="12.75" customHeight="1">
      <c r="A226" s="977"/>
      <c r="B226" s="991"/>
      <c r="C226" s="991"/>
      <c r="D226" s="994" t="s">
        <v>816</v>
      </c>
      <c r="E226" s="992">
        <f>SUM(E17+E26+E29+E32+E35+E77+E92+E119+E122+E125+E131+E134+E137+E143+E146+E149+E152+E155+E158+E161+E164+E167+E191+E194+E200+E203)</f>
        <v>33350</v>
      </c>
      <c r="F226" s="992">
        <f>SUM(F17+F26+F29+F32+F35+F77+F92+F119+F122+F125+F131+F134+F137+F143+F146+F149+F152+F155+F158+F161+F164+F167+F191+F194+F200+F203)</f>
        <v>431912</v>
      </c>
      <c r="G226" s="992">
        <f t="shared" si="7"/>
        <v>35075</v>
      </c>
      <c r="H226" s="992">
        <f t="shared" si="7"/>
        <v>17043</v>
      </c>
      <c r="I226" s="992">
        <f t="shared" si="7"/>
        <v>53328</v>
      </c>
      <c r="J226" s="992">
        <f t="shared" si="7"/>
        <v>281086</v>
      </c>
      <c r="K226" s="992">
        <f t="shared" si="7"/>
        <v>5573</v>
      </c>
      <c r="L226" s="992">
        <f t="shared" si="7"/>
        <v>0</v>
      </c>
      <c r="M226" s="992">
        <f t="shared" si="7"/>
        <v>0</v>
      </c>
      <c r="N226" s="992">
        <f t="shared" si="7"/>
        <v>54</v>
      </c>
      <c r="O226" s="992">
        <f t="shared" si="7"/>
        <v>39753</v>
      </c>
      <c r="P226" s="992">
        <f t="shared" si="7"/>
        <v>0</v>
      </c>
      <c r="Q226" s="992">
        <f t="shared" si="7"/>
        <v>0</v>
      </c>
      <c r="R226" s="992">
        <f t="shared" si="7"/>
        <v>0</v>
      </c>
      <c r="S226" s="992">
        <f t="shared" si="7"/>
        <v>0</v>
      </c>
      <c r="T226" s="976"/>
      <c r="U226" s="976"/>
      <c r="V226" s="976"/>
      <c r="W226" s="976"/>
      <c r="X226" s="976"/>
    </row>
    <row r="227" spans="1:24" ht="12.75" customHeight="1">
      <c r="A227" s="977"/>
      <c r="B227" s="991"/>
      <c r="C227" s="991"/>
      <c r="D227" s="980" t="s">
        <v>895</v>
      </c>
      <c r="E227" s="992">
        <f>SUM(E18+E27+E30+E33+E36+E78+E93+E120+E123+E126+E132+E135+E138+E144+E147+E150+E153+E156+E159+E162+E165+E168+E192+E195+E201+E204)</f>
        <v>48516</v>
      </c>
      <c r="F227" s="992">
        <f>SUM(F18+F27+F30+F33+F36+F78+F93+F120+F123+F126+F132+F135+F138+F144+F147+F150+F153+F156+F159+F162+F165+F168+F192+F195+F201+F204)</f>
        <v>445952</v>
      </c>
      <c r="G227" s="992">
        <f t="shared" si="7"/>
        <v>36983</v>
      </c>
      <c r="H227" s="992">
        <f t="shared" si="7"/>
        <v>17043</v>
      </c>
      <c r="I227" s="992">
        <f t="shared" si="7"/>
        <v>49390</v>
      </c>
      <c r="J227" s="992">
        <f t="shared" si="7"/>
        <v>278791</v>
      </c>
      <c r="K227" s="992">
        <f t="shared" si="7"/>
        <v>6446</v>
      </c>
      <c r="L227" s="992">
        <f t="shared" si="7"/>
        <v>0</v>
      </c>
      <c r="M227" s="992">
        <f t="shared" si="7"/>
        <v>0</v>
      </c>
      <c r="N227" s="992">
        <f t="shared" si="7"/>
        <v>610</v>
      </c>
      <c r="O227" s="992">
        <f t="shared" si="7"/>
        <v>56689</v>
      </c>
      <c r="P227" s="992">
        <f t="shared" si="7"/>
        <v>0</v>
      </c>
      <c r="Q227" s="992">
        <f t="shared" si="7"/>
        <v>0</v>
      </c>
      <c r="R227" s="992">
        <f t="shared" si="7"/>
        <v>0</v>
      </c>
      <c r="S227" s="992">
        <f t="shared" si="7"/>
        <v>0</v>
      </c>
      <c r="T227" s="976"/>
      <c r="U227" s="976"/>
      <c r="V227" s="976"/>
      <c r="W227" s="976"/>
      <c r="X227" s="976"/>
    </row>
    <row r="228" spans="1:24" ht="12.75" customHeight="1">
      <c r="A228" s="977"/>
      <c r="B228" s="991"/>
      <c r="C228" s="991"/>
      <c r="D228" s="991"/>
      <c r="E228" s="992"/>
      <c r="F228" s="972"/>
      <c r="G228" s="992"/>
      <c r="H228" s="992"/>
      <c r="I228" s="992"/>
      <c r="J228" s="992"/>
      <c r="K228" s="992"/>
      <c r="L228" s="992"/>
      <c r="M228" s="992"/>
      <c r="N228" s="992"/>
      <c r="O228" s="992"/>
      <c r="P228" s="992"/>
      <c r="Q228" s="992"/>
      <c r="R228" s="992"/>
      <c r="S228" s="983"/>
      <c r="T228" s="976"/>
      <c r="U228" s="976"/>
      <c r="V228" s="976"/>
      <c r="W228" s="976"/>
      <c r="X228" s="976"/>
    </row>
    <row r="229" spans="1:24" ht="12.75" customHeight="1">
      <c r="A229" s="977"/>
      <c r="B229" s="1084" t="s">
        <v>558</v>
      </c>
      <c r="C229" s="1084"/>
      <c r="D229" s="991" t="s">
        <v>4</v>
      </c>
      <c r="E229" s="992">
        <f>SUM(E7+E10+E37+E40+E43+E208+E211+E214)</f>
        <v>2158295</v>
      </c>
      <c r="F229" s="972">
        <f>SUM(G229:R229)</f>
        <v>2629591</v>
      </c>
      <c r="G229" s="992">
        <f aca="true" t="shared" si="8" ref="G229:S231">SUM(G7+G10+G37+G40+G43+G208+G211+G214)</f>
        <v>49450</v>
      </c>
      <c r="H229" s="992">
        <f t="shared" si="8"/>
        <v>14695</v>
      </c>
      <c r="I229" s="992">
        <f t="shared" si="8"/>
        <v>59049</v>
      </c>
      <c r="J229" s="992">
        <f t="shared" si="8"/>
        <v>356005</v>
      </c>
      <c r="K229" s="992">
        <f t="shared" si="8"/>
        <v>0</v>
      </c>
      <c r="L229" s="992">
        <f t="shared" si="8"/>
        <v>193800</v>
      </c>
      <c r="M229" s="992">
        <f t="shared" si="8"/>
        <v>1016</v>
      </c>
      <c r="N229" s="992">
        <f t="shared" si="8"/>
        <v>41243</v>
      </c>
      <c r="O229" s="992">
        <f t="shared" si="8"/>
        <v>0</v>
      </c>
      <c r="P229" s="992">
        <f t="shared" si="8"/>
        <v>247117</v>
      </c>
      <c r="Q229" s="992">
        <f t="shared" si="8"/>
        <v>11000</v>
      </c>
      <c r="R229" s="992">
        <f t="shared" si="8"/>
        <v>1656216</v>
      </c>
      <c r="S229" s="993">
        <f t="shared" si="8"/>
        <v>0</v>
      </c>
      <c r="T229" s="976"/>
      <c r="U229" s="976"/>
      <c r="V229" s="976"/>
      <c r="W229" s="976"/>
      <c r="X229" s="976"/>
    </row>
    <row r="230" spans="1:24" ht="12.75" customHeight="1">
      <c r="A230" s="982"/>
      <c r="B230" s="991"/>
      <c r="C230" s="991"/>
      <c r="D230" s="994" t="s">
        <v>816</v>
      </c>
      <c r="E230" s="992">
        <f>SUM(E8+E11+E38+E41+E44+E209+E212+E215)</f>
        <v>2363290</v>
      </c>
      <c r="F230" s="992">
        <f>SUM(F8+F11+F38+F41+F44+F209+F212+F215)</f>
        <v>2786425</v>
      </c>
      <c r="G230" s="992">
        <f t="shared" si="8"/>
        <v>50354</v>
      </c>
      <c r="H230" s="992">
        <f t="shared" si="8"/>
        <v>14695</v>
      </c>
      <c r="I230" s="992">
        <f t="shared" si="8"/>
        <v>57825</v>
      </c>
      <c r="J230" s="992">
        <f t="shared" si="8"/>
        <v>370114</v>
      </c>
      <c r="K230" s="992">
        <f t="shared" si="8"/>
        <v>0</v>
      </c>
      <c r="L230" s="992">
        <f t="shared" si="8"/>
        <v>79045</v>
      </c>
      <c r="M230" s="992">
        <f t="shared" si="8"/>
        <v>1016</v>
      </c>
      <c r="N230" s="992">
        <f t="shared" si="8"/>
        <v>41243</v>
      </c>
      <c r="O230" s="992">
        <f t="shared" si="8"/>
        <v>380</v>
      </c>
      <c r="P230" s="992">
        <f t="shared" si="8"/>
        <v>203380</v>
      </c>
      <c r="Q230" s="992">
        <f t="shared" si="8"/>
        <v>90687</v>
      </c>
      <c r="R230" s="992">
        <f t="shared" si="8"/>
        <v>1677686</v>
      </c>
      <c r="S230" s="992">
        <f t="shared" si="8"/>
        <v>200000</v>
      </c>
      <c r="T230" s="976"/>
      <c r="U230" s="976"/>
      <c r="V230" s="976"/>
      <c r="W230" s="976"/>
      <c r="X230" s="976"/>
    </row>
    <row r="231" spans="1:24" ht="12.75" customHeight="1" thickBot="1">
      <c r="A231" s="995"/>
      <c r="B231" s="987"/>
      <c r="C231" s="996"/>
      <c r="D231" s="997" t="s">
        <v>895</v>
      </c>
      <c r="E231" s="992">
        <f>SUM(E9+E12+E39+E42+E45+E210+E213+E216)</f>
        <v>3348017</v>
      </c>
      <c r="F231" s="992">
        <f>SUM(F9+F12+F39+F42+F45+F210+F213+F216)</f>
        <v>3838325</v>
      </c>
      <c r="G231" s="992">
        <f t="shared" si="8"/>
        <v>52164</v>
      </c>
      <c r="H231" s="992">
        <f t="shared" si="8"/>
        <v>14940</v>
      </c>
      <c r="I231" s="992">
        <f t="shared" si="8"/>
        <v>336977</v>
      </c>
      <c r="J231" s="992">
        <f t="shared" si="8"/>
        <v>395006</v>
      </c>
      <c r="K231" s="992">
        <f t="shared" si="8"/>
        <v>0</v>
      </c>
      <c r="L231" s="992">
        <f>SUM(L9+L12+L39+L42+L45+L210+L213+L216)</f>
        <v>27498</v>
      </c>
      <c r="M231" s="992">
        <f t="shared" si="8"/>
        <v>1016</v>
      </c>
      <c r="N231" s="992">
        <f t="shared" si="8"/>
        <v>31026</v>
      </c>
      <c r="O231" s="992">
        <f t="shared" si="8"/>
        <v>380</v>
      </c>
      <c r="P231" s="992">
        <f t="shared" si="8"/>
        <v>40380</v>
      </c>
      <c r="Q231" s="992">
        <f t="shared" si="8"/>
        <v>817581</v>
      </c>
      <c r="R231" s="992">
        <f t="shared" si="8"/>
        <v>1701357</v>
      </c>
      <c r="S231" s="992">
        <f t="shared" si="8"/>
        <v>420000</v>
      </c>
      <c r="T231" s="976"/>
      <c r="U231" s="976"/>
      <c r="V231" s="976"/>
      <c r="W231" s="976"/>
      <c r="X231" s="976"/>
    </row>
  </sheetData>
  <sheetProtection/>
  <mergeCells count="24">
    <mergeCell ref="S4:S6"/>
    <mergeCell ref="Q4:R4"/>
    <mergeCell ref="R5:R6"/>
    <mergeCell ref="B229:C229"/>
    <mergeCell ref="M4:P4"/>
    <mergeCell ref="G5:G6"/>
    <mergeCell ref="H5:H6"/>
    <mergeCell ref="I5:I6"/>
    <mergeCell ref="K5:K6"/>
    <mergeCell ref="L5:L6"/>
    <mergeCell ref="Q5:Q6"/>
    <mergeCell ref="P5:P6"/>
    <mergeCell ref="M5:M6"/>
    <mergeCell ref="N5:N6"/>
    <mergeCell ref="B225:C225"/>
    <mergeCell ref="B221:C221"/>
    <mergeCell ref="B217:C217"/>
    <mergeCell ref="A4:D6"/>
    <mergeCell ref="B2:P2"/>
    <mergeCell ref="E4:E6"/>
    <mergeCell ref="F4:F6"/>
    <mergeCell ref="G4:L4"/>
    <mergeCell ref="J5:J6"/>
    <mergeCell ref="O5:O6"/>
  </mergeCells>
  <printOptions/>
  <pageMargins left="0.2362204724409449" right="0.2362204724409449" top="0.5905511811023623" bottom="0.7480314960629921" header="0.31496062992125984" footer="0.31496062992125984"/>
  <pageSetup fitToHeight="0" fitToWidth="1" horizontalDpi="600" verticalDpi="600" orientation="landscape" paperSize="9" scale="41" r:id="rId1"/>
  <headerFooter alignWithMargins="0">
    <oddHeader>&amp;L5. melléklet a 21/2015.(X.2.)  önkormányzati rendelethez
5. melléklet az 1/2015.(I.30.) önkormányzati rendelethez</oddHeader>
  </headerFooter>
  <rowBreaks count="2" manualBreakCount="2">
    <brk id="90" max="18" man="1"/>
    <brk id="177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zoomScale="93" zoomScaleNormal="93" zoomScaleSheetLayoutView="100" workbookViewId="0" topLeftCell="A1">
      <selection activeCell="E18" sqref="E18"/>
    </sheetView>
  </sheetViews>
  <sheetFormatPr defaultColWidth="11.625" defaultRowHeight="12.75"/>
  <cols>
    <col min="1" max="1" width="12.75390625" style="101" customWidth="1"/>
    <col min="2" max="2" width="8.00390625" style="105" customWidth="1"/>
    <col min="3" max="3" width="82.75390625" style="101" customWidth="1"/>
    <col min="4" max="4" width="11.00390625" style="102" customWidth="1"/>
    <col min="5" max="5" width="9.25390625" style="103" customWidth="1"/>
    <col min="6" max="6" width="9.00390625" style="101" customWidth="1"/>
    <col min="7" max="7" width="9.75390625" style="101" customWidth="1"/>
    <col min="8" max="8" width="11.125" style="101" customWidth="1"/>
    <col min="9" max="9" width="9.625" style="101" customWidth="1"/>
    <col min="10" max="10" width="9.375" style="101" customWidth="1"/>
    <col min="11" max="12" width="10.125" style="101" customWidth="1"/>
    <col min="13" max="13" width="9.375" style="101" customWidth="1"/>
    <col min="14" max="14" width="9.25390625" style="101" customWidth="1"/>
    <col min="15" max="15" width="10.875" style="104" customWidth="1"/>
    <col min="16" max="16" width="11.25390625" style="101" customWidth="1"/>
    <col min="17" max="18" width="10.875" style="101" customWidth="1"/>
    <col min="19" max="16384" width="11.625" style="154" customWidth="1"/>
  </cols>
  <sheetData>
    <row r="1" spans="2:3" ht="12.75">
      <c r="B1" s="1099"/>
      <c r="C1" s="1099"/>
    </row>
    <row r="3" spans="2:17" ht="14.25">
      <c r="B3" s="1100" t="s">
        <v>22</v>
      </c>
      <c r="C3" s="1100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  <c r="O3" s="1100"/>
      <c r="P3" s="1100"/>
      <c r="Q3" s="106"/>
    </row>
    <row r="4" spans="2:17" ht="15">
      <c r="B4" s="1101"/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  <c r="P4" s="1101"/>
      <c r="Q4" s="107"/>
    </row>
    <row r="5" spans="14:18" ht="13.5" thickBot="1">
      <c r="N5" s="103"/>
      <c r="O5" s="108"/>
      <c r="P5" s="108"/>
      <c r="Q5" s="108"/>
      <c r="R5" s="108" t="s">
        <v>410</v>
      </c>
    </row>
    <row r="6" spans="1:18" ht="12.75" customHeight="1" thickBot="1">
      <c r="A6" s="1096" t="s">
        <v>776</v>
      </c>
      <c r="B6" s="1096"/>
      <c r="C6" s="1096"/>
      <c r="D6" s="1096"/>
      <c r="E6" s="1102" t="s">
        <v>411</v>
      </c>
      <c r="F6" s="1102" t="s">
        <v>412</v>
      </c>
      <c r="G6" s="1103" t="s">
        <v>416</v>
      </c>
      <c r="H6" s="1103"/>
      <c r="I6" s="1103"/>
      <c r="J6" s="1103"/>
      <c r="K6" s="1103"/>
      <c r="L6" s="1103"/>
      <c r="M6" s="1103" t="s">
        <v>417</v>
      </c>
      <c r="N6" s="1103"/>
      <c r="O6" s="1103"/>
      <c r="P6" s="1103"/>
      <c r="Q6" s="1097" t="s">
        <v>381</v>
      </c>
      <c r="R6" s="1097"/>
    </row>
    <row r="7" spans="1:18" ht="12.75" customHeight="1" thickBot="1">
      <c r="A7" s="1096"/>
      <c r="B7" s="1096"/>
      <c r="C7" s="1096"/>
      <c r="D7" s="1096"/>
      <c r="E7" s="1102"/>
      <c r="F7" s="1102"/>
      <c r="G7" s="1094" t="s">
        <v>677</v>
      </c>
      <c r="H7" s="1094" t="s">
        <v>418</v>
      </c>
      <c r="I7" s="1094" t="s">
        <v>534</v>
      </c>
      <c r="J7" s="1094" t="s">
        <v>681</v>
      </c>
      <c r="K7" s="1094" t="s">
        <v>680</v>
      </c>
      <c r="L7" s="1094" t="s">
        <v>801</v>
      </c>
      <c r="M7" s="1092" t="s">
        <v>384</v>
      </c>
      <c r="N7" s="1092" t="s">
        <v>383</v>
      </c>
      <c r="O7" s="1094" t="s">
        <v>698</v>
      </c>
      <c r="P7" s="1093" t="s">
        <v>355</v>
      </c>
      <c r="Q7" s="1093" t="s">
        <v>419</v>
      </c>
      <c r="R7" s="1098" t="s">
        <v>356</v>
      </c>
    </row>
    <row r="8" spans="1:18" ht="39" customHeight="1" thickBot="1">
      <c r="A8" s="1096"/>
      <c r="B8" s="1096"/>
      <c r="C8" s="1096"/>
      <c r="D8" s="1096"/>
      <c r="E8" s="1102"/>
      <c r="F8" s="1102"/>
      <c r="G8" s="1094"/>
      <c r="H8" s="1094"/>
      <c r="I8" s="1094"/>
      <c r="J8" s="1094"/>
      <c r="K8" s="1094"/>
      <c r="L8" s="1094"/>
      <c r="M8" s="1092"/>
      <c r="N8" s="1092"/>
      <c r="O8" s="1094"/>
      <c r="P8" s="1094"/>
      <c r="Q8" s="1094"/>
      <c r="R8" s="1098"/>
    </row>
    <row r="9" spans="1:18" ht="12.75" customHeight="1">
      <c r="A9" s="1095" t="s">
        <v>792</v>
      </c>
      <c r="B9" s="1095"/>
      <c r="C9" s="1095"/>
      <c r="D9" s="805"/>
      <c r="E9" s="806"/>
      <c r="F9" s="806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8"/>
    </row>
    <row r="10" spans="1:18" ht="12.75" customHeight="1">
      <c r="A10" s="809" t="s">
        <v>420</v>
      </c>
      <c r="B10" s="810" t="s">
        <v>17</v>
      </c>
      <c r="C10" s="811" t="s">
        <v>240</v>
      </c>
      <c r="D10" s="812" t="s">
        <v>4</v>
      </c>
      <c r="E10" s="813">
        <v>14935</v>
      </c>
      <c r="F10" s="813">
        <f aca="true" t="shared" si="0" ref="F10:F51">SUM(G10:R10)</f>
        <v>427611</v>
      </c>
      <c r="G10" s="814">
        <v>206015</v>
      </c>
      <c r="H10" s="814">
        <v>61085</v>
      </c>
      <c r="I10" s="814">
        <v>128044</v>
      </c>
      <c r="J10" s="814">
        <v>2000</v>
      </c>
      <c r="K10" s="814"/>
      <c r="L10" s="814"/>
      <c r="M10" s="814"/>
      <c r="N10" s="814">
        <v>30467</v>
      </c>
      <c r="O10" s="814"/>
      <c r="P10" s="814"/>
      <c r="Q10" s="814"/>
      <c r="R10" s="815"/>
    </row>
    <row r="11" spans="1:18" ht="12.75" customHeight="1">
      <c r="A11" s="809"/>
      <c r="B11" s="810"/>
      <c r="C11" s="811"/>
      <c r="D11" s="816" t="s">
        <v>816</v>
      </c>
      <c r="E11" s="813">
        <v>18520</v>
      </c>
      <c r="F11" s="813">
        <f t="shared" si="0"/>
        <v>437230</v>
      </c>
      <c r="G11" s="814">
        <v>212816</v>
      </c>
      <c r="H11" s="814">
        <v>62896</v>
      </c>
      <c r="I11" s="814">
        <v>129451</v>
      </c>
      <c r="J11" s="814">
        <v>953</v>
      </c>
      <c r="K11" s="814"/>
      <c r="L11" s="814"/>
      <c r="M11" s="814"/>
      <c r="N11" s="814">
        <v>31114</v>
      </c>
      <c r="O11" s="814"/>
      <c r="P11" s="814"/>
      <c r="Q11" s="814"/>
      <c r="R11" s="815"/>
    </row>
    <row r="12" spans="1:18" ht="12.75" customHeight="1">
      <c r="A12" s="809"/>
      <c r="B12" s="810"/>
      <c r="C12" s="811"/>
      <c r="D12" s="817" t="s">
        <v>895</v>
      </c>
      <c r="E12" s="813">
        <v>19256</v>
      </c>
      <c r="F12" s="813">
        <f t="shared" si="0"/>
        <v>442081</v>
      </c>
      <c r="G12" s="814">
        <v>217722</v>
      </c>
      <c r="H12" s="814">
        <v>64161</v>
      </c>
      <c r="I12" s="814">
        <v>134653</v>
      </c>
      <c r="J12" s="814">
        <v>1183</v>
      </c>
      <c r="K12" s="814"/>
      <c r="L12" s="814"/>
      <c r="M12" s="814"/>
      <c r="N12" s="814">
        <v>24362</v>
      </c>
      <c r="O12" s="814"/>
      <c r="P12" s="814"/>
      <c r="Q12" s="814"/>
      <c r="R12" s="815"/>
    </row>
    <row r="13" spans="1:18" ht="12" customHeight="1">
      <c r="A13" s="809" t="s">
        <v>420</v>
      </c>
      <c r="B13" s="810" t="s">
        <v>241</v>
      </c>
      <c r="C13" s="811" t="s">
        <v>243</v>
      </c>
      <c r="D13" s="812" t="s">
        <v>4</v>
      </c>
      <c r="E13" s="813"/>
      <c r="F13" s="813">
        <f t="shared" si="0"/>
        <v>44478</v>
      </c>
      <c r="G13" s="814">
        <v>34326</v>
      </c>
      <c r="H13" s="814">
        <v>9152</v>
      </c>
      <c r="I13" s="814">
        <v>1000</v>
      </c>
      <c r="J13" s="814"/>
      <c r="K13" s="814"/>
      <c r="L13" s="814"/>
      <c r="M13" s="814"/>
      <c r="N13" s="814"/>
      <c r="O13" s="814"/>
      <c r="P13" s="814"/>
      <c r="Q13" s="814"/>
      <c r="R13" s="815"/>
    </row>
    <row r="14" spans="1:18" ht="12" customHeight="1">
      <c r="A14" s="809"/>
      <c r="B14" s="810"/>
      <c r="C14" s="811"/>
      <c r="D14" s="817" t="s">
        <v>816</v>
      </c>
      <c r="E14" s="813"/>
      <c r="F14" s="813">
        <f t="shared" si="0"/>
        <v>44478</v>
      </c>
      <c r="G14" s="814">
        <v>34326</v>
      </c>
      <c r="H14" s="814">
        <v>9152</v>
      </c>
      <c r="I14" s="814">
        <v>1000</v>
      </c>
      <c r="J14" s="814"/>
      <c r="K14" s="814"/>
      <c r="L14" s="814"/>
      <c r="M14" s="814"/>
      <c r="N14" s="814"/>
      <c r="O14" s="814"/>
      <c r="P14" s="814"/>
      <c r="Q14" s="814"/>
      <c r="R14" s="815"/>
    </row>
    <row r="15" spans="1:18" ht="12" customHeight="1">
      <c r="A15" s="809"/>
      <c r="B15" s="810"/>
      <c r="C15" s="811"/>
      <c r="D15" s="817" t="s">
        <v>895</v>
      </c>
      <c r="E15" s="813"/>
      <c r="F15" s="813">
        <f t="shared" si="0"/>
        <v>44478</v>
      </c>
      <c r="G15" s="814">
        <v>34326</v>
      </c>
      <c r="H15" s="814">
        <v>9152</v>
      </c>
      <c r="I15" s="814">
        <v>1000</v>
      </c>
      <c r="J15" s="814"/>
      <c r="K15" s="814"/>
      <c r="L15" s="814"/>
      <c r="M15" s="814"/>
      <c r="N15" s="814"/>
      <c r="O15" s="814"/>
      <c r="P15" s="814"/>
      <c r="Q15" s="814"/>
      <c r="R15" s="815"/>
    </row>
    <row r="16" spans="1:18" ht="12" customHeight="1">
      <c r="A16" s="809" t="s">
        <v>420</v>
      </c>
      <c r="B16" s="810" t="s">
        <v>592</v>
      </c>
      <c r="C16" s="811" t="s">
        <v>593</v>
      </c>
      <c r="D16" s="812" t="s">
        <v>4</v>
      </c>
      <c r="E16" s="813">
        <v>4100</v>
      </c>
      <c r="F16" s="813">
        <f t="shared" si="0"/>
        <v>8328</v>
      </c>
      <c r="G16" s="814">
        <v>4923</v>
      </c>
      <c r="H16" s="814">
        <v>1405</v>
      </c>
      <c r="I16" s="814">
        <v>2000</v>
      </c>
      <c r="J16" s="814"/>
      <c r="K16" s="814"/>
      <c r="L16" s="814"/>
      <c r="M16" s="814"/>
      <c r="N16" s="814"/>
      <c r="O16" s="814"/>
      <c r="P16" s="814"/>
      <c r="Q16" s="814"/>
      <c r="R16" s="815"/>
    </row>
    <row r="17" spans="1:18" ht="12.75" customHeight="1">
      <c r="A17" s="809"/>
      <c r="B17" s="810"/>
      <c r="C17" s="811"/>
      <c r="D17" s="817" t="s">
        <v>816</v>
      </c>
      <c r="E17" s="813">
        <v>4100</v>
      </c>
      <c r="F17" s="813">
        <f t="shared" si="0"/>
        <v>8328</v>
      </c>
      <c r="G17" s="814">
        <v>4923</v>
      </c>
      <c r="H17" s="814">
        <v>1405</v>
      </c>
      <c r="I17" s="814">
        <v>2000</v>
      </c>
      <c r="J17" s="814"/>
      <c r="K17" s="814"/>
      <c r="L17" s="814"/>
      <c r="M17" s="814"/>
      <c r="N17" s="814"/>
      <c r="O17" s="814"/>
      <c r="P17" s="814"/>
      <c r="Q17" s="814"/>
      <c r="R17" s="815"/>
    </row>
    <row r="18" spans="1:18" ht="12.75" customHeight="1">
      <c r="A18" s="809"/>
      <c r="B18" s="810"/>
      <c r="C18" s="811"/>
      <c r="D18" s="817" t="s">
        <v>895</v>
      </c>
      <c r="E18" s="813">
        <v>5100</v>
      </c>
      <c r="F18" s="813">
        <f t="shared" si="0"/>
        <v>8328</v>
      </c>
      <c r="G18" s="814">
        <v>4923</v>
      </c>
      <c r="H18" s="814">
        <v>1405</v>
      </c>
      <c r="I18" s="814">
        <v>2000</v>
      </c>
      <c r="J18" s="814"/>
      <c r="K18" s="814"/>
      <c r="L18" s="814"/>
      <c r="M18" s="814"/>
      <c r="N18" s="814"/>
      <c r="O18" s="814"/>
      <c r="P18" s="814"/>
      <c r="Q18" s="814"/>
      <c r="R18" s="815"/>
    </row>
    <row r="19" spans="1:18" ht="12.75" customHeight="1">
      <c r="A19" s="809" t="s">
        <v>420</v>
      </c>
      <c r="B19" s="810" t="s">
        <v>250</v>
      </c>
      <c r="C19" s="811" t="s">
        <v>444</v>
      </c>
      <c r="D19" s="812" t="s">
        <v>4</v>
      </c>
      <c r="E19" s="813">
        <v>607670</v>
      </c>
      <c r="F19" s="813">
        <f t="shared" si="0"/>
        <v>0</v>
      </c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8"/>
    </row>
    <row r="20" spans="1:18" ht="12.75" customHeight="1">
      <c r="A20" s="809"/>
      <c r="B20" s="810"/>
      <c r="C20" s="811"/>
      <c r="D20" s="817" t="s">
        <v>816</v>
      </c>
      <c r="E20" s="813">
        <v>620911</v>
      </c>
      <c r="F20" s="813">
        <f t="shared" si="0"/>
        <v>0</v>
      </c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8"/>
    </row>
    <row r="21" spans="1:18" ht="12.75" customHeight="1">
      <c r="A21" s="809"/>
      <c r="B21" s="810"/>
      <c r="C21" s="811"/>
      <c r="D21" s="817" t="s">
        <v>895</v>
      </c>
      <c r="E21" s="813">
        <v>630178</v>
      </c>
      <c r="F21" s="813">
        <f t="shared" si="0"/>
        <v>0</v>
      </c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8"/>
    </row>
    <row r="22" spans="1:18" ht="12.75" customHeight="1">
      <c r="A22" s="809" t="s">
        <v>427</v>
      </c>
      <c r="B22" s="810" t="s">
        <v>324</v>
      </c>
      <c r="C22" s="811" t="s">
        <v>249</v>
      </c>
      <c r="D22" s="812" t="s">
        <v>4</v>
      </c>
      <c r="E22" s="813"/>
      <c r="F22" s="813">
        <f t="shared" si="0"/>
        <v>21552</v>
      </c>
      <c r="G22" s="814">
        <v>15449</v>
      </c>
      <c r="H22" s="814">
        <v>4001</v>
      </c>
      <c r="I22" s="814">
        <v>2102</v>
      </c>
      <c r="J22" s="814"/>
      <c r="K22" s="814"/>
      <c r="L22" s="814"/>
      <c r="M22" s="814"/>
      <c r="N22" s="814"/>
      <c r="O22" s="814"/>
      <c r="P22" s="814"/>
      <c r="Q22" s="814"/>
      <c r="R22" s="815"/>
    </row>
    <row r="23" spans="1:18" ht="12.75" customHeight="1">
      <c r="A23" s="809"/>
      <c r="B23" s="810"/>
      <c r="C23" s="811"/>
      <c r="D23" s="817" t="s">
        <v>816</v>
      </c>
      <c r="E23" s="813"/>
      <c r="F23" s="813">
        <f t="shared" si="0"/>
        <v>21552</v>
      </c>
      <c r="G23" s="814">
        <v>15449</v>
      </c>
      <c r="H23" s="814">
        <v>4001</v>
      </c>
      <c r="I23" s="814">
        <v>2102</v>
      </c>
      <c r="J23" s="814"/>
      <c r="K23" s="814"/>
      <c r="L23" s="814"/>
      <c r="M23" s="814"/>
      <c r="N23" s="814"/>
      <c r="O23" s="814"/>
      <c r="P23" s="814"/>
      <c r="Q23" s="814"/>
      <c r="R23" s="815"/>
    </row>
    <row r="24" spans="1:18" ht="12.75" customHeight="1">
      <c r="A24" s="809"/>
      <c r="B24" s="810"/>
      <c r="C24" s="811"/>
      <c r="D24" s="817" t="s">
        <v>895</v>
      </c>
      <c r="E24" s="813"/>
      <c r="F24" s="813">
        <f t="shared" si="0"/>
        <v>21552</v>
      </c>
      <c r="G24" s="814">
        <v>15449</v>
      </c>
      <c r="H24" s="814">
        <v>4001</v>
      </c>
      <c r="I24" s="814">
        <v>2102</v>
      </c>
      <c r="J24" s="814"/>
      <c r="K24" s="814"/>
      <c r="L24" s="814"/>
      <c r="M24" s="814"/>
      <c r="N24" s="814"/>
      <c r="O24" s="814"/>
      <c r="P24" s="814"/>
      <c r="Q24" s="814"/>
      <c r="R24" s="815"/>
    </row>
    <row r="25" spans="1:18" ht="12.75" customHeight="1">
      <c r="A25" s="809" t="s">
        <v>420</v>
      </c>
      <c r="B25" s="810" t="s">
        <v>596</v>
      </c>
      <c r="C25" s="811" t="s">
        <v>922</v>
      </c>
      <c r="D25" s="812" t="s">
        <v>4</v>
      </c>
      <c r="E25" s="813"/>
      <c r="F25" s="813">
        <f t="shared" si="0"/>
        <v>31192</v>
      </c>
      <c r="G25" s="814">
        <v>23480</v>
      </c>
      <c r="H25" s="814">
        <v>6346</v>
      </c>
      <c r="I25" s="814">
        <v>1140</v>
      </c>
      <c r="J25" s="814"/>
      <c r="K25" s="814"/>
      <c r="L25" s="814"/>
      <c r="M25" s="814"/>
      <c r="N25" s="814">
        <v>226</v>
      </c>
      <c r="O25" s="814"/>
      <c r="P25" s="814"/>
      <c r="Q25" s="814"/>
      <c r="R25" s="815"/>
    </row>
    <row r="26" spans="1:18" ht="12.75" customHeight="1">
      <c r="A26" s="809"/>
      <c r="B26" s="810"/>
      <c r="C26" s="811"/>
      <c r="D26" s="817" t="s">
        <v>816</v>
      </c>
      <c r="E26" s="813"/>
      <c r="F26" s="813">
        <f t="shared" si="0"/>
        <v>31192</v>
      </c>
      <c r="G26" s="814">
        <v>23480</v>
      </c>
      <c r="H26" s="814">
        <v>6346</v>
      </c>
      <c r="I26" s="814">
        <v>1140</v>
      </c>
      <c r="J26" s="814"/>
      <c r="K26" s="814"/>
      <c r="L26" s="814"/>
      <c r="M26" s="814"/>
      <c r="N26" s="814">
        <v>226</v>
      </c>
      <c r="O26" s="814"/>
      <c r="P26" s="814"/>
      <c r="Q26" s="814"/>
      <c r="R26" s="815"/>
    </row>
    <row r="27" spans="1:18" ht="12.75" customHeight="1">
      <c r="A27" s="809"/>
      <c r="B27" s="810"/>
      <c r="C27" s="811"/>
      <c r="D27" s="817" t="s">
        <v>895</v>
      </c>
      <c r="E27" s="813"/>
      <c r="F27" s="813">
        <f t="shared" si="0"/>
        <v>31192</v>
      </c>
      <c r="G27" s="814">
        <v>23480</v>
      </c>
      <c r="H27" s="814">
        <v>6346</v>
      </c>
      <c r="I27" s="814">
        <v>1140</v>
      </c>
      <c r="J27" s="814"/>
      <c r="K27" s="814"/>
      <c r="L27" s="814"/>
      <c r="M27" s="814"/>
      <c r="N27" s="814">
        <v>226</v>
      </c>
      <c r="O27" s="814"/>
      <c r="P27" s="814"/>
      <c r="Q27" s="814"/>
      <c r="R27" s="815"/>
    </row>
    <row r="28" spans="1:18" ht="12.75" customHeight="1">
      <c r="A28" s="809" t="s">
        <v>427</v>
      </c>
      <c r="B28" s="810" t="s">
        <v>184</v>
      </c>
      <c r="C28" s="811" t="s">
        <v>245</v>
      </c>
      <c r="D28" s="812" t="s">
        <v>4</v>
      </c>
      <c r="E28" s="813">
        <v>990</v>
      </c>
      <c r="F28" s="813">
        <f t="shared" si="0"/>
        <v>1000</v>
      </c>
      <c r="G28" s="819"/>
      <c r="H28" s="819"/>
      <c r="I28" s="819"/>
      <c r="J28" s="819"/>
      <c r="K28" s="819"/>
      <c r="L28" s="819"/>
      <c r="M28" s="819"/>
      <c r="N28" s="819"/>
      <c r="O28" s="819">
        <v>1000</v>
      </c>
      <c r="P28" s="819"/>
      <c r="Q28" s="819"/>
      <c r="R28" s="815"/>
    </row>
    <row r="29" spans="1:18" ht="12.75" customHeight="1">
      <c r="A29" s="809"/>
      <c r="B29" s="810"/>
      <c r="C29" s="811"/>
      <c r="D29" s="817" t="s">
        <v>816</v>
      </c>
      <c r="E29" s="813">
        <v>990</v>
      </c>
      <c r="F29" s="813">
        <f t="shared" si="0"/>
        <v>1000</v>
      </c>
      <c r="G29" s="819"/>
      <c r="H29" s="819"/>
      <c r="I29" s="819"/>
      <c r="J29" s="819"/>
      <c r="K29" s="819"/>
      <c r="L29" s="819"/>
      <c r="M29" s="819"/>
      <c r="N29" s="819"/>
      <c r="O29" s="819">
        <v>1000</v>
      </c>
      <c r="P29" s="819"/>
      <c r="Q29" s="819"/>
      <c r="R29" s="815"/>
    </row>
    <row r="30" spans="1:18" ht="12.75" customHeight="1">
      <c r="A30" s="809"/>
      <c r="B30" s="810"/>
      <c r="C30" s="811"/>
      <c r="D30" s="817" t="s">
        <v>895</v>
      </c>
      <c r="E30" s="813">
        <v>990</v>
      </c>
      <c r="F30" s="813">
        <f t="shared" si="0"/>
        <v>1000</v>
      </c>
      <c r="G30" s="819"/>
      <c r="H30" s="819"/>
      <c r="I30" s="819"/>
      <c r="J30" s="819"/>
      <c r="K30" s="819"/>
      <c r="L30" s="819"/>
      <c r="M30" s="819"/>
      <c r="N30" s="819"/>
      <c r="O30" s="819">
        <v>1000</v>
      </c>
      <c r="P30" s="819"/>
      <c r="Q30" s="819"/>
      <c r="R30" s="815"/>
    </row>
    <row r="31" spans="1:18" ht="12.75" customHeight="1">
      <c r="A31" s="809" t="s">
        <v>420</v>
      </c>
      <c r="B31" s="810" t="s">
        <v>150</v>
      </c>
      <c r="C31" s="811" t="s">
        <v>244</v>
      </c>
      <c r="D31" s="812" t="s">
        <v>4</v>
      </c>
      <c r="E31" s="813"/>
      <c r="F31" s="813">
        <f t="shared" si="0"/>
        <v>63124</v>
      </c>
      <c r="G31" s="819">
        <v>49877</v>
      </c>
      <c r="H31" s="819">
        <v>13247</v>
      </c>
      <c r="I31" s="819"/>
      <c r="J31" s="819"/>
      <c r="K31" s="819"/>
      <c r="L31" s="819"/>
      <c r="M31" s="819"/>
      <c r="N31" s="819"/>
      <c r="O31" s="819"/>
      <c r="P31" s="819"/>
      <c r="Q31" s="819"/>
      <c r="R31" s="815"/>
    </row>
    <row r="32" spans="1:18" ht="12.75" customHeight="1">
      <c r="A32" s="809"/>
      <c r="B32" s="810"/>
      <c r="C32" s="811"/>
      <c r="D32" s="817" t="s">
        <v>816</v>
      </c>
      <c r="E32" s="813"/>
      <c r="F32" s="813">
        <f t="shared" si="0"/>
        <v>63124</v>
      </c>
      <c r="G32" s="819">
        <v>49877</v>
      </c>
      <c r="H32" s="819">
        <v>13247</v>
      </c>
      <c r="I32" s="819"/>
      <c r="J32" s="819"/>
      <c r="K32" s="819"/>
      <c r="L32" s="819"/>
      <c r="M32" s="819"/>
      <c r="N32" s="819"/>
      <c r="O32" s="819"/>
      <c r="P32" s="819"/>
      <c r="Q32" s="819"/>
      <c r="R32" s="815"/>
    </row>
    <row r="33" spans="1:18" ht="12.75" customHeight="1">
      <c r="A33" s="809"/>
      <c r="B33" s="810"/>
      <c r="C33" s="811"/>
      <c r="D33" s="817" t="s">
        <v>895</v>
      </c>
      <c r="E33" s="813"/>
      <c r="F33" s="813">
        <f t="shared" si="0"/>
        <v>63124</v>
      </c>
      <c r="G33" s="819">
        <v>49877</v>
      </c>
      <c r="H33" s="819">
        <v>13247</v>
      </c>
      <c r="I33" s="819"/>
      <c r="J33" s="819"/>
      <c r="K33" s="819"/>
      <c r="L33" s="819"/>
      <c r="M33" s="819"/>
      <c r="N33" s="819"/>
      <c r="O33" s="819"/>
      <c r="P33" s="819"/>
      <c r="Q33" s="819"/>
      <c r="R33" s="815"/>
    </row>
    <row r="34" spans="1:18" ht="12.75" customHeight="1">
      <c r="A34" s="809" t="s">
        <v>427</v>
      </c>
      <c r="B34" s="810" t="s">
        <v>151</v>
      </c>
      <c r="C34" s="811" t="s">
        <v>239</v>
      </c>
      <c r="D34" s="812" t="s">
        <v>4</v>
      </c>
      <c r="E34" s="813">
        <v>2025</v>
      </c>
      <c r="F34" s="813">
        <f t="shared" si="0"/>
        <v>5480</v>
      </c>
      <c r="G34" s="819">
        <v>1200</v>
      </c>
      <c r="H34" s="819">
        <v>325</v>
      </c>
      <c r="I34" s="819">
        <v>3005</v>
      </c>
      <c r="J34" s="819"/>
      <c r="K34" s="819"/>
      <c r="L34" s="819"/>
      <c r="M34" s="819"/>
      <c r="N34" s="819">
        <v>950</v>
      </c>
      <c r="O34" s="819"/>
      <c r="P34" s="819"/>
      <c r="Q34" s="819"/>
      <c r="R34" s="815"/>
    </row>
    <row r="35" spans="1:18" ht="12.75" customHeight="1">
      <c r="A35" s="809"/>
      <c r="B35" s="810"/>
      <c r="C35" s="811"/>
      <c r="D35" s="817" t="s">
        <v>816</v>
      </c>
      <c r="E35" s="813">
        <v>2025</v>
      </c>
      <c r="F35" s="813">
        <f t="shared" si="0"/>
        <v>5480</v>
      </c>
      <c r="G35" s="819">
        <v>1200</v>
      </c>
      <c r="H35" s="819">
        <v>325</v>
      </c>
      <c r="I35" s="819">
        <v>3005</v>
      </c>
      <c r="J35" s="819"/>
      <c r="K35" s="819"/>
      <c r="L35" s="819"/>
      <c r="M35" s="819"/>
      <c r="N35" s="819">
        <v>950</v>
      </c>
      <c r="O35" s="819"/>
      <c r="P35" s="819"/>
      <c r="Q35" s="819"/>
      <c r="R35" s="815"/>
    </row>
    <row r="36" spans="1:18" ht="12.75" customHeight="1">
      <c r="A36" s="809"/>
      <c r="B36" s="810"/>
      <c r="C36" s="811"/>
      <c r="D36" s="817" t="s">
        <v>895</v>
      </c>
      <c r="E36" s="813">
        <v>2025</v>
      </c>
      <c r="F36" s="813">
        <f t="shared" si="0"/>
        <v>6001</v>
      </c>
      <c r="G36" s="819">
        <v>1200</v>
      </c>
      <c r="H36" s="819">
        <v>325</v>
      </c>
      <c r="I36" s="819">
        <v>3526</v>
      </c>
      <c r="J36" s="819"/>
      <c r="K36" s="819"/>
      <c r="L36" s="819"/>
      <c r="M36" s="819"/>
      <c r="N36" s="819">
        <v>950</v>
      </c>
      <c r="O36" s="819"/>
      <c r="P36" s="819"/>
      <c r="Q36" s="819"/>
      <c r="R36" s="815"/>
    </row>
    <row r="37" spans="1:18" ht="12.75" customHeight="1">
      <c r="A37" s="809" t="s">
        <v>424</v>
      </c>
      <c r="B37" s="810" t="s">
        <v>246</v>
      </c>
      <c r="C37" s="811" t="s">
        <v>518</v>
      </c>
      <c r="D37" s="812" t="s">
        <v>4</v>
      </c>
      <c r="E37" s="813"/>
      <c r="F37" s="813">
        <f t="shared" si="0"/>
        <v>10500</v>
      </c>
      <c r="G37" s="814"/>
      <c r="H37" s="814"/>
      <c r="I37" s="814"/>
      <c r="J37" s="814"/>
      <c r="K37" s="814">
        <v>10500</v>
      </c>
      <c r="L37" s="814"/>
      <c r="M37" s="814"/>
      <c r="N37" s="814"/>
      <c r="O37" s="814"/>
      <c r="P37" s="814"/>
      <c r="Q37" s="814"/>
      <c r="R37" s="815"/>
    </row>
    <row r="38" spans="1:18" ht="12.75" customHeight="1">
      <c r="A38" s="809"/>
      <c r="B38" s="810"/>
      <c r="C38" s="811"/>
      <c r="D38" s="817" t="s">
        <v>816</v>
      </c>
      <c r="E38" s="813"/>
      <c r="F38" s="813">
        <f t="shared" si="0"/>
        <v>10500</v>
      </c>
      <c r="G38" s="814"/>
      <c r="H38" s="814"/>
      <c r="I38" s="814"/>
      <c r="J38" s="814"/>
      <c r="K38" s="814">
        <v>10500</v>
      </c>
      <c r="L38" s="814"/>
      <c r="M38" s="814"/>
      <c r="N38" s="814"/>
      <c r="O38" s="814"/>
      <c r="P38" s="814"/>
      <c r="Q38" s="814"/>
      <c r="R38" s="815"/>
    </row>
    <row r="39" spans="1:18" ht="12.75" customHeight="1">
      <c r="A39" s="809"/>
      <c r="B39" s="810"/>
      <c r="C39" s="811"/>
      <c r="D39" s="817" t="s">
        <v>895</v>
      </c>
      <c r="E39" s="813"/>
      <c r="F39" s="813">
        <f t="shared" si="0"/>
        <v>10508</v>
      </c>
      <c r="G39" s="814"/>
      <c r="H39" s="814"/>
      <c r="I39" s="814"/>
      <c r="J39" s="814"/>
      <c r="K39" s="814">
        <v>10508</v>
      </c>
      <c r="L39" s="814"/>
      <c r="M39" s="814"/>
      <c r="N39" s="814"/>
      <c r="O39" s="814"/>
      <c r="P39" s="814"/>
      <c r="Q39" s="814"/>
      <c r="R39" s="815"/>
    </row>
    <row r="40" spans="1:18" ht="12.75" customHeight="1">
      <c r="A40" s="809" t="s">
        <v>424</v>
      </c>
      <c r="B40" s="810" t="s">
        <v>247</v>
      </c>
      <c r="C40" s="811" t="s">
        <v>522</v>
      </c>
      <c r="D40" s="812" t="s">
        <v>4</v>
      </c>
      <c r="E40" s="813"/>
      <c r="F40" s="813">
        <f t="shared" si="0"/>
        <v>3612</v>
      </c>
      <c r="G40" s="814"/>
      <c r="H40" s="814"/>
      <c r="I40" s="814"/>
      <c r="J40" s="814"/>
      <c r="K40" s="814">
        <v>3612</v>
      </c>
      <c r="L40" s="814"/>
      <c r="M40" s="814"/>
      <c r="N40" s="814"/>
      <c r="O40" s="814"/>
      <c r="P40" s="814"/>
      <c r="Q40" s="814"/>
      <c r="R40" s="815"/>
    </row>
    <row r="41" spans="1:18" ht="12.75" customHeight="1">
      <c r="A41" s="809"/>
      <c r="B41" s="810"/>
      <c r="C41" s="811"/>
      <c r="D41" s="817" t="s">
        <v>816</v>
      </c>
      <c r="E41" s="813"/>
      <c r="F41" s="813">
        <f t="shared" si="0"/>
        <v>10807</v>
      </c>
      <c r="G41" s="814"/>
      <c r="H41" s="814"/>
      <c r="I41" s="814"/>
      <c r="J41" s="814"/>
      <c r="K41" s="814">
        <v>10807</v>
      </c>
      <c r="L41" s="814"/>
      <c r="M41" s="814"/>
      <c r="N41" s="814"/>
      <c r="O41" s="814"/>
      <c r="P41" s="814"/>
      <c r="Q41" s="814"/>
      <c r="R41" s="815"/>
    </row>
    <row r="42" spans="1:18" ht="12.75" customHeight="1">
      <c r="A42" s="809"/>
      <c r="B42" s="810"/>
      <c r="C42" s="811"/>
      <c r="D42" s="817" t="s">
        <v>895</v>
      </c>
      <c r="E42" s="813"/>
      <c r="F42" s="813">
        <f t="shared" si="0"/>
        <v>12979</v>
      </c>
      <c r="G42" s="814"/>
      <c r="H42" s="814"/>
      <c r="I42" s="814"/>
      <c r="J42" s="814"/>
      <c r="K42" s="814">
        <v>12979</v>
      </c>
      <c r="L42" s="814"/>
      <c r="M42" s="814"/>
      <c r="N42" s="814"/>
      <c r="O42" s="814"/>
      <c r="P42" s="814"/>
      <c r="Q42" s="814"/>
      <c r="R42" s="815"/>
    </row>
    <row r="43" spans="1:18" ht="12.75" customHeight="1">
      <c r="A43" s="809" t="s">
        <v>427</v>
      </c>
      <c r="B43" s="810" t="s">
        <v>248</v>
      </c>
      <c r="C43" s="811" t="s">
        <v>524</v>
      </c>
      <c r="D43" s="812" t="s">
        <v>4</v>
      </c>
      <c r="E43" s="813"/>
      <c r="F43" s="813">
        <f t="shared" si="0"/>
        <v>907</v>
      </c>
      <c r="G43" s="814">
        <v>600</v>
      </c>
      <c r="H43" s="814">
        <v>307</v>
      </c>
      <c r="I43" s="814"/>
      <c r="J43" s="814"/>
      <c r="K43" s="814"/>
      <c r="L43" s="814"/>
      <c r="M43" s="814"/>
      <c r="N43" s="814"/>
      <c r="O43" s="814"/>
      <c r="P43" s="814"/>
      <c r="Q43" s="814"/>
      <c r="R43" s="815"/>
    </row>
    <row r="44" spans="1:18" ht="12.75" customHeight="1">
      <c r="A44" s="809"/>
      <c r="B44" s="810"/>
      <c r="C44" s="811"/>
      <c r="D44" s="817" t="s">
        <v>816</v>
      </c>
      <c r="E44" s="813"/>
      <c r="F44" s="813">
        <f t="shared" si="0"/>
        <v>907</v>
      </c>
      <c r="G44" s="814">
        <v>600</v>
      </c>
      <c r="H44" s="814">
        <v>307</v>
      </c>
      <c r="I44" s="814"/>
      <c r="J44" s="814"/>
      <c r="K44" s="814"/>
      <c r="L44" s="814"/>
      <c r="M44" s="814"/>
      <c r="N44" s="814"/>
      <c r="O44" s="814"/>
      <c r="P44" s="814"/>
      <c r="Q44" s="814"/>
      <c r="R44" s="815"/>
    </row>
    <row r="45" spans="1:18" ht="12.75" customHeight="1">
      <c r="A45" s="809"/>
      <c r="B45" s="810"/>
      <c r="C45" s="811"/>
      <c r="D45" s="817" t="s">
        <v>895</v>
      </c>
      <c r="E45" s="813"/>
      <c r="F45" s="813">
        <f t="shared" si="0"/>
        <v>907</v>
      </c>
      <c r="G45" s="814">
        <v>600</v>
      </c>
      <c r="H45" s="814">
        <v>307</v>
      </c>
      <c r="I45" s="814"/>
      <c r="J45" s="814"/>
      <c r="K45" s="814"/>
      <c r="L45" s="814"/>
      <c r="M45" s="814"/>
      <c r="N45" s="814"/>
      <c r="O45" s="814"/>
      <c r="P45" s="814"/>
      <c r="Q45" s="814"/>
      <c r="R45" s="815"/>
    </row>
    <row r="46" spans="1:18" ht="12.75" customHeight="1">
      <c r="A46" s="809" t="s">
        <v>424</v>
      </c>
      <c r="B46" s="810" t="s">
        <v>594</v>
      </c>
      <c r="C46" s="811" t="s">
        <v>595</v>
      </c>
      <c r="D46" s="812" t="s">
        <v>4</v>
      </c>
      <c r="E46" s="813"/>
      <c r="F46" s="813">
        <f t="shared" si="0"/>
        <v>11936</v>
      </c>
      <c r="G46" s="814">
        <v>9400</v>
      </c>
      <c r="H46" s="814">
        <v>2536</v>
      </c>
      <c r="I46" s="814"/>
      <c r="J46" s="814"/>
      <c r="K46" s="814"/>
      <c r="L46" s="814"/>
      <c r="M46" s="814"/>
      <c r="N46" s="814"/>
      <c r="O46" s="814"/>
      <c r="P46" s="814"/>
      <c r="Q46" s="814"/>
      <c r="R46" s="815"/>
    </row>
    <row r="47" spans="1:18" ht="12.75" customHeight="1">
      <c r="A47" s="809"/>
      <c r="B47" s="810"/>
      <c r="C47" s="811"/>
      <c r="D47" s="817" t="s">
        <v>816</v>
      </c>
      <c r="E47" s="813"/>
      <c r="F47" s="813">
        <f t="shared" si="0"/>
        <v>11936</v>
      </c>
      <c r="G47" s="814">
        <v>9400</v>
      </c>
      <c r="H47" s="814">
        <v>2536</v>
      </c>
      <c r="I47" s="814"/>
      <c r="J47" s="814"/>
      <c r="K47" s="814"/>
      <c r="L47" s="814"/>
      <c r="M47" s="814"/>
      <c r="N47" s="814"/>
      <c r="O47" s="814"/>
      <c r="P47" s="814"/>
      <c r="Q47" s="814"/>
      <c r="R47" s="815"/>
    </row>
    <row r="48" spans="1:18" ht="12.75" customHeight="1">
      <c r="A48" s="809"/>
      <c r="B48" s="810"/>
      <c r="C48" s="820"/>
      <c r="D48" s="817" t="s">
        <v>895</v>
      </c>
      <c r="E48" s="821"/>
      <c r="F48" s="813">
        <f t="shared" si="0"/>
        <v>11936</v>
      </c>
      <c r="G48" s="814">
        <v>9400</v>
      </c>
      <c r="H48" s="814">
        <v>2536</v>
      </c>
      <c r="I48" s="814"/>
      <c r="J48" s="814"/>
      <c r="K48" s="814"/>
      <c r="L48" s="814"/>
      <c r="M48" s="814"/>
      <c r="N48" s="814"/>
      <c r="O48" s="814"/>
      <c r="P48" s="814"/>
      <c r="Q48" s="814"/>
      <c r="R48" s="815"/>
    </row>
    <row r="49" spans="1:18" ht="12.75" customHeight="1">
      <c r="A49" s="809" t="s">
        <v>424</v>
      </c>
      <c r="B49" s="810" t="s">
        <v>885</v>
      </c>
      <c r="C49" s="820" t="s">
        <v>886</v>
      </c>
      <c r="D49" s="817" t="s">
        <v>4</v>
      </c>
      <c r="E49" s="821"/>
      <c r="F49" s="813">
        <f t="shared" si="0"/>
        <v>0</v>
      </c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5"/>
    </row>
    <row r="50" spans="1:18" ht="12.75" customHeight="1">
      <c r="A50" s="809"/>
      <c r="B50" s="810"/>
      <c r="C50" s="820"/>
      <c r="D50" s="817" t="s">
        <v>816</v>
      </c>
      <c r="E50" s="821"/>
      <c r="F50" s="813">
        <f t="shared" si="0"/>
        <v>12</v>
      </c>
      <c r="G50" s="814"/>
      <c r="H50" s="814"/>
      <c r="I50" s="814"/>
      <c r="J50" s="814"/>
      <c r="K50" s="814">
        <v>12</v>
      </c>
      <c r="L50" s="814"/>
      <c r="M50" s="814"/>
      <c r="N50" s="814"/>
      <c r="O50" s="814"/>
      <c r="P50" s="814"/>
      <c r="Q50" s="814"/>
      <c r="R50" s="815"/>
    </row>
    <row r="51" spans="1:18" ht="12.75" customHeight="1">
      <c r="A51" s="809"/>
      <c r="B51" s="810"/>
      <c r="C51" s="820"/>
      <c r="D51" s="817" t="s">
        <v>895</v>
      </c>
      <c r="E51" s="821"/>
      <c r="F51" s="813">
        <f t="shared" si="0"/>
        <v>3463</v>
      </c>
      <c r="G51" s="814"/>
      <c r="H51" s="814"/>
      <c r="I51" s="814"/>
      <c r="J51" s="814"/>
      <c r="K51" s="814">
        <v>3463</v>
      </c>
      <c r="L51" s="814"/>
      <c r="M51" s="814"/>
      <c r="N51" s="814"/>
      <c r="O51" s="814"/>
      <c r="P51" s="814"/>
      <c r="Q51" s="814"/>
      <c r="R51" s="815"/>
    </row>
    <row r="52" spans="1:18" ht="12" customHeight="1">
      <c r="A52" s="1090" t="s">
        <v>793</v>
      </c>
      <c r="B52" s="1090"/>
      <c r="C52" s="1090"/>
      <c r="D52" s="805" t="s">
        <v>4</v>
      </c>
      <c r="E52" s="813">
        <f aca="true" t="shared" si="1" ref="E52:R53">(E10+E13+E16+E19+E22+E25+E28+E31+E34+E37+E40+E43+E46)</f>
        <v>629720</v>
      </c>
      <c r="F52" s="813">
        <f t="shared" si="1"/>
        <v>629720</v>
      </c>
      <c r="G52" s="813">
        <f t="shared" si="1"/>
        <v>345270</v>
      </c>
      <c r="H52" s="813">
        <f t="shared" si="1"/>
        <v>98404</v>
      </c>
      <c r="I52" s="813">
        <f t="shared" si="1"/>
        <v>137291</v>
      </c>
      <c r="J52" s="813">
        <f t="shared" si="1"/>
        <v>2000</v>
      </c>
      <c r="K52" s="813">
        <f t="shared" si="1"/>
        <v>14112</v>
      </c>
      <c r="L52" s="813">
        <f t="shared" si="1"/>
        <v>0</v>
      </c>
      <c r="M52" s="813">
        <f t="shared" si="1"/>
        <v>0</v>
      </c>
      <c r="N52" s="813">
        <f t="shared" si="1"/>
        <v>31643</v>
      </c>
      <c r="O52" s="813">
        <f t="shared" si="1"/>
        <v>1000</v>
      </c>
      <c r="P52" s="813">
        <f t="shared" si="1"/>
        <v>0</v>
      </c>
      <c r="Q52" s="813">
        <f t="shared" si="1"/>
        <v>0</v>
      </c>
      <c r="R52" s="823">
        <f t="shared" si="1"/>
        <v>0</v>
      </c>
    </row>
    <row r="53" spans="1:18" ht="12.75" customHeight="1">
      <c r="A53" s="822"/>
      <c r="B53" s="824"/>
      <c r="C53" s="824"/>
      <c r="D53" s="817" t="s">
        <v>816</v>
      </c>
      <c r="E53" s="813">
        <f>(E11+E14+E17+E20+E23+E26+E29+E32+E35+E38+E41+E44+E47)</f>
        <v>646546</v>
      </c>
      <c r="F53" s="813">
        <f>(F11+F14+F17+F20+F23+F26+F29+F32+F35+F38+F41+F44+F47+F50)</f>
        <v>646546</v>
      </c>
      <c r="G53" s="813">
        <f>(G11+G14+G17+G20+G23+G26+G29+G32+G35+G38+G41+G44+G47)</f>
        <v>352071</v>
      </c>
      <c r="H53" s="813">
        <f>(H11+H14+H17+H20+H23+H26+H29+H32+H35+H38+H41+H44+H47)</f>
        <v>100215</v>
      </c>
      <c r="I53" s="813">
        <f>(I11+I14+I17+I20+I23+I26+I29+I32+I35+I38+I41+I44+I47)</f>
        <v>138698</v>
      </c>
      <c r="J53" s="813">
        <f>(J11+J14+J17+J20+J23+J26+J29+J32+J35+J38+J41+J44+J47)</f>
        <v>953</v>
      </c>
      <c r="K53" s="813">
        <f>(K11+K14+K17+K20+K23+K26+K29+K32+K35+K38+K41+K44+K47+K50)</f>
        <v>21319</v>
      </c>
      <c r="L53" s="813">
        <f t="shared" si="1"/>
        <v>0</v>
      </c>
      <c r="M53" s="813">
        <f t="shared" si="1"/>
        <v>0</v>
      </c>
      <c r="N53" s="813">
        <f t="shared" si="1"/>
        <v>32290</v>
      </c>
      <c r="O53" s="813">
        <f t="shared" si="1"/>
        <v>1000</v>
      </c>
      <c r="P53" s="813">
        <f t="shared" si="1"/>
        <v>0</v>
      </c>
      <c r="Q53" s="813">
        <f t="shared" si="1"/>
        <v>0</v>
      </c>
      <c r="R53" s="823">
        <f t="shared" si="1"/>
        <v>0</v>
      </c>
    </row>
    <row r="54" spans="1:18" ht="12.75" customHeight="1">
      <c r="A54" s="822"/>
      <c r="B54" s="824"/>
      <c r="C54" s="824"/>
      <c r="D54" s="817" t="s">
        <v>895</v>
      </c>
      <c r="E54" s="813">
        <v>657549</v>
      </c>
      <c r="F54" s="813">
        <f>(F12+F15+F18+F21+F24+F27+F30+F33+F36+F39+F42+F45+F48+F51)</f>
        <v>657549</v>
      </c>
      <c r="G54" s="813">
        <f aca="true" t="shared" si="2" ref="G54:R54">(G12+G15+G18+G21+G24+G27+G30+G33+G36+G39+G42+G45+G48+G51)</f>
        <v>356977</v>
      </c>
      <c r="H54" s="813">
        <f t="shared" si="2"/>
        <v>101480</v>
      </c>
      <c r="I54" s="813">
        <f t="shared" si="2"/>
        <v>144421</v>
      </c>
      <c r="J54" s="813">
        <f t="shared" si="2"/>
        <v>1183</v>
      </c>
      <c r="K54" s="813">
        <f>(K12+K15+K18+K21+K24+K27+K30+K33+K36+K39+K42+K45+K48+K51)</f>
        <v>26950</v>
      </c>
      <c r="L54" s="813">
        <f t="shared" si="2"/>
        <v>0</v>
      </c>
      <c r="M54" s="813">
        <f t="shared" si="2"/>
        <v>0</v>
      </c>
      <c r="N54" s="813">
        <f t="shared" si="2"/>
        <v>25538</v>
      </c>
      <c r="O54" s="813">
        <f t="shared" si="2"/>
        <v>1000</v>
      </c>
      <c r="P54" s="813">
        <f t="shared" si="2"/>
        <v>0</v>
      </c>
      <c r="Q54" s="813">
        <f t="shared" si="2"/>
        <v>0</v>
      </c>
      <c r="R54" s="823">
        <f t="shared" si="2"/>
        <v>0</v>
      </c>
    </row>
    <row r="55" spans="1:18" ht="12.75" customHeight="1">
      <c r="A55" s="809"/>
      <c r="B55" s="810"/>
      <c r="C55" s="811"/>
      <c r="D55" s="812"/>
      <c r="E55" s="813"/>
      <c r="F55" s="813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814"/>
      <c r="R55" s="815"/>
    </row>
    <row r="56" spans="1:18" ht="12.75" customHeight="1">
      <c r="A56" s="1090" t="s">
        <v>251</v>
      </c>
      <c r="B56" s="1090"/>
      <c r="C56" s="1090"/>
      <c r="D56" s="812"/>
      <c r="E56" s="813"/>
      <c r="F56" s="813"/>
      <c r="G56" s="814"/>
      <c r="H56" s="814"/>
      <c r="I56" s="814"/>
      <c r="J56" s="814"/>
      <c r="K56" s="814"/>
      <c r="L56" s="814"/>
      <c r="M56" s="814"/>
      <c r="N56" s="814"/>
      <c r="O56" s="814"/>
      <c r="P56" s="814"/>
      <c r="Q56" s="814"/>
      <c r="R56" s="815"/>
    </row>
    <row r="57" spans="1:18" ht="12.75" customHeight="1">
      <c r="A57" s="809" t="s">
        <v>420</v>
      </c>
      <c r="B57" s="810" t="s">
        <v>17</v>
      </c>
      <c r="C57" s="811" t="s">
        <v>240</v>
      </c>
      <c r="D57" s="812" t="s">
        <v>4</v>
      </c>
      <c r="E57" s="813">
        <v>9289</v>
      </c>
      <c r="F57" s="813">
        <f aca="true" t="shared" si="3" ref="F57:F68">G57+H57+I57+J57+K57+L57+M57+N57+O57+P57+Q57+R57</f>
        <v>29265</v>
      </c>
      <c r="G57" s="819">
        <v>21629</v>
      </c>
      <c r="H57" s="819">
        <v>5555</v>
      </c>
      <c r="I57" s="819">
        <v>2081</v>
      </c>
      <c r="J57" s="819"/>
      <c r="K57" s="819"/>
      <c r="L57" s="819"/>
      <c r="M57" s="819"/>
      <c r="N57" s="819"/>
      <c r="O57" s="819"/>
      <c r="P57" s="819"/>
      <c r="Q57" s="819"/>
      <c r="R57" s="825"/>
    </row>
    <row r="58" spans="1:18" ht="12.75" customHeight="1">
      <c r="A58" s="809"/>
      <c r="B58" s="810"/>
      <c r="C58" s="811"/>
      <c r="D58" s="817" t="s">
        <v>816</v>
      </c>
      <c r="E58" s="813">
        <v>9391</v>
      </c>
      <c r="F58" s="813">
        <f t="shared" si="3"/>
        <v>29121</v>
      </c>
      <c r="G58" s="819">
        <v>21717</v>
      </c>
      <c r="H58" s="819">
        <v>5577</v>
      </c>
      <c r="I58" s="819">
        <v>1827</v>
      </c>
      <c r="J58" s="819"/>
      <c r="K58" s="819"/>
      <c r="L58" s="819"/>
      <c r="M58" s="819"/>
      <c r="N58" s="819"/>
      <c r="O58" s="819"/>
      <c r="P58" s="819"/>
      <c r="Q58" s="819"/>
      <c r="R58" s="825"/>
    </row>
    <row r="59" spans="1:18" ht="12.75" customHeight="1">
      <c r="A59" s="809"/>
      <c r="B59" s="810"/>
      <c r="C59" s="811"/>
      <c r="D59" s="817" t="s">
        <v>895</v>
      </c>
      <c r="E59" s="813">
        <v>9401</v>
      </c>
      <c r="F59" s="813">
        <f t="shared" si="3"/>
        <v>29197</v>
      </c>
      <c r="G59" s="819">
        <v>20588</v>
      </c>
      <c r="H59" s="819">
        <v>5272</v>
      </c>
      <c r="I59" s="819">
        <v>3337</v>
      </c>
      <c r="J59" s="819"/>
      <c r="K59" s="819"/>
      <c r="L59" s="819"/>
      <c r="M59" s="819"/>
      <c r="N59" s="819"/>
      <c r="O59" s="819"/>
      <c r="P59" s="819"/>
      <c r="Q59" s="819"/>
      <c r="R59" s="825"/>
    </row>
    <row r="60" spans="1:18" ht="12.75" customHeight="1">
      <c r="A60" s="809" t="s">
        <v>424</v>
      </c>
      <c r="B60" s="810" t="s">
        <v>250</v>
      </c>
      <c r="C60" s="811" t="s">
        <v>444</v>
      </c>
      <c r="D60" s="812" t="s">
        <v>4</v>
      </c>
      <c r="E60" s="813">
        <v>20676</v>
      </c>
      <c r="F60" s="813">
        <f t="shared" si="3"/>
        <v>0</v>
      </c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5"/>
    </row>
    <row r="61" spans="1:18" ht="12.75" customHeight="1">
      <c r="A61" s="809"/>
      <c r="B61" s="810"/>
      <c r="C61" s="811"/>
      <c r="D61" s="817" t="s">
        <v>816</v>
      </c>
      <c r="E61" s="813">
        <v>20735</v>
      </c>
      <c r="F61" s="813">
        <f t="shared" si="3"/>
        <v>0</v>
      </c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5"/>
    </row>
    <row r="62" spans="1:18" ht="12.75" customHeight="1">
      <c r="A62" s="809"/>
      <c r="B62" s="810"/>
      <c r="C62" s="811"/>
      <c r="D62" s="817" t="s">
        <v>895</v>
      </c>
      <c r="E62" s="813">
        <v>20801</v>
      </c>
      <c r="F62" s="813">
        <f t="shared" si="3"/>
        <v>0</v>
      </c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5"/>
    </row>
    <row r="63" spans="1:18" ht="12.75" customHeight="1">
      <c r="A63" s="809" t="s">
        <v>424</v>
      </c>
      <c r="B63" s="810" t="s">
        <v>246</v>
      </c>
      <c r="C63" s="811" t="s">
        <v>518</v>
      </c>
      <c r="D63" s="812" t="s">
        <v>4</v>
      </c>
      <c r="E63" s="813"/>
      <c r="F63" s="813">
        <f t="shared" si="3"/>
        <v>576</v>
      </c>
      <c r="G63" s="819"/>
      <c r="H63" s="819"/>
      <c r="I63" s="819"/>
      <c r="J63" s="819"/>
      <c r="K63" s="819">
        <v>576</v>
      </c>
      <c r="L63" s="819"/>
      <c r="M63" s="819"/>
      <c r="N63" s="819"/>
      <c r="O63" s="819"/>
      <c r="P63" s="819"/>
      <c r="Q63" s="819"/>
      <c r="R63" s="825"/>
    </row>
    <row r="64" spans="1:18" ht="12.75" customHeight="1">
      <c r="A64" s="809"/>
      <c r="B64" s="810"/>
      <c r="C64" s="811"/>
      <c r="D64" s="817" t="s">
        <v>816</v>
      </c>
      <c r="E64" s="813"/>
      <c r="F64" s="813">
        <f t="shared" si="3"/>
        <v>723</v>
      </c>
      <c r="G64" s="819"/>
      <c r="H64" s="819"/>
      <c r="I64" s="819"/>
      <c r="J64" s="819"/>
      <c r="K64" s="819">
        <v>723</v>
      </c>
      <c r="L64" s="819"/>
      <c r="M64" s="819"/>
      <c r="N64" s="819"/>
      <c r="O64" s="819"/>
      <c r="P64" s="819"/>
      <c r="Q64" s="819"/>
      <c r="R64" s="825"/>
    </row>
    <row r="65" spans="1:18" ht="12.75" customHeight="1">
      <c r="A65" s="809"/>
      <c r="B65" s="810"/>
      <c r="C65" s="820"/>
      <c r="D65" s="817" t="s">
        <v>895</v>
      </c>
      <c r="E65" s="821"/>
      <c r="F65" s="813">
        <f t="shared" si="3"/>
        <v>723</v>
      </c>
      <c r="G65" s="819"/>
      <c r="H65" s="819"/>
      <c r="I65" s="819"/>
      <c r="J65" s="819"/>
      <c r="K65" s="819">
        <v>723</v>
      </c>
      <c r="L65" s="819"/>
      <c r="M65" s="819"/>
      <c r="N65" s="819"/>
      <c r="O65" s="819"/>
      <c r="P65" s="819"/>
      <c r="Q65" s="819"/>
      <c r="R65" s="825"/>
    </row>
    <row r="66" spans="1:18" ht="12.75" customHeight="1">
      <c r="A66" s="809" t="s">
        <v>424</v>
      </c>
      <c r="B66" s="810" t="s">
        <v>247</v>
      </c>
      <c r="C66" s="811" t="s">
        <v>522</v>
      </c>
      <c r="D66" s="812" t="s">
        <v>4</v>
      </c>
      <c r="E66" s="813"/>
      <c r="F66" s="813">
        <f t="shared" si="3"/>
        <v>124</v>
      </c>
      <c r="G66" s="819"/>
      <c r="H66" s="819"/>
      <c r="I66" s="819"/>
      <c r="J66" s="819"/>
      <c r="K66" s="819">
        <v>124</v>
      </c>
      <c r="L66" s="819"/>
      <c r="M66" s="819"/>
      <c r="N66" s="819"/>
      <c r="O66" s="819"/>
      <c r="P66" s="819"/>
      <c r="Q66" s="819"/>
      <c r="R66" s="815"/>
    </row>
    <row r="67" spans="1:18" ht="12.75" customHeight="1">
      <c r="A67" s="809"/>
      <c r="B67" s="810"/>
      <c r="C67" s="811"/>
      <c r="D67" s="817" t="s">
        <v>816</v>
      </c>
      <c r="E67" s="813"/>
      <c r="F67" s="813">
        <f t="shared" si="3"/>
        <v>282</v>
      </c>
      <c r="G67" s="819"/>
      <c r="H67" s="819"/>
      <c r="I67" s="819"/>
      <c r="J67" s="819"/>
      <c r="K67" s="819">
        <v>282</v>
      </c>
      <c r="L67" s="819"/>
      <c r="M67" s="819"/>
      <c r="N67" s="819"/>
      <c r="O67" s="819"/>
      <c r="P67" s="819"/>
      <c r="Q67" s="819"/>
      <c r="R67" s="815"/>
    </row>
    <row r="68" spans="1:18" ht="12.75" customHeight="1">
      <c r="A68" s="809"/>
      <c r="B68" s="810"/>
      <c r="C68" s="811"/>
      <c r="D68" s="817" t="s">
        <v>895</v>
      </c>
      <c r="E68" s="813"/>
      <c r="F68" s="813">
        <f t="shared" si="3"/>
        <v>282</v>
      </c>
      <c r="G68" s="819"/>
      <c r="H68" s="819"/>
      <c r="I68" s="819"/>
      <c r="J68" s="819"/>
      <c r="K68" s="819">
        <v>282</v>
      </c>
      <c r="L68" s="819"/>
      <c r="M68" s="819"/>
      <c r="N68" s="819"/>
      <c r="O68" s="819"/>
      <c r="P68" s="819"/>
      <c r="Q68" s="819"/>
      <c r="R68" s="815"/>
    </row>
    <row r="69" spans="1:18" ht="12.75" customHeight="1">
      <c r="A69" s="1090" t="s">
        <v>252</v>
      </c>
      <c r="B69" s="1090"/>
      <c r="C69" s="1090"/>
      <c r="D69" s="812" t="s">
        <v>4</v>
      </c>
      <c r="E69" s="813">
        <f aca="true" t="shared" si="4" ref="E69:R71">(E57+E60+E63+E66)</f>
        <v>29965</v>
      </c>
      <c r="F69" s="813">
        <f t="shared" si="4"/>
        <v>29965</v>
      </c>
      <c r="G69" s="813">
        <f t="shared" si="4"/>
        <v>21629</v>
      </c>
      <c r="H69" s="813">
        <f t="shared" si="4"/>
        <v>5555</v>
      </c>
      <c r="I69" s="813">
        <f t="shared" si="4"/>
        <v>2081</v>
      </c>
      <c r="J69" s="813">
        <f t="shared" si="4"/>
        <v>0</v>
      </c>
      <c r="K69" s="813">
        <f t="shared" si="4"/>
        <v>700</v>
      </c>
      <c r="L69" s="813">
        <f t="shared" si="4"/>
        <v>0</v>
      </c>
      <c r="M69" s="813">
        <f t="shared" si="4"/>
        <v>0</v>
      </c>
      <c r="N69" s="813">
        <f t="shared" si="4"/>
        <v>0</v>
      </c>
      <c r="O69" s="813">
        <f t="shared" si="4"/>
        <v>0</v>
      </c>
      <c r="P69" s="813">
        <f t="shared" si="4"/>
        <v>0</v>
      </c>
      <c r="Q69" s="813">
        <f t="shared" si="4"/>
        <v>0</v>
      </c>
      <c r="R69" s="823">
        <f t="shared" si="4"/>
        <v>0</v>
      </c>
    </row>
    <row r="70" spans="1:18" ht="12.75" customHeight="1">
      <c r="A70" s="809"/>
      <c r="B70" s="810"/>
      <c r="C70" s="811"/>
      <c r="D70" s="817" t="s">
        <v>816</v>
      </c>
      <c r="E70" s="813">
        <f t="shared" si="4"/>
        <v>30126</v>
      </c>
      <c r="F70" s="813">
        <f t="shared" si="4"/>
        <v>30126</v>
      </c>
      <c r="G70" s="813">
        <f t="shared" si="4"/>
        <v>21717</v>
      </c>
      <c r="H70" s="813">
        <f t="shared" si="4"/>
        <v>5577</v>
      </c>
      <c r="I70" s="813">
        <f t="shared" si="4"/>
        <v>1827</v>
      </c>
      <c r="J70" s="813">
        <f t="shared" si="4"/>
        <v>0</v>
      </c>
      <c r="K70" s="813">
        <f t="shared" si="4"/>
        <v>1005</v>
      </c>
      <c r="L70" s="813">
        <f t="shared" si="4"/>
        <v>0</v>
      </c>
      <c r="M70" s="813">
        <f t="shared" si="4"/>
        <v>0</v>
      </c>
      <c r="N70" s="813">
        <f t="shared" si="4"/>
        <v>0</v>
      </c>
      <c r="O70" s="813">
        <f t="shared" si="4"/>
        <v>0</v>
      </c>
      <c r="P70" s="813">
        <f t="shared" si="4"/>
        <v>0</v>
      </c>
      <c r="Q70" s="813">
        <f t="shared" si="4"/>
        <v>0</v>
      </c>
      <c r="R70" s="823">
        <f t="shared" si="4"/>
        <v>0</v>
      </c>
    </row>
    <row r="71" spans="1:18" ht="12.75" customHeight="1">
      <c r="A71" s="809"/>
      <c r="B71" s="810"/>
      <c r="C71" s="811"/>
      <c r="D71" s="817" t="s">
        <v>895</v>
      </c>
      <c r="E71" s="813">
        <v>30202</v>
      </c>
      <c r="F71" s="813">
        <f t="shared" si="4"/>
        <v>30202</v>
      </c>
      <c r="G71" s="813">
        <f t="shared" si="4"/>
        <v>20588</v>
      </c>
      <c r="H71" s="813">
        <f t="shared" si="4"/>
        <v>5272</v>
      </c>
      <c r="I71" s="813">
        <f t="shared" si="4"/>
        <v>3337</v>
      </c>
      <c r="J71" s="813">
        <f t="shared" si="4"/>
        <v>0</v>
      </c>
      <c r="K71" s="813">
        <f t="shared" si="4"/>
        <v>1005</v>
      </c>
      <c r="L71" s="813">
        <f t="shared" si="4"/>
        <v>0</v>
      </c>
      <c r="M71" s="813">
        <f t="shared" si="4"/>
        <v>0</v>
      </c>
      <c r="N71" s="813">
        <f t="shared" si="4"/>
        <v>0</v>
      </c>
      <c r="O71" s="813">
        <f t="shared" si="4"/>
        <v>0</v>
      </c>
      <c r="P71" s="813">
        <f t="shared" si="4"/>
        <v>0</v>
      </c>
      <c r="Q71" s="813">
        <f t="shared" si="4"/>
        <v>0</v>
      </c>
      <c r="R71" s="823">
        <f t="shared" si="4"/>
        <v>0</v>
      </c>
    </row>
    <row r="72" spans="1:18" ht="12.75" customHeight="1">
      <c r="A72" s="1090" t="s">
        <v>667</v>
      </c>
      <c r="B72" s="1090"/>
      <c r="C72" s="1090"/>
      <c r="D72" s="812"/>
      <c r="E72" s="813"/>
      <c r="F72" s="813"/>
      <c r="G72" s="819"/>
      <c r="H72" s="819"/>
      <c r="I72" s="819"/>
      <c r="J72" s="819"/>
      <c r="K72" s="813"/>
      <c r="L72" s="813"/>
      <c r="M72" s="813"/>
      <c r="N72" s="819"/>
      <c r="O72" s="819"/>
      <c r="P72" s="819"/>
      <c r="Q72" s="819"/>
      <c r="R72" s="815"/>
    </row>
    <row r="73" spans="1:18" ht="12.75" customHeight="1">
      <c r="A73" s="809" t="s">
        <v>420</v>
      </c>
      <c r="B73" s="810" t="s">
        <v>17</v>
      </c>
      <c r="C73" s="811" t="s">
        <v>240</v>
      </c>
      <c r="D73" s="812" t="s">
        <v>4</v>
      </c>
      <c r="E73" s="813">
        <v>7545</v>
      </c>
      <c r="F73" s="813">
        <f aca="true" t="shared" si="5" ref="F73:F84">G73+H73+I73+J73+K73+L73+M73+N73+O73+P73+Q73+R73</f>
        <v>29062</v>
      </c>
      <c r="G73" s="819">
        <v>19597</v>
      </c>
      <c r="H73" s="819">
        <v>5265</v>
      </c>
      <c r="I73" s="819">
        <v>4200</v>
      </c>
      <c r="J73" s="819"/>
      <c r="K73" s="819"/>
      <c r="L73" s="819"/>
      <c r="M73" s="819"/>
      <c r="N73" s="819"/>
      <c r="O73" s="819"/>
      <c r="P73" s="819"/>
      <c r="Q73" s="819"/>
      <c r="R73" s="815"/>
    </row>
    <row r="74" spans="1:18" ht="12.75" customHeight="1">
      <c r="A74" s="809"/>
      <c r="B74" s="810"/>
      <c r="C74" s="811"/>
      <c r="D74" s="817" t="s">
        <v>816</v>
      </c>
      <c r="E74" s="813">
        <v>7618</v>
      </c>
      <c r="F74" s="813">
        <f t="shared" si="5"/>
        <v>28895</v>
      </c>
      <c r="G74" s="819">
        <v>19711</v>
      </c>
      <c r="H74" s="819">
        <v>5293</v>
      </c>
      <c r="I74" s="819">
        <v>3891</v>
      </c>
      <c r="J74" s="819"/>
      <c r="K74" s="819"/>
      <c r="L74" s="819"/>
      <c r="M74" s="819"/>
      <c r="N74" s="819"/>
      <c r="O74" s="819"/>
      <c r="P74" s="819"/>
      <c r="Q74" s="819"/>
      <c r="R74" s="815"/>
    </row>
    <row r="75" spans="1:18" ht="12.75" customHeight="1">
      <c r="A75" s="809"/>
      <c r="B75" s="810"/>
      <c r="C75" s="811"/>
      <c r="D75" s="817" t="s">
        <v>895</v>
      </c>
      <c r="E75" s="813">
        <v>8288</v>
      </c>
      <c r="F75" s="813">
        <f t="shared" si="5"/>
        <v>29667</v>
      </c>
      <c r="G75" s="819">
        <v>20311</v>
      </c>
      <c r="H75" s="819">
        <v>5455</v>
      </c>
      <c r="I75" s="819">
        <v>3331</v>
      </c>
      <c r="J75" s="819"/>
      <c r="K75" s="819"/>
      <c r="L75" s="819"/>
      <c r="M75" s="819"/>
      <c r="N75" s="819">
        <v>570</v>
      </c>
      <c r="O75" s="819"/>
      <c r="P75" s="819"/>
      <c r="Q75" s="819"/>
      <c r="R75" s="815"/>
    </row>
    <row r="76" spans="1:18" ht="12.75" customHeight="1">
      <c r="A76" s="809" t="s">
        <v>424</v>
      </c>
      <c r="B76" s="810" t="s">
        <v>250</v>
      </c>
      <c r="C76" s="811" t="s">
        <v>444</v>
      </c>
      <c r="D76" s="812" t="s">
        <v>4</v>
      </c>
      <c r="E76" s="813">
        <v>22980</v>
      </c>
      <c r="F76" s="813">
        <f t="shared" si="5"/>
        <v>0</v>
      </c>
      <c r="G76" s="814"/>
      <c r="H76" s="814"/>
      <c r="I76" s="814"/>
      <c r="J76" s="814"/>
      <c r="K76" s="814"/>
      <c r="L76" s="814"/>
      <c r="M76" s="814"/>
      <c r="N76" s="814"/>
      <c r="O76" s="814"/>
      <c r="P76" s="814"/>
      <c r="Q76" s="814"/>
      <c r="R76" s="815"/>
    </row>
    <row r="77" spans="1:18" ht="12.75" customHeight="1">
      <c r="A77" s="809"/>
      <c r="B77" s="810"/>
      <c r="C77" s="811"/>
      <c r="D77" s="817" t="s">
        <v>816</v>
      </c>
      <c r="E77" s="813">
        <v>23071</v>
      </c>
      <c r="F77" s="813">
        <f t="shared" si="5"/>
        <v>0</v>
      </c>
      <c r="G77" s="814"/>
      <c r="H77" s="814"/>
      <c r="I77" s="814"/>
      <c r="J77" s="814"/>
      <c r="K77" s="814"/>
      <c r="L77" s="814"/>
      <c r="M77" s="814"/>
      <c r="N77" s="814"/>
      <c r="O77" s="814"/>
      <c r="P77" s="814"/>
      <c r="Q77" s="814"/>
      <c r="R77" s="815"/>
    </row>
    <row r="78" spans="1:18" ht="12.75" customHeight="1">
      <c r="A78" s="809"/>
      <c r="B78" s="810"/>
      <c r="C78" s="811"/>
      <c r="D78" s="817" t="s">
        <v>895</v>
      </c>
      <c r="E78" s="813">
        <v>23173</v>
      </c>
      <c r="F78" s="813">
        <f t="shared" si="5"/>
        <v>0</v>
      </c>
      <c r="G78" s="814"/>
      <c r="H78" s="814"/>
      <c r="I78" s="814"/>
      <c r="J78" s="814"/>
      <c r="K78" s="814"/>
      <c r="L78" s="814"/>
      <c r="M78" s="814"/>
      <c r="N78" s="814"/>
      <c r="O78" s="814"/>
      <c r="P78" s="814"/>
      <c r="Q78" s="814"/>
      <c r="R78" s="815"/>
    </row>
    <row r="79" spans="1:18" ht="12.75" customHeight="1">
      <c r="A79" s="809" t="s">
        <v>424</v>
      </c>
      <c r="B79" s="810" t="s">
        <v>246</v>
      </c>
      <c r="C79" s="811" t="s">
        <v>518</v>
      </c>
      <c r="D79" s="812" t="s">
        <v>4</v>
      </c>
      <c r="E79" s="813"/>
      <c r="F79" s="813">
        <f t="shared" si="5"/>
        <v>865</v>
      </c>
      <c r="G79" s="819"/>
      <c r="H79" s="819"/>
      <c r="I79" s="819"/>
      <c r="J79" s="819"/>
      <c r="K79" s="819">
        <v>865</v>
      </c>
      <c r="L79" s="819"/>
      <c r="M79" s="819"/>
      <c r="N79" s="819"/>
      <c r="O79" s="819"/>
      <c r="P79" s="819"/>
      <c r="Q79" s="819"/>
      <c r="R79" s="815"/>
    </row>
    <row r="80" spans="1:18" ht="12.75" customHeight="1">
      <c r="A80" s="809"/>
      <c r="B80" s="810"/>
      <c r="C80" s="811"/>
      <c r="D80" s="817" t="s">
        <v>816</v>
      </c>
      <c r="E80" s="813"/>
      <c r="F80" s="813">
        <f t="shared" si="5"/>
        <v>1174</v>
      </c>
      <c r="G80" s="819"/>
      <c r="H80" s="819"/>
      <c r="I80" s="819"/>
      <c r="J80" s="819"/>
      <c r="K80" s="819">
        <v>1174</v>
      </c>
      <c r="L80" s="819"/>
      <c r="M80" s="819"/>
      <c r="N80" s="819"/>
      <c r="O80" s="819"/>
      <c r="P80" s="819"/>
      <c r="Q80" s="819"/>
      <c r="R80" s="815"/>
    </row>
    <row r="81" spans="1:18" ht="12.75" customHeight="1">
      <c r="A81" s="809"/>
      <c r="B81" s="810"/>
      <c r="C81" s="811"/>
      <c r="D81" s="817" t="s">
        <v>895</v>
      </c>
      <c r="E81" s="813"/>
      <c r="F81" s="813">
        <f t="shared" si="5"/>
        <v>1174</v>
      </c>
      <c r="G81" s="819"/>
      <c r="H81" s="819"/>
      <c r="I81" s="819"/>
      <c r="J81" s="819"/>
      <c r="K81" s="819">
        <v>1174</v>
      </c>
      <c r="L81" s="819"/>
      <c r="M81" s="819"/>
      <c r="N81" s="819"/>
      <c r="O81" s="819"/>
      <c r="P81" s="819"/>
      <c r="Q81" s="819"/>
      <c r="R81" s="815"/>
    </row>
    <row r="82" spans="1:18" ht="12.75" customHeight="1">
      <c r="A82" s="809" t="s">
        <v>424</v>
      </c>
      <c r="B82" s="810" t="s">
        <v>247</v>
      </c>
      <c r="C82" s="811" t="s">
        <v>522</v>
      </c>
      <c r="D82" s="812" t="s">
        <v>4</v>
      </c>
      <c r="E82" s="813"/>
      <c r="F82" s="813">
        <f t="shared" si="5"/>
        <v>598</v>
      </c>
      <c r="G82" s="819"/>
      <c r="H82" s="819"/>
      <c r="I82" s="819"/>
      <c r="J82" s="819"/>
      <c r="K82" s="819">
        <v>598</v>
      </c>
      <c r="L82" s="819"/>
      <c r="M82" s="819"/>
      <c r="N82" s="819"/>
      <c r="O82" s="819"/>
      <c r="P82" s="819"/>
      <c r="Q82" s="819"/>
      <c r="R82" s="815"/>
    </row>
    <row r="83" spans="1:18" ht="12.75" customHeight="1">
      <c r="A83" s="809"/>
      <c r="B83" s="810"/>
      <c r="C83" s="811"/>
      <c r="D83" s="817" t="s">
        <v>816</v>
      </c>
      <c r="E83" s="813"/>
      <c r="F83" s="813">
        <f t="shared" si="5"/>
        <v>620</v>
      </c>
      <c r="G83" s="819"/>
      <c r="H83" s="819"/>
      <c r="I83" s="819"/>
      <c r="J83" s="819"/>
      <c r="K83" s="819">
        <v>620</v>
      </c>
      <c r="L83" s="819"/>
      <c r="M83" s="819"/>
      <c r="N83" s="819"/>
      <c r="O83" s="819"/>
      <c r="P83" s="819"/>
      <c r="Q83" s="819"/>
      <c r="R83" s="815"/>
    </row>
    <row r="84" spans="1:18" ht="12.75" customHeight="1">
      <c r="A84" s="809"/>
      <c r="B84" s="810"/>
      <c r="C84" s="811"/>
      <c r="D84" s="817" t="s">
        <v>895</v>
      </c>
      <c r="E84" s="813"/>
      <c r="F84" s="813">
        <f t="shared" si="5"/>
        <v>620</v>
      </c>
      <c r="G84" s="819"/>
      <c r="H84" s="819"/>
      <c r="I84" s="819"/>
      <c r="J84" s="819"/>
      <c r="K84" s="819">
        <v>620</v>
      </c>
      <c r="L84" s="819"/>
      <c r="M84" s="819"/>
      <c r="N84" s="819"/>
      <c r="O84" s="819"/>
      <c r="P84" s="819"/>
      <c r="Q84" s="819"/>
      <c r="R84" s="815"/>
    </row>
    <row r="85" spans="1:18" ht="12.75" customHeight="1">
      <c r="A85" s="1090" t="s">
        <v>253</v>
      </c>
      <c r="B85" s="1090"/>
      <c r="C85" s="1090"/>
      <c r="D85" s="812" t="s">
        <v>4</v>
      </c>
      <c r="E85" s="813">
        <f aca="true" t="shared" si="6" ref="E85:R86">(E73+E76+E79+E82)</f>
        <v>30525</v>
      </c>
      <c r="F85" s="813">
        <f t="shared" si="6"/>
        <v>30525</v>
      </c>
      <c r="G85" s="813">
        <f t="shared" si="6"/>
        <v>19597</v>
      </c>
      <c r="H85" s="813">
        <f t="shared" si="6"/>
        <v>5265</v>
      </c>
      <c r="I85" s="813">
        <f t="shared" si="6"/>
        <v>4200</v>
      </c>
      <c r="J85" s="813">
        <f t="shared" si="6"/>
        <v>0</v>
      </c>
      <c r="K85" s="813">
        <f t="shared" si="6"/>
        <v>1463</v>
      </c>
      <c r="L85" s="813">
        <f t="shared" si="6"/>
        <v>0</v>
      </c>
      <c r="M85" s="813">
        <f t="shared" si="6"/>
        <v>0</v>
      </c>
      <c r="N85" s="813">
        <f t="shared" si="6"/>
        <v>0</v>
      </c>
      <c r="O85" s="813">
        <f t="shared" si="6"/>
        <v>0</v>
      </c>
      <c r="P85" s="813">
        <f t="shared" si="6"/>
        <v>0</v>
      </c>
      <c r="Q85" s="813">
        <f t="shared" si="6"/>
        <v>0</v>
      </c>
      <c r="R85" s="823">
        <f t="shared" si="6"/>
        <v>0</v>
      </c>
    </row>
    <row r="86" spans="1:18" ht="12.75" customHeight="1">
      <c r="A86" s="809"/>
      <c r="B86" s="810"/>
      <c r="C86" s="811"/>
      <c r="D86" s="817" t="s">
        <v>816</v>
      </c>
      <c r="E86" s="813">
        <f t="shared" si="6"/>
        <v>30689</v>
      </c>
      <c r="F86" s="813">
        <f t="shared" si="6"/>
        <v>30689</v>
      </c>
      <c r="G86" s="813">
        <f t="shared" si="6"/>
        <v>19711</v>
      </c>
      <c r="H86" s="813">
        <f t="shared" si="6"/>
        <v>5293</v>
      </c>
      <c r="I86" s="813">
        <f t="shared" si="6"/>
        <v>3891</v>
      </c>
      <c r="J86" s="813">
        <f t="shared" si="6"/>
        <v>0</v>
      </c>
      <c r="K86" s="813">
        <f t="shared" si="6"/>
        <v>1794</v>
      </c>
      <c r="L86" s="813">
        <f t="shared" si="6"/>
        <v>0</v>
      </c>
      <c r="M86" s="813">
        <f t="shared" si="6"/>
        <v>0</v>
      </c>
      <c r="N86" s="813">
        <f>(N74+N77+N80+N83)</f>
        <v>0</v>
      </c>
      <c r="O86" s="813">
        <f t="shared" si="6"/>
        <v>0</v>
      </c>
      <c r="P86" s="813">
        <f t="shared" si="6"/>
        <v>0</v>
      </c>
      <c r="Q86" s="813">
        <f t="shared" si="6"/>
        <v>0</v>
      </c>
      <c r="R86" s="823">
        <f t="shared" si="6"/>
        <v>0</v>
      </c>
    </row>
    <row r="87" spans="1:18" ht="12.75" customHeight="1">
      <c r="A87" s="809"/>
      <c r="B87" s="810"/>
      <c r="C87" s="811"/>
      <c r="D87" s="817" t="s">
        <v>895</v>
      </c>
      <c r="E87" s="813">
        <f aca="true" t="shared" si="7" ref="E87:M87">(E75+E78+E81+E84)</f>
        <v>31461</v>
      </c>
      <c r="F87" s="813">
        <f t="shared" si="7"/>
        <v>31461</v>
      </c>
      <c r="G87" s="813">
        <f t="shared" si="7"/>
        <v>20311</v>
      </c>
      <c r="H87" s="813">
        <f t="shared" si="7"/>
        <v>5455</v>
      </c>
      <c r="I87" s="813">
        <f t="shared" si="7"/>
        <v>3331</v>
      </c>
      <c r="J87" s="813">
        <f t="shared" si="7"/>
        <v>0</v>
      </c>
      <c r="K87" s="813">
        <f t="shared" si="7"/>
        <v>1794</v>
      </c>
      <c r="L87" s="813">
        <f t="shared" si="7"/>
        <v>0</v>
      </c>
      <c r="M87" s="813">
        <f t="shared" si="7"/>
        <v>0</v>
      </c>
      <c r="N87" s="813">
        <f>(N75+N78+N81+N84)</f>
        <v>570</v>
      </c>
      <c r="O87" s="813">
        <f>(O75+O78+O81+O84)</f>
        <v>0</v>
      </c>
      <c r="P87" s="813">
        <f>(P75+P78+P81+P84)</f>
        <v>0</v>
      </c>
      <c r="Q87" s="813">
        <f>(Q75+Q78+Q81+Q84)</f>
        <v>0</v>
      </c>
      <c r="R87" s="813">
        <f>(R75+R78+R81+R84)</f>
        <v>0</v>
      </c>
    </row>
    <row r="88" spans="1:18" ht="12.75" customHeight="1">
      <c r="A88" s="1090" t="s">
        <v>668</v>
      </c>
      <c r="B88" s="1090"/>
      <c r="C88" s="1090"/>
      <c r="D88" s="812"/>
      <c r="E88" s="813"/>
      <c r="F88" s="813"/>
      <c r="G88" s="819"/>
      <c r="H88" s="819"/>
      <c r="I88" s="819"/>
      <c r="J88" s="819"/>
      <c r="K88" s="819"/>
      <c r="L88" s="819"/>
      <c r="M88" s="819"/>
      <c r="N88" s="819"/>
      <c r="O88" s="819"/>
      <c r="P88" s="819"/>
      <c r="Q88" s="819"/>
      <c r="R88" s="815"/>
    </row>
    <row r="89" spans="1:18" ht="12.75" customHeight="1">
      <c r="A89" s="809" t="s">
        <v>420</v>
      </c>
      <c r="B89" s="810" t="s">
        <v>17</v>
      </c>
      <c r="C89" s="811" t="s">
        <v>240</v>
      </c>
      <c r="D89" s="812" t="s">
        <v>4</v>
      </c>
      <c r="E89" s="813">
        <v>3329</v>
      </c>
      <c r="F89" s="813">
        <f aca="true" t="shared" si="8" ref="F89:F100">G89+H89+I89+J89+K89+L89+M89+N89+O89+P89+Q89+R89</f>
        <v>9821</v>
      </c>
      <c r="G89" s="814">
        <v>6228</v>
      </c>
      <c r="H89" s="814">
        <v>1663</v>
      </c>
      <c r="I89" s="814">
        <v>1739</v>
      </c>
      <c r="J89" s="814"/>
      <c r="K89" s="814"/>
      <c r="L89" s="814"/>
      <c r="M89" s="814"/>
      <c r="N89" s="814">
        <v>191</v>
      </c>
      <c r="O89" s="826"/>
      <c r="P89" s="814"/>
      <c r="Q89" s="814"/>
      <c r="R89" s="815"/>
    </row>
    <row r="90" spans="1:18" ht="12.75" customHeight="1">
      <c r="A90" s="809"/>
      <c r="B90" s="810"/>
      <c r="C90" s="811"/>
      <c r="D90" s="817" t="s">
        <v>816</v>
      </c>
      <c r="E90" s="813">
        <v>3329</v>
      </c>
      <c r="F90" s="813">
        <f t="shared" si="8"/>
        <v>9979</v>
      </c>
      <c r="G90" s="814">
        <v>6358</v>
      </c>
      <c r="H90" s="814">
        <v>1691</v>
      </c>
      <c r="I90" s="814">
        <v>1739</v>
      </c>
      <c r="J90" s="814"/>
      <c r="K90" s="814"/>
      <c r="L90" s="814"/>
      <c r="M90" s="814"/>
      <c r="N90" s="814">
        <v>191</v>
      </c>
      <c r="O90" s="826"/>
      <c r="P90" s="814"/>
      <c r="Q90" s="814"/>
      <c r="R90" s="815"/>
    </row>
    <row r="91" spans="1:18" ht="12.75" customHeight="1">
      <c r="A91" s="809"/>
      <c r="B91" s="810"/>
      <c r="C91" s="811"/>
      <c r="D91" s="817" t="s">
        <v>895</v>
      </c>
      <c r="E91" s="813">
        <v>2905</v>
      </c>
      <c r="F91" s="813">
        <f t="shared" si="8"/>
        <v>10161</v>
      </c>
      <c r="G91" s="814">
        <v>6494</v>
      </c>
      <c r="H91" s="814">
        <v>1727</v>
      </c>
      <c r="I91" s="814">
        <v>1749</v>
      </c>
      <c r="J91" s="814"/>
      <c r="K91" s="814"/>
      <c r="L91" s="814"/>
      <c r="M91" s="814"/>
      <c r="N91" s="814">
        <v>191</v>
      </c>
      <c r="O91" s="826"/>
      <c r="P91" s="814"/>
      <c r="Q91" s="814"/>
      <c r="R91" s="815"/>
    </row>
    <row r="92" spans="1:18" ht="12" customHeight="1">
      <c r="A92" s="809" t="s">
        <v>424</v>
      </c>
      <c r="B92" s="810" t="s">
        <v>250</v>
      </c>
      <c r="C92" s="811" t="s">
        <v>444</v>
      </c>
      <c r="D92" s="812" t="s">
        <v>4</v>
      </c>
      <c r="E92" s="813">
        <v>6994</v>
      </c>
      <c r="F92" s="813">
        <f t="shared" si="8"/>
        <v>0</v>
      </c>
      <c r="G92" s="814"/>
      <c r="H92" s="814"/>
      <c r="I92" s="814"/>
      <c r="J92" s="814"/>
      <c r="K92" s="814"/>
      <c r="L92" s="814"/>
      <c r="M92" s="814"/>
      <c r="N92" s="814"/>
      <c r="O92" s="814"/>
      <c r="P92" s="814"/>
      <c r="Q92" s="814"/>
      <c r="R92" s="815"/>
    </row>
    <row r="93" spans="1:18" ht="12" customHeight="1">
      <c r="A93" s="809"/>
      <c r="B93" s="810"/>
      <c r="C93" s="811"/>
      <c r="D93" s="817" t="s">
        <v>816</v>
      </c>
      <c r="E93" s="813">
        <v>7152</v>
      </c>
      <c r="F93" s="813">
        <f t="shared" si="8"/>
        <v>0</v>
      </c>
      <c r="G93" s="814"/>
      <c r="H93" s="814"/>
      <c r="I93" s="814"/>
      <c r="J93" s="814"/>
      <c r="K93" s="814"/>
      <c r="L93" s="814"/>
      <c r="M93" s="814"/>
      <c r="N93" s="814"/>
      <c r="O93" s="814"/>
      <c r="P93" s="814"/>
      <c r="Q93" s="814"/>
      <c r="R93" s="815"/>
    </row>
    <row r="94" spans="1:18" ht="12" customHeight="1">
      <c r="A94" s="809"/>
      <c r="B94" s="810"/>
      <c r="C94" s="811"/>
      <c r="D94" s="817" t="s">
        <v>895</v>
      </c>
      <c r="E94" s="813">
        <v>7324</v>
      </c>
      <c r="F94" s="813">
        <f t="shared" si="8"/>
        <v>0</v>
      </c>
      <c r="G94" s="814"/>
      <c r="H94" s="814"/>
      <c r="I94" s="814"/>
      <c r="J94" s="814"/>
      <c r="K94" s="814"/>
      <c r="L94" s="814"/>
      <c r="M94" s="814"/>
      <c r="N94" s="814"/>
      <c r="O94" s="814"/>
      <c r="P94" s="814"/>
      <c r="Q94" s="814"/>
      <c r="R94" s="815"/>
    </row>
    <row r="95" spans="1:18" ht="12" customHeight="1">
      <c r="A95" s="809" t="s">
        <v>424</v>
      </c>
      <c r="B95" s="810" t="s">
        <v>246</v>
      </c>
      <c r="C95" s="811" t="s">
        <v>518</v>
      </c>
      <c r="D95" s="812" t="s">
        <v>4</v>
      </c>
      <c r="E95" s="813"/>
      <c r="F95" s="813">
        <f t="shared" si="8"/>
        <v>274</v>
      </c>
      <c r="G95" s="814"/>
      <c r="H95" s="814"/>
      <c r="I95" s="814"/>
      <c r="J95" s="814"/>
      <c r="K95" s="814">
        <v>274</v>
      </c>
      <c r="L95" s="814"/>
      <c r="M95" s="814"/>
      <c r="N95" s="814"/>
      <c r="O95" s="814"/>
      <c r="P95" s="814"/>
      <c r="Q95" s="814"/>
      <c r="R95" s="815"/>
    </row>
    <row r="96" spans="1:18" ht="12.75" customHeight="1">
      <c r="A96" s="809"/>
      <c r="B96" s="810"/>
      <c r="C96" s="811"/>
      <c r="D96" s="817" t="s">
        <v>816</v>
      </c>
      <c r="E96" s="813"/>
      <c r="F96" s="813">
        <f t="shared" si="8"/>
        <v>274</v>
      </c>
      <c r="G96" s="814"/>
      <c r="H96" s="814"/>
      <c r="I96" s="814"/>
      <c r="J96" s="814"/>
      <c r="K96" s="814">
        <v>274</v>
      </c>
      <c r="L96" s="814"/>
      <c r="M96" s="814"/>
      <c r="N96" s="814"/>
      <c r="O96" s="814"/>
      <c r="P96" s="814"/>
      <c r="Q96" s="814"/>
      <c r="R96" s="815"/>
    </row>
    <row r="97" spans="1:18" ht="12.75" customHeight="1">
      <c r="A97" s="809"/>
      <c r="B97" s="810"/>
      <c r="C97" s="811"/>
      <c r="D97" s="817" t="s">
        <v>895</v>
      </c>
      <c r="E97" s="813"/>
      <c r="F97" s="813">
        <f t="shared" si="8"/>
        <v>68</v>
      </c>
      <c r="G97" s="814"/>
      <c r="H97" s="814"/>
      <c r="I97" s="814"/>
      <c r="J97" s="814"/>
      <c r="K97" s="814">
        <v>68</v>
      </c>
      <c r="L97" s="814"/>
      <c r="M97" s="814"/>
      <c r="N97" s="814"/>
      <c r="O97" s="814"/>
      <c r="P97" s="814"/>
      <c r="Q97" s="814"/>
      <c r="R97" s="815"/>
    </row>
    <row r="98" spans="1:18" ht="12.75" customHeight="1">
      <c r="A98" s="809" t="s">
        <v>424</v>
      </c>
      <c r="B98" s="810" t="s">
        <v>247</v>
      </c>
      <c r="C98" s="811" t="s">
        <v>522</v>
      </c>
      <c r="D98" s="812" t="s">
        <v>4</v>
      </c>
      <c r="E98" s="813"/>
      <c r="F98" s="813">
        <f t="shared" si="8"/>
        <v>228</v>
      </c>
      <c r="G98" s="814"/>
      <c r="H98" s="814"/>
      <c r="I98" s="814"/>
      <c r="J98" s="814"/>
      <c r="K98" s="814">
        <v>228</v>
      </c>
      <c r="L98" s="814"/>
      <c r="M98" s="814"/>
      <c r="N98" s="814"/>
      <c r="O98" s="814"/>
      <c r="P98" s="814"/>
      <c r="Q98" s="814"/>
      <c r="R98" s="815"/>
    </row>
    <row r="99" spans="1:18" ht="12.75" customHeight="1">
      <c r="A99" s="809"/>
      <c r="B99" s="810"/>
      <c r="C99" s="811"/>
      <c r="D99" s="817" t="s">
        <v>816</v>
      </c>
      <c r="E99" s="813"/>
      <c r="F99" s="813">
        <f t="shared" si="8"/>
        <v>228</v>
      </c>
      <c r="G99" s="814"/>
      <c r="H99" s="814"/>
      <c r="I99" s="814"/>
      <c r="J99" s="814"/>
      <c r="K99" s="814">
        <v>228</v>
      </c>
      <c r="L99" s="814"/>
      <c r="M99" s="814"/>
      <c r="N99" s="814"/>
      <c r="O99" s="814"/>
      <c r="P99" s="814"/>
      <c r="Q99" s="814"/>
      <c r="R99" s="815"/>
    </row>
    <row r="100" spans="1:18" ht="12.75" customHeight="1">
      <c r="A100" s="809"/>
      <c r="B100" s="810"/>
      <c r="C100" s="811"/>
      <c r="D100" s="817" t="s">
        <v>895</v>
      </c>
      <c r="E100" s="813"/>
      <c r="F100" s="813">
        <f t="shared" si="8"/>
        <v>0</v>
      </c>
      <c r="G100" s="814"/>
      <c r="H100" s="814"/>
      <c r="I100" s="814"/>
      <c r="J100" s="814"/>
      <c r="K100" s="814">
        <v>0</v>
      </c>
      <c r="L100" s="814"/>
      <c r="M100" s="814"/>
      <c r="N100" s="814"/>
      <c r="O100" s="814"/>
      <c r="P100" s="814"/>
      <c r="Q100" s="814"/>
      <c r="R100" s="815"/>
    </row>
    <row r="101" spans="1:18" ht="12.75" customHeight="1">
      <c r="A101" s="1090" t="s">
        <v>254</v>
      </c>
      <c r="B101" s="1090"/>
      <c r="C101" s="1090"/>
      <c r="D101" s="812" t="s">
        <v>4</v>
      </c>
      <c r="E101" s="813">
        <f aca="true" t="shared" si="9" ref="E101:R103">(E89+E92+E95+E98)</f>
        <v>10323</v>
      </c>
      <c r="F101" s="813">
        <f t="shared" si="9"/>
        <v>10323</v>
      </c>
      <c r="G101" s="813">
        <f t="shared" si="9"/>
        <v>6228</v>
      </c>
      <c r="H101" s="813">
        <f t="shared" si="9"/>
        <v>1663</v>
      </c>
      <c r="I101" s="813">
        <f t="shared" si="9"/>
        <v>1739</v>
      </c>
      <c r="J101" s="813">
        <f t="shared" si="9"/>
        <v>0</v>
      </c>
      <c r="K101" s="813">
        <f t="shared" si="9"/>
        <v>502</v>
      </c>
      <c r="L101" s="813">
        <f t="shared" si="9"/>
        <v>0</v>
      </c>
      <c r="M101" s="813">
        <f t="shared" si="9"/>
        <v>0</v>
      </c>
      <c r="N101" s="813">
        <f t="shared" si="9"/>
        <v>191</v>
      </c>
      <c r="O101" s="813">
        <f t="shared" si="9"/>
        <v>0</v>
      </c>
      <c r="P101" s="813">
        <f t="shared" si="9"/>
        <v>0</v>
      </c>
      <c r="Q101" s="813">
        <f t="shared" si="9"/>
        <v>0</v>
      </c>
      <c r="R101" s="823">
        <f t="shared" si="9"/>
        <v>0</v>
      </c>
    </row>
    <row r="102" spans="1:18" ht="12.75" customHeight="1">
      <c r="A102" s="809"/>
      <c r="B102" s="810"/>
      <c r="C102" s="811"/>
      <c r="D102" s="817" t="s">
        <v>816</v>
      </c>
      <c r="E102" s="813">
        <f t="shared" si="9"/>
        <v>10481</v>
      </c>
      <c r="F102" s="813">
        <f t="shared" si="9"/>
        <v>10481</v>
      </c>
      <c r="G102" s="813">
        <f t="shared" si="9"/>
        <v>6358</v>
      </c>
      <c r="H102" s="813">
        <f t="shared" si="9"/>
        <v>1691</v>
      </c>
      <c r="I102" s="813">
        <f t="shared" si="9"/>
        <v>1739</v>
      </c>
      <c r="J102" s="813">
        <f t="shared" si="9"/>
        <v>0</v>
      </c>
      <c r="K102" s="813">
        <f t="shared" si="9"/>
        <v>502</v>
      </c>
      <c r="L102" s="813">
        <f t="shared" si="9"/>
        <v>0</v>
      </c>
      <c r="M102" s="813">
        <f t="shared" si="9"/>
        <v>0</v>
      </c>
      <c r="N102" s="813">
        <f t="shared" si="9"/>
        <v>191</v>
      </c>
      <c r="O102" s="813">
        <f t="shared" si="9"/>
        <v>0</v>
      </c>
      <c r="P102" s="813">
        <f t="shared" si="9"/>
        <v>0</v>
      </c>
      <c r="Q102" s="813">
        <f t="shared" si="9"/>
        <v>0</v>
      </c>
      <c r="R102" s="823">
        <f t="shared" si="9"/>
        <v>0</v>
      </c>
    </row>
    <row r="103" spans="1:18" ht="12.75" customHeight="1">
      <c r="A103" s="809"/>
      <c r="B103" s="810"/>
      <c r="C103" s="811"/>
      <c r="D103" s="817" t="s">
        <v>895</v>
      </c>
      <c r="E103" s="813">
        <v>10229</v>
      </c>
      <c r="F103" s="813">
        <f t="shared" si="9"/>
        <v>10229</v>
      </c>
      <c r="G103" s="813">
        <v>6494</v>
      </c>
      <c r="H103" s="813">
        <v>1727</v>
      </c>
      <c r="I103" s="813">
        <v>1749</v>
      </c>
      <c r="J103" s="813">
        <v>0</v>
      </c>
      <c r="K103" s="813">
        <v>68</v>
      </c>
      <c r="L103" s="813">
        <v>0</v>
      </c>
      <c r="M103" s="813">
        <v>0</v>
      </c>
      <c r="N103" s="813">
        <v>191</v>
      </c>
      <c r="O103" s="813">
        <v>0</v>
      </c>
      <c r="P103" s="813">
        <v>0</v>
      </c>
      <c r="Q103" s="813">
        <v>0</v>
      </c>
      <c r="R103" s="823">
        <v>0</v>
      </c>
    </row>
    <row r="104" spans="1:18" ht="12.75" customHeight="1">
      <c r="A104" s="1090" t="s">
        <v>255</v>
      </c>
      <c r="B104" s="1090"/>
      <c r="C104" s="1090"/>
      <c r="D104" s="827" t="s">
        <v>4</v>
      </c>
      <c r="E104" s="813">
        <f>SUM(E69+E85+E101)</f>
        <v>70813</v>
      </c>
      <c r="F104" s="813">
        <f>G104+H104+I104+J104+K104+L104+M104+N104+O104+P104+Q104+R104</f>
        <v>70813</v>
      </c>
      <c r="G104" s="813">
        <f aca="true" t="shared" si="10" ref="G104:R104">G69+G85+G101</f>
        <v>47454</v>
      </c>
      <c r="H104" s="813">
        <f t="shared" si="10"/>
        <v>12483</v>
      </c>
      <c r="I104" s="813">
        <f t="shared" si="10"/>
        <v>8020</v>
      </c>
      <c r="J104" s="813">
        <f t="shared" si="10"/>
        <v>0</v>
      </c>
      <c r="K104" s="813">
        <f t="shared" si="10"/>
        <v>2665</v>
      </c>
      <c r="L104" s="813">
        <f t="shared" si="10"/>
        <v>0</v>
      </c>
      <c r="M104" s="813">
        <f t="shared" si="10"/>
        <v>0</v>
      </c>
      <c r="N104" s="813">
        <f t="shared" si="10"/>
        <v>191</v>
      </c>
      <c r="O104" s="813">
        <f t="shared" si="10"/>
        <v>0</v>
      </c>
      <c r="P104" s="813">
        <f t="shared" si="10"/>
        <v>0</v>
      </c>
      <c r="Q104" s="813">
        <f t="shared" si="10"/>
        <v>0</v>
      </c>
      <c r="R104" s="823">
        <f t="shared" si="10"/>
        <v>0</v>
      </c>
    </row>
    <row r="105" spans="1:18" ht="12.75" customHeight="1">
      <c r="A105" s="822"/>
      <c r="B105" s="824"/>
      <c r="C105" s="824"/>
      <c r="D105" s="828" t="s">
        <v>816</v>
      </c>
      <c r="E105" s="813">
        <f>SUM(E70+E86+E102)</f>
        <v>71296</v>
      </c>
      <c r="F105" s="813">
        <f aca="true" t="shared" si="11" ref="F105:R106">SUM(F70+F86+F102)</f>
        <v>71296</v>
      </c>
      <c r="G105" s="813">
        <f t="shared" si="11"/>
        <v>47786</v>
      </c>
      <c r="H105" s="813">
        <f t="shared" si="11"/>
        <v>12561</v>
      </c>
      <c r="I105" s="813">
        <f t="shared" si="11"/>
        <v>7457</v>
      </c>
      <c r="J105" s="813">
        <f t="shared" si="11"/>
        <v>0</v>
      </c>
      <c r="K105" s="813">
        <f t="shared" si="11"/>
        <v>3301</v>
      </c>
      <c r="L105" s="813">
        <f t="shared" si="11"/>
        <v>0</v>
      </c>
      <c r="M105" s="813">
        <f t="shared" si="11"/>
        <v>0</v>
      </c>
      <c r="N105" s="813">
        <f t="shared" si="11"/>
        <v>191</v>
      </c>
      <c r="O105" s="813">
        <f t="shared" si="11"/>
        <v>0</v>
      </c>
      <c r="P105" s="813">
        <f t="shared" si="11"/>
        <v>0</v>
      </c>
      <c r="Q105" s="813">
        <f t="shared" si="11"/>
        <v>0</v>
      </c>
      <c r="R105" s="823">
        <f t="shared" si="11"/>
        <v>0</v>
      </c>
    </row>
    <row r="106" spans="1:18" ht="12.75" customHeight="1">
      <c r="A106" s="809"/>
      <c r="B106" s="810"/>
      <c r="C106" s="811"/>
      <c r="D106" s="828" t="s">
        <v>895</v>
      </c>
      <c r="E106" s="813">
        <v>71892</v>
      </c>
      <c r="F106" s="813">
        <f t="shared" si="11"/>
        <v>71892</v>
      </c>
      <c r="G106" s="813">
        <f t="shared" si="11"/>
        <v>47393</v>
      </c>
      <c r="H106" s="813">
        <f t="shared" si="11"/>
        <v>12454</v>
      </c>
      <c r="I106" s="813">
        <f t="shared" si="11"/>
        <v>8417</v>
      </c>
      <c r="J106" s="813">
        <f t="shared" si="11"/>
        <v>0</v>
      </c>
      <c r="K106" s="813">
        <f t="shared" si="11"/>
        <v>2867</v>
      </c>
      <c r="L106" s="813">
        <f t="shared" si="11"/>
        <v>0</v>
      </c>
      <c r="M106" s="813">
        <f t="shared" si="11"/>
        <v>0</v>
      </c>
      <c r="N106" s="813">
        <f t="shared" si="11"/>
        <v>761</v>
      </c>
      <c r="O106" s="813">
        <f t="shared" si="11"/>
        <v>0</v>
      </c>
      <c r="P106" s="813">
        <f t="shared" si="11"/>
        <v>0</v>
      </c>
      <c r="Q106" s="813">
        <f t="shared" si="11"/>
        <v>0</v>
      </c>
      <c r="R106" s="823">
        <f t="shared" si="11"/>
        <v>0</v>
      </c>
    </row>
    <row r="107" spans="1:18" ht="12.75" customHeight="1">
      <c r="A107" s="809"/>
      <c r="B107" s="810"/>
      <c r="C107" s="811"/>
      <c r="D107" s="827"/>
      <c r="E107" s="813"/>
      <c r="F107" s="813"/>
      <c r="G107" s="814"/>
      <c r="H107" s="814"/>
      <c r="I107" s="814"/>
      <c r="J107" s="814"/>
      <c r="K107" s="814"/>
      <c r="L107" s="814"/>
      <c r="M107" s="814"/>
      <c r="N107" s="814"/>
      <c r="O107" s="814"/>
      <c r="P107" s="814"/>
      <c r="Q107" s="814"/>
      <c r="R107" s="815"/>
    </row>
    <row r="108" spans="1:18" ht="12.75" customHeight="1">
      <c r="A108" s="1090" t="s">
        <v>256</v>
      </c>
      <c r="B108" s="1090"/>
      <c r="C108" s="1090"/>
      <c r="D108" s="827" t="s">
        <v>4</v>
      </c>
      <c r="E108" s="813">
        <f aca="true" t="shared" si="12" ref="E108:R110">SUM(E52+E104)</f>
        <v>700533</v>
      </c>
      <c r="F108" s="813">
        <f t="shared" si="12"/>
        <v>700533</v>
      </c>
      <c r="G108" s="813">
        <f t="shared" si="12"/>
        <v>392724</v>
      </c>
      <c r="H108" s="813">
        <f t="shared" si="12"/>
        <v>110887</v>
      </c>
      <c r="I108" s="813">
        <f t="shared" si="12"/>
        <v>145311</v>
      </c>
      <c r="J108" s="813">
        <f t="shared" si="12"/>
        <v>2000</v>
      </c>
      <c r="K108" s="813">
        <f t="shared" si="12"/>
        <v>16777</v>
      </c>
      <c r="L108" s="813">
        <f t="shared" si="12"/>
        <v>0</v>
      </c>
      <c r="M108" s="813">
        <f t="shared" si="12"/>
        <v>0</v>
      </c>
      <c r="N108" s="813">
        <f t="shared" si="12"/>
        <v>31834</v>
      </c>
      <c r="O108" s="813">
        <f t="shared" si="12"/>
        <v>1000</v>
      </c>
      <c r="P108" s="813">
        <f t="shared" si="12"/>
        <v>0</v>
      </c>
      <c r="Q108" s="813">
        <f t="shared" si="12"/>
        <v>0</v>
      </c>
      <c r="R108" s="823">
        <f t="shared" si="12"/>
        <v>0</v>
      </c>
    </row>
    <row r="109" spans="1:18" ht="12.75" customHeight="1">
      <c r="A109" s="822"/>
      <c r="B109" s="824"/>
      <c r="C109" s="824"/>
      <c r="D109" s="828" t="s">
        <v>816</v>
      </c>
      <c r="E109" s="813">
        <f t="shared" si="12"/>
        <v>717842</v>
      </c>
      <c r="F109" s="813">
        <f t="shared" si="12"/>
        <v>717842</v>
      </c>
      <c r="G109" s="813">
        <f t="shared" si="12"/>
        <v>399857</v>
      </c>
      <c r="H109" s="813">
        <f t="shared" si="12"/>
        <v>112776</v>
      </c>
      <c r="I109" s="813">
        <f t="shared" si="12"/>
        <v>146155</v>
      </c>
      <c r="J109" s="813">
        <f t="shared" si="12"/>
        <v>953</v>
      </c>
      <c r="K109" s="813">
        <f t="shared" si="12"/>
        <v>24620</v>
      </c>
      <c r="L109" s="813">
        <f t="shared" si="12"/>
        <v>0</v>
      </c>
      <c r="M109" s="813">
        <f t="shared" si="12"/>
        <v>0</v>
      </c>
      <c r="N109" s="813">
        <f t="shared" si="12"/>
        <v>32481</v>
      </c>
      <c r="O109" s="813">
        <f t="shared" si="12"/>
        <v>1000</v>
      </c>
      <c r="P109" s="813">
        <f t="shared" si="12"/>
        <v>0</v>
      </c>
      <c r="Q109" s="813">
        <f t="shared" si="12"/>
        <v>0</v>
      </c>
      <c r="R109" s="823">
        <f t="shared" si="12"/>
        <v>0</v>
      </c>
    </row>
    <row r="110" spans="1:18" ht="12.75" customHeight="1">
      <c r="A110" s="809"/>
      <c r="B110" s="810"/>
      <c r="C110" s="811"/>
      <c r="D110" s="828" t="s">
        <v>895</v>
      </c>
      <c r="E110" s="813">
        <v>729441</v>
      </c>
      <c r="F110" s="813">
        <f t="shared" si="12"/>
        <v>729441</v>
      </c>
      <c r="G110" s="813">
        <f t="shared" si="12"/>
        <v>404370</v>
      </c>
      <c r="H110" s="813">
        <f t="shared" si="12"/>
        <v>113934</v>
      </c>
      <c r="I110" s="813">
        <f t="shared" si="12"/>
        <v>152838</v>
      </c>
      <c r="J110" s="813">
        <f t="shared" si="12"/>
        <v>1183</v>
      </c>
      <c r="K110" s="813">
        <f t="shared" si="12"/>
        <v>29817</v>
      </c>
      <c r="L110" s="813">
        <f t="shared" si="12"/>
        <v>0</v>
      </c>
      <c r="M110" s="813">
        <f t="shared" si="12"/>
        <v>0</v>
      </c>
      <c r="N110" s="813">
        <f>SUM(N54+N106)</f>
        <v>26299</v>
      </c>
      <c r="O110" s="813">
        <f t="shared" si="12"/>
        <v>1000</v>
      </c>
      <c r="P110" s="813">
        <f t="shared" si="12"/>
        <v>0</v>
      </c>
      <c r="Q110" s="813">
        <f t="shared" si="12"/>
        <v>0</v>
      </c>
      <c r="R110" s="823">
        <f t="shared" si="12"/>
        <v>0</v>
      </c>
    </row>
    <row r="111" spans="1:18" ht="12.75" customHeight="1">
      <c r="A111" s="809"/>
      <c r="B111" s="810"/>
      <c r="C111" s="811"/>
      <c r="D111" s="827"/>
      <c r="E111" s="813"/>
      <c r="F111" s="813"/>
      <c r="G111" s="814"/>
      <c r="H111" s="814"/>
      <c r="I111" s="814"/>
      <c r="J111" s="814"/>
      <c r="K111" s="814"/>
      <c r="L111" s="814"/>
      <c r="M111" s="814"/>
      <c r="N111" s="814"/>
      <c r="O111" s="814"/>
      <c r="P111" s="814"/>
      <c r="Q111" s="814"/>
      <c r="R111" s="815"/>
    </row>
    <row r="112" spans="1:18" ht="12.75" customHeight="1">
      <c r="A112" s="1091" t="s">
        <v>257</v>
      </c>
      <c r="B112" s="1091"/>
      <c r="C112" s="1091"/>
      <c r="D112" s="827" t="s">
        <v>4</v>
      </c>
      <c r="E112" s="830">
        <f aca="true" t="shared" si="13" ref="E112:R112">SUM(E19+E37+E40+E46+E60+E63+E66+E76+E79+E82+E92+E95+E98)</f>
        <v>658320</v>
      </c>
      <c r="F112" s="830">
        <f t="shared" si="13"/>
        <v>28713</v>
      </c>
      <c r="G112" s="830">
        <f t="shared" si="13"/>
        <v>9400</v>
      </c>
      <c r="H112" s="830">
        <f t="shared" si="13"/>
        <v>2536</v>
      </c>
      <c r="I112" s="830">
        <f t="shared" si="13"/>
        <v>0</v>
      </c>
      <c r="J112" s="830">
        <f t="shared" si="13"/>
        <v>0</v>
      </c>
      <c r="K112" s="830">
        <f t="shared" si="13"/>
        <v>16777</v>
      </c>
      <c r="L112" s="830">
        <f t="shared" si="13"/>
        <v>0</v>
      </c>
      <c r="M112" s="830">
        <f t="shared" si="13"/>
        <v>0</v>
      </c>
      <c r="N112" s="830">
        <f t="shared" si="13"/>
        <v>0</v>
      </c>
      <c r="O112" s="830">
        <f t="shared" si="13"/>
        <v>0</v>
      </c>
      <c r="P112" s="830">
        <f t="shared" si="13"/>
        <v>0</v>
      </c>
      <c r="Q112" s="830">
        <f t="shared" si="13"/>
        <v>0</v>
      </c>
      <c r="R112" s="831">
        <f t="shared" si="13"/>
        <v>0</v>
      </c>
    </row>
    <row r="113" spans="1:18" ht="12.75" customHeight="1">
      <c r="A113" s="829"/>
      <c r="B113" s="832"/>
      <c r="C113" s="832"/>
      <c r="D113" s="828" t="s">
        <v>816</v>
      </c>
      <c r="E113" s="830">
        <f aca="true" t="shared" si="14" ref="E113:R114">SUM(E38+E41+E47+E61+E64+E67+E77+E80+E83+E93+E96+E99)</f>
        <v>50958</v>
      </c>
      <c r="F113" s="830">
        <f t="shared" si="14"/>
        <v>36544</v>
      </c>
      <c r="G113" s="830">
        <f t="shared" si="14"/>
        <v>9400</v>
      </c>
      <c r="H113" s="830">
        <f t="shared" si="14"/>
        <v>2536</v>
      </c>
      <c r="I113" s="830">
        <f t="shared" si="14"/>
        <v>0</v>
      </c>
      <c r="J113" s="830">
        <f t="shared" si="14"/>
        <v>0</v>
      </c>
      <c r="K113" s="830">
        <f>SUM(K38+K41+K47+K61+K64+K67+K77+K80+K83+K93+K96+K99)</f>
        <v>24608</v>
      </c>
      <c r="L113" s="830">
        <f t="shared" si="14"/>
        <v>0</v>
      </c>
      <c r="M113" s="830">
        <f t="shared" si="14"/>
        <v>0</v>
      </c>
      <c r="N113" s="830">
        <f t="shared" si="14"/>
        <v>0</v>
      </c>
      <c r="O113" s="830">
        <f t="shared" si="14"/>
        <v>0</v>
      </c>
      <c r="P113" s="830">
        <f t="shared" si="14"/>
        <v>0</v>
      </c>
      <c r="Q113" s="830">
        <f t="shared" si="14"/>
        <v>0</v>
      </c>
      <c r="R113" s="831">
        <f t="shared" si="14"/>
        <v>0</v>
      </c>
    </row>
    <row r="114" spans="1:18" ht="12.75" customHeight="1">
      <c r="A114" s="833"/>
      <c r="B114" s="834"/>
      <c r="C114" s="834"/>
      <c r="D114" s="828" t="s">
        <v>895</v>
      </c>
      <c r="E114" s="830">
        <f aca="true" t="shared" si="15" ref="E114:J114">SUM(E39+E42+E48+E62+E65+E68+E78+E81+E84+E94+E97+E100+E51)</f>
        <v>51298</v>
      </c>
      <c r="F114" s="830">
        <f t="shared" si="15"/>
        <v>41753</v>
      </c>
      <c r="G114" s="830">
        <f t="shared" si="15"/>
        <v>9400</v>
      </c>
      <c r="H114" s="830">
        <f t="shared" si="15"/>
        <v>2536</v>
      </c>
      <c r="I114" s="830">
        <f t="shared" si="15"/>
        <v>0</v>
      </c>
      <c r="J114" s="830">
        <f t="shared" si="15"/>
        <v>0</v>
      </c>
      <c r="K114" s="830">
        <f>SUM(K39+K42+K48+K62+K65+K68+K78+K81+K84+K94+K97+K100+K51)</f>
        <v>29817</v>
      </c>
      <c r="L114" s="830">
        <f t="shared" si="14"/>
        <v>0</v>
      </c>
      <c r="M114" s="830">
        <f t="shared" si="14"/>
        <v>0</v>
      </c>
      <c r="N114" s="830">
        <f t="shared" si="14"/>
        <v>0</v>
      </c>
      <c r="O114" s="830">
        <f t="shared" si="14"/>
        <v>0</v>
      </c>
      <c r="P114" s="830">
        <f t="shared" si="14"/>
        <v>0</v>
      </c>
      <c r="Q114" s="830">
        <f t="shared" si="14"/>
        <v>0</v>
      </c>
      <c r="R114" s="831">
        <f t="shared" si="14"/>
        <v>0</v>
      </c>
    </row>
    <row r="115" spans="1:18" ht="12.75" customHeight="1">
      <c r="A115" s="833"/>
      <c r="B115" s="834"/>
      <c r="C115" s="834"/>
      <c r="D115" s="827"/>
      <c r="E115" s="830"/>
      <c r="F115" s="830"/>
      <c r="G115" s="830"/>
      <c r="H115" s="830"/>
      <c r="I115" s="830"/>
      <c r="J115" s="830"/>
      <c r="K115" s="830"/>
      <c r="L115" s="830"/>
      <c r="M115" s="830"/>
      <c r="N115" s="830"/>
      <c r="O115" s="830"/>
      <c r="P115" s="830"/>
      <c r="Q115" s="830"/>
      <c r="R115" s="831"/>
    </row>
    <row r="116" spans="1:18" ht="12.75" customHeight="1">
      <c r="A116" s="1091" t="s">
        <v>557</v>
      </c>
      <c r="B116" s="1091"/>
      <c r="C116" s="1091"/>
      <c r="D116" s="827" t="s">
        <v>4</v>
      </c>
      <c r="E116" s="830">
        <f aca="true" t="shared" si="16" ref="E116:R118">SUM(E22+E28+E34+E43)</f>
        <v>3015</v>
      </c>
      <c r="F116" s="830">
        <f t="shared" si="16"/>
        <v>28939</v>
      </c>
      <c r="G116" s="830">
        <f t="shared" si="16"/>
        <v>17249</v>
      </c>
      <c r="H116" s="830">
        <f t="shared" si="16"/>
        <v>4633</v>
      </c>
      <c r="I116" s="830">
        <f t="shared" si="16"/>
        <v>5107</v>
      </c>
      <c r="J116" s="830">
        <f t="shared" si="16"/>
        <v>0</v>
      </c>
      <c r="K116" s="830">
        <f t="shared" si="16"/>
        <v>0</v>
      </c>
      <c r="L116" s="830">
        <f t="shared" si="16"/>
        <v>0</v>
      </c>
      <c r="M116" s="830">
        <f t="shared" si="16"/>
        <v>0</v>
      </c>
      <c r="N116" s="830">
        <f t="shared" si="16"/>
        <v>950</v>
      </c>
      <c r="O116" s="830">
        <f t="shared" si="16"/>
        <v>1000</v>
      </c>
      <c r="P116" s="830">
        <f t="shared" si="16"/>
        <v>0</v>
      </c>
      <c r="Q116" s="830">
        <f t="shared" si="16"/>
        <v>0</v>
      </c>
      <c r="R116" s="831">
        <f t="shared" si="16"/>
        <v>0</v>
      </c>
    </row>
    <row r="117" spans="1:18" ht="12.75" customHeight="1">
      <c r="A117" s="829"/>
      <c r="B117" s="832"/>
      <c r="C117" s="832"/>
      <c r="D117" s="828" t="s">
        <v>816</v>
      </c>
      <c r="E117" s="830">
        <f t="shared" si="16"/>
        <v>3015</v>
      </c>
      <c r="F117" s="830">
        <f t="shared" si="16"/>
        <v>28939</v>
      </c>
      <c r="G117" s="830">
        <f t="shared" si="16"/>
        <v>17249</v>
      </c>
      <c r="H117" s="830">
        <f t="shared" si="16"/>
        <v>4633</v>
      </c>
      <c r="I117" s="830">
        <f t="shared" si="16"/>
        <v>5107</v>
      </c>
      <c r="J117" s="830">
        <f t="shared" si="16"/>
        <v>0</v>
      </c>
      <c r="K117" s="830">
        <f t="shared" si="16"/>
        <v>0</v>
      </c>
      <c r="L117" s="830">
        <f t="shared" si="16"/>
        <v>0</v>
      </c>
      <c r="M117" s="830">
        <f t="shared" si="16"/>
        <v>0</v>
      </c>
      <c r="N117" s="830">
        <f t="shared" si="16"/>
        <v>950</v>
      </c>
      <c r="O117" s="830">
        <f t="shared" si="16"/>
        <v>1000</v>
      </c>
      <c r="P117" s="830">
        <f t="shared" si="16"/>
        <v>0</v>
      </c>
      <c r="Q117" s="830">
        <f t="shared" si="16"/>
        <v>0</v>
      </c>
      <c r="R117" s="831">
        <f t="shared" si="16"/>
        <v>0</v>
      </c>
    </row>
    <row r="118" spans="1:18" ht="12.75" customHeight="1">
      <c r="A118" s="835"/>
      <c r="B118" s="836"/>
      <c r="C118" s="836"/>
      <c r="D118" s="828" t="s">
        <v>895</v>
      </c>
      <c r="E118" s="830">
        <f t="shared" si="16"/>
        <v>3015</v>
      </c>
      <c r="F118" s="830">
        <f t="shared" si="16"/>
        <v>29460</v>
      </c>
      <c r="G118" s="830">
        <f t="shared" si="16"/>
        <v>17249</v>
      </c>
      <c r="H118" s="830">
        <f t="shared" si="16"/>
        <v>4633</v>
      </c>
      <c r="I118" s="830">
        <f t="shared" si="16"/>
        <v>5628</v>
      </c>
      <c r="J118" s="830">
        <f t="shared" si="16"/>
        <v>0</v>
      </c>
      <c r="K118" s="830">
        <f t="shared" si="16"/>
        <v>0</v>
      </c>
      <c r="L118" s="830">
        <f t="shared" si="16"/>
        <v>0</v>
      </c>
      <c r="M118" s="830">
        <f t="shared" si="16"/>
        <v>0</v>
      </c>
      <c r="N118" s="830">
        <f t="shared" si="16"/>
        <v>950</v>
      </c>
      <c r="O118" s="830">
        <f t="shared" si="16"/>
        <v>1000</v>
      </c>
      <c r="P118" s="830">
        <f t="shared" si="16"/>
        <v>0</v>
      </c>
      <c r="Q118" s="830">
        <f t="shared" si="16"/>
        <v>0</v>
      </c>
      <c r="R118" s="831">
        <f t="shared" si="16"/>
        <v>0</v>
      </c>
    </row>
    <row r="119" spans="1:18" ht="12.75" customHeight="1">
      <c r="A119" s="833"/>
      <c r="B119" s="834"/>
      <c r="C119" s="834"/>
      <c r="D119" s="827"/>
      <c r="E119" s="830"/>
      <c r="F119" s="830"/>
      <c r="G119" s="830"/>
      <c r="H119" s="830"/>
      <c r="I119" s="830"/>
      <c r="J119" s="830"/>
      <c r="K119" s="830"/>
      <c r="L119" s="830"/>
      <c r="M119" s="830"/>
      <c r="N119" s="830"/>
      <c r="O119" s="830"/>
      <c r="P119" s="830"/>
      <c r="Q119" s="830"/>
      <c r="R119" s="831"/>
    </row>
    <row r="120" spans="1:18" ht="12.75" customHeight="1">
      <c r="A120" s="1091" t="s">
        <v>558</v>
      </c>
      <c r="B120" s="1091"/>
      <c r="C120" s="1091"/>
      <c r="D120" s="827" t="s">
        <v>4</v>
      </c>
      <c r="E120" s="830">
        <f aca="true" t="shared" si="17" ref="E120:R120">SUM(E10+E13+E16+E25+E31+E57+E73+E89)</f>
        <v>39198</v>
      </c>
      <c r="F120" s="830">
        <f t="shared" si="17"/>
        <v>642881</v>
      </c>
      <c r="G120" s="830">
        <f t="shared" si="17"/>
        <v>366075</v>
      </c>
      <c r="H120" s="830">
        <f t="shared" si="17"/>
        <v>103718</v>
      </c>
      <c r="I120" s="830">
        <f t="shared" si="17"/>
        <v>140204</v>
      </c>
      <c r="J120" s="830">
        <f t="shared" si="17"/>
        <v>2000</v>
      </c>
      <c r="K120" s="830">
        <f t="shared" si="17"/>
        <v>0</v>
      </c>
      <c r="L120" s="830">
        <f t="shared" si="17"/>
        <v>0</v>
      </c>
      <c r="M120" s="830">
        <f t="shared" si="17"/>
        <v>0</v>
      </c>
      <c r="N120" s="830">
        <f t="shared" si="17"/>
        <v>30884</v>
      </c>
      <c r="O120" s="830">
        <f t="shared" si="17"/>
        <v>0</v>
      </c>
      <c r="P120" s="830">
        <f t="shared" si="17"/>
        <v>0</v>
      </c>
      <c r="Q120" s="830">
        <f t="shared" si="17"/>
        <v>0</v>
      </c>
      <c r="R120" s="831">
        <f t="shared" si="17"/>
        <v>0</v>
      </c>
    </row>
    <row r="121" spans="1:18" ht="12.75" customHeight="1">
      <c r="A121" s="835"/>
      <c r="B121" s="839"/>
      <c r="C121" s="840"/>
      <c r="D121" s="841" t="s">
        <v>816</v>
      </c>
      <c r="E121" s="837">
        <f aca="true" t="shared" si="18" ref="E121:R122">SUM(E11+E14+E17+E26+E32+E58+E74+E90+E20)</f>
        <v>663869</v>
      </c>
      <c r="F121" s="837">
        <f t="shared" si="18"/>
        <v>652347</v>
      </c>
      <c r="G121" s="837">
        <f t="shared" si="18"/>
        <v>373208</v>
      </c>
      <c r="H121" s="837">
        <f t="shared" si="18"/>
        <v>105607</v>
      </c>
      <c r="I121" s="837">
        <f t="shared" si="18"/>
        <v>141048</v>
      </c>
      <c r="J121" s="837">
        <f t="shared" si="18"/>
        <v>953</v>
      </c>
      <c r="K121" s="837">
        <f t="shared" si="18"/>
        <v>0</v>
      </c>
      <c r="L121" s="837">
        <f t="shared" si="18"/>
        <v>0</v>
      </c>
      <c r="M121" s="837">
        <f t="shared" si="18"/>
        <v>0</v>
      </c>
      <c r="N121" s="837">
        <f t="shared" si="18"/>
        <v>31531</v>
      </c>
      <c r="O121" s="837">
        <f t="shared" si="18"/>
        <v>0</v>
      </c>
      <c r="P121" s="837">
        <f t="shared" si="18"/>
        <v>0</v>
      </c>
      <c r="Q121" s="837">
        <f t="shared" si="18"/>
        <v>0</v>
      </c>
      <c r="R121" s="838">
        <f t="shared" si="18"/>
        <v>0</v>
      </c>
    </row>
    <row r="122" spans="1:18" ht="13.5" thickBot="1">
      <c r="A122" s="842"/>
      <c r="B122" s="843"/>
      <c r="C122" s="844"/>
      <c r="D122" s="845" t="s">
        <v>895</v>
      </c>
      <c r="E122" s="846">
        <f t="shared" si="18"/>
        <v>675128</v>
      </c>
      <c r="F122" s="846">
        <f t="shared" si="18"/>
        <v>658228</v>
      </c>
      <c r="G122" s="846">
        <f t="shared" si="18"/>
        <v>377721</v>
      </c>
      <c r="H122" s="846">
        <f t="shared" si="18"/>
        <v>106765</v>
      </c>
      <c r="I122" s="846">
        <f t="shared" si="18"/>
        <v>147210</v>
      </c>
      <c r="J122" s="846">
        <f t="shared" si="18"/>
        <v>1183</v>
      </c>
      <c r="K122" s="846">
        <f t="shared" si="18"/>
        <v>0</v>
      </c>
      <c r="L122" s="846">
        <f t="shared" si="18"/>
        <v>0</v>
      </c>
      <c r="M122" s="846">
        <f t="shared" si="18"/>
        <v>0</v>
      </c>
      <c r="N122" s="846">
        <f t="shared" si="18"/>
        <v>25349</v>
      </c>
      <c r="O122" s="846">
        <f t="shared" si="18"/>
        <v>0</v>
      </c>
      <c r="P122" s="846">
        <f t="shared" si="18"/>
        <v>0</v>
      </c>
      <c r="Q122" s="846">
        <f t="shared" si="18"/>
        <v>0</v>
      </c>
      <c r="R122" s="847">
        <f t="shared" si="18"/>
        <v>0</v>
      </c>
    </row>
    <row r="124" spans="5:18" ht="12.75"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</row>
  </sheetData>
  <sheetProtection selectLockedCells="1" selectUnlockedCells="1"/>
  <mergeCells count="34">
    <mergeCell ref="R7:R8"/>
    <mergeCell ref="B1:C1"/>
    <mergeCell ref="B3:P3"/>
    <mergeCell ref="B4:P4"/>
    <mergeCell ref="E6:E8"/>
    <mergeCell ref="F6:F8"/>
    <mergeCell ref="G6:L6"/>
    <mergeCell ref="M6:P6"/>
    <mergeCell ref="K7:K8"/>
    <mergeCell ref="M7:M8"/>
    <mergeCell ref="A69:C69"/>
    <mergeCell ref="A72:C72"/>
    <mergeCell ref="Q7:Q8"/>
    <mergeCell ref="O7:O8"/>
    <mergeCell ref="A52:C52"/>
    <mergeCell ref="A6:D8"/>
    <mergeCell ref="Q6:R6"/>
    <mergeCell ref="G7:G8"/>
    <mergeCell ref="H7:H8"/>
    <mergeCell ref="I7:I8"/>
    <mergeCell ref="N7:N8"/>
    <mergeCell ref="P7:P8"/>
    <mergeCell ref="A56:C56"/>
    <mergeCell ref="A9:C9"/>
    <mergeCell ref="J7:J8"/>
    <mergeCell ref="L7:L8"/>
    <mergeCell ref="A85:C85"/>
    <mergeCell ref="A112:C112"/>
    <mergeCell ref="A116:C116"/>
    <mergeCell ref="A120:C120"/>
    <mergeCell ref="A88:C88"/>
    <mergeCell ref="A101:C101"/>
    <mergeCell ref="A104:C104"/>
    <mergeCell ref="A108:C108"/>
  </mergeCells>
  <printOptions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landscape" paperSize="9" scale="50" r:id="rId1"/>
  <headerFooter alignWithMargins="0">
    <oddHeader>&amp;L5. melléklet a 21/2015.(X.2.) önkormányzati rendelethez
5. melléklet az 1/2015.(I.30.)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80"/>
  <sheetViews>
    <sheetView view="pageBreakPreview" zoomScale="77" zoomScaleNormal="57" zoomScaleSheetLayoutView="77" workbookViewId="0" topLeftCell="P37">
      <selection activeCell="Z10" sqref="Z10"/>
    </sheetView>
  </sheetViews>
  <sheetFormatPr defaultColWidth="8.875" defaultRowHeight="12.75"/>
  <cols>
    <col min="1" max="1" width="46.75390625" style="913" customWidth="1"/>
    <col min="2" max="2" width="17.375" style="913" bestFit="1" customWidth="1"/>
    <col min="3" max="3" width="12.25390625" style="913" customWidth="1"/>
    <col min="4" max="4" width="16.375" style="913" customWidth="1"/>
    <col min="5" max="5" width="9.00390625" style="913" bestFit="1" customWidth="1"/>
    <col min="6" max="6" width="11.25390625" style="913" customWidth="1"/>
    <col min="7" max="7" width="7.625" style="913" bestFit="1" customWidth="1"/>
    <col min="8" max="8" width="11.125" style="913" customWidth="1"/>
    <col min="9" max="9" width="11.00390625" style="913" bestFit="1" customWidth="1"/>
    <col min="10" max="10" width="11.375" style="913" bestFit="1" customWidth="1"/>
    <col min="11" max="11" width="10.75390625" style="913" bestFit="1" customWidth="1"/>
    <col min="12" max="12" width="16.25390625" style="913" customWidth="1"/>
    <col min="13" max="13" width="16.125" style="913" customWidth="1"/>
    <col min="14" max="14" width="13.625" style="913" customWidth="1"/>
    <col min="15" max="15" width="10.75390625" style="913" customWidth="1"/>
    <col min="16" max="16" width="14.625" style="913" customWidth="1"/>
    <col min="17" max="17" width="11.625" style="913" customWidth="1"/>
    <col min="18" max="18" width="14.875" style="913" customWidth="1"/>
    <col min="19" max="19" width="41.25390625" style="913" bestFit="1" customWidth="1"/>
    <col min="20" max="20" width="17.625" style="913" bestFit="1" customWidth="1"/>
    <col min="21" max="21" width="10.00390625" style="913" bestFit="1" customWidth="1"/>
    <col min="22" max="22" width="12.625" style="913" bestFit="1" customWidth="1"/>
    <col min="23" max="23" width="11.00390625" style="913" bestFit="1" customWidth="1"/>
    <col min="24" max="24" width="8.625" style="913" bestFit="1" customWidth="1"/>
    <col min="25" max="25" width="13.875" style="913" customWidth="1"/>
    <col min="26" max="26" width="10.25390625" style="913" bestFit="1" customWidth="1"/>
    <col min="27" max="27" width="10.375" style="913" bestFit="1" customWidth="1"/>
    <col min="28" max="28" width="14.625" style="913" bestFit="1" customWidth="1"/>
    <col min="29" max="29" width="10.125" style="913" customWidth="1"/>
    <col min="30" max="30" width="11.875" style="913" bestFit="1" customWidth="1"/>
    <col min="31" max="31" width="2.625" style="913" bestFit="1" customWidth="1"/>
    <col min="32" max="32" width="10.875" style="913" bestFit="1" customWidth="1"/>
    <col min="33" max="16384" width="8.875" style="913" customWidth="1"/>
  </cols>
  <sheetData>
    <row r="1" spans="1:30" s="900" customFormat="1" ht="45" customHeight="1">
      <c r="A1" s="1132" t="s">
        <v>949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  <c r="R1" s="1133"/>
      <c r="S1" s="1127" t="s">
        <v>950</v>
      </c>
      <c r="T1" s="1128"/>
      <c r="U1" s="1128"/>
      <c r="V1" s="1128"/>
      <c r="W1" s="1128"/>
      <c r="X1" s="1128"/>
      <c r="Y1" s="1128"/>
      <c r="Z1" s="1128"/>
      <c r="AA1" s="1128"/>
      <c r="AB1" s="1128"/>
      <c r="AC1" s="1128"/>
      <c r="AD1" s="1129"/>
    </row>
    <row r="2" spans="1:30" s="900" customFormat="1" ht="28.5" customHeight="1">
      <c r="A2" s="1126" t="s">
        <v>951</v>
      </c>
      <c r="B2" s="1126" t="s">
        <v>952</v>
      </c>
      <c r="C2" s="1126"/>
      <c r="D2" s="1126" t="s">
        <v>763</v>
      </c>
      <c r="E2" s="1126"/>
      <c r="F2" s="1126"/>
      <c r="G2" s="1126"/>
      <c r="H2" s="1126" t="s">
        <v>705</v>
      </c>
      <c r="I2" s="1126"/>
      <c r="J2" s="1126"/>
      <c r="K2" s="1126"/>
      <c r="L2" s="901"/>
      <c r="M2" s="1126" t="s">
        <v>953</v>
      </c>
      <c r="N2" s="1126" t="s">
        <v>368</v>
      </c>
      <c r="O2" s="1126"/>
      <c r="P2" s="901"/>
      <c r="Q2" s="1126" t="s">
        <v>954</v>
      </c>
      <c r="R2" s="1126" t="s">
        <v>955</v>
      </c>
      <c r="S2" s="1130" t="s">
        <v>951</v>
      </c>
      <c r="T2" s="1130" t="s">
        <v>952</v>
      </c>
      <c r="U2" s="901"/>
      <c r="V2" s="902" t="s">
        <v>416</v>
      </c>
      <c r="W2" s="903"/>
      <c r="X2" s="903"/>
      <c r="Y2" s="903"/>
      <c r="Z2" s="903"/>
      <c r="AA2" s="904"/>
      <c r="AB2" s="905" t="s">
        <v>417</v>
      </c>
      <c r="AC2" s="905"/>
      <c r="AD2" s="1130" t="s">
        <v>530</v>
      </c>
    </row>
    <row r="3" spans="1:32" s="900" customFormat="1" ht="99.75">
      <c r="A3" s="1126"/>
      <c r="B3" s="1134"/>
      <c r="C3" s="1126"/>
      <c r="D3" s="901" t="s">
        <v>956</v>
      </c>
      <c r="E3" s="901" t="s">
        <v>765</v>
      </c>
      <c r="F3" s="901" t="s">
        <v>316</v>
      </c>
      <c r="G3" s="901" t="s">
        <v>531</v>
      </c>
      <c r="H3" s="901" t="s">
        <v>1002</v>
      </c>
      <c r="I3" s="901" t="s">
        <v>957</v>
      </c>
      <c r="J3" s="901" t="s">
        <v>958</v>
      </c>
      <c r="K3" s="901" t="s">
        <v>959</v>
      </c>
      <c r="L3" s="901" t="s">
        <v>997</v>
      </c>
      <c r="M3" s="1126"/>
      <c r="N3" s="901" t="s">
        <v>960</v>
      </c>
      <c r="O3" s="901" t="s">
        <v>532</v>
      </c>
      <c r="P3" s="901" t="s">
        <v>961</v>
      </c>
      <c r="Q3" s="1126"/>
      <c r="R3" s="1126"/>
      <c r="S3" s="1131"/>
      <c r="T3" s="1131"/>
      <c r="U3" s="901"/>
      <c r="V3" s="901" t="s">
        <v>371</v>
      </c>
      <c r="W3" s="901" t="s">
        <v>533</v>
      </c>
      <c r="X3" s="901" t="s">
        <v>534</v>
      </c>
      <c r="Y3" s="901" t="s">
        <v>962</v>
      </c>
      <c r="Z3" s="901" t="s">
        <v>963</v>
      </c>
      <c r="AA3" s="901" t="s">
        <v>964</v>
      </c>
      <c r="AB3" s="901" t="s">
        <v>383</v>
      </c>
      <c r="AC3" s="901" t="s">
        <v>384</v>
      </c>
      <c r="AD3" s="1131"/>
      <c r="AF3" s="906" t="s">
        <v>965</v>
      </c>
    </row>
    <row r="4" spans="1:32" ht="15">
      <c r="A4" s="1116" t="s">
        <v>966</v>
      </c>
      <c r="B4" s="908" t="s">
        <v>424</v>
      </c>
      <c r="C4" s="909" t="s">
        <v>4</v>
      </c>
      <c r="D4" s="910">
        <v>2175</v>
      </c>
      <c r="E4" s="910">
        <v>5644</v>
      </c>
      <c r="F4" s="910"/>
      <c r="G4" s="910">
        <v>2111</v>
      </c>
      <c r="H4" s="910">
        <v>0</v>
      </c>
      <c r="I4" s="910">
        <v>0</v>
      </c>
      <c r="J4" s="910">
        <v>0</v>
      </c>
      <c r="K4" s="910">
        <v>0</v>
      </c>
      <c r="L4" s="910"/>
      <c r="M4" s="910">
        <v>0</v>
      </c>
      <c r="N4" s="910">
        <v>0</v>
      </c>
      <c r="O4" s="910">
        <v>0</v>
      </c>
      <c r="P4" s="910">
        <v>83659</v>
      </c>
      <c r="Q4" s="910">
        <v>9930</v>
      </c>
      <c r="R4" s="911">
        <v>93589</v>
      </c>
      <c r="S4" s="1109" t="s">
        <v>966</v>
      </c>
      <c r="T4" s="908" t="s">
        <v>424</v>
      </c>
      <c r="U4" s="909" t="s">
        <v>4</v>
      </c>
      <c r="V4" s="912">
        <v>58837</v>
      </c>
      <c r="W4" s="910">
        <v>15749</v>
      </c>
      <c r="X4" s="910">
        <v>18243</v>
      </c>
      <c r="Y4" s="910">
        <v>7136</v>
      </c>
      <c r="Z4" s="910">
        <v>0</v>
      </c>
      <c r="AA4" s="910">
        <v>0</v>
      </c>
      <c r="AB4" s="910">
        <v>760</v>
      </c>
      <c r="AC4" s="912">
        <v>0</v>
      </c>
      <c r="AD4" s="910">
        <v>93589</v>
      </c>
      <c r="AF4" s="914">
        <v>93589</v>
      </c>
    </row>
    <row r="5" spans="1:32" ht="16.5" customHeight="1">
      <c r="A5" s="1121"/>
      <c r="B5" s="908" t="s">
        <v>424</v>
      </c>
      <c r="C5" s="909" t="s">
        <v>967</v>
      </c>
      <c r="D5" s="910">
        <v>2181</v>
      </c>
      <c r="E5" s="910">
        <v>5644</v>
      </c>
      <c r="F5" s="910"/>
      <c r="G5" s="910">
        <v>2111</v>
      </c>
      <c r="H5" s="910">
        <v>0</v>
      </c>
      <c r="I5" s="910">
        <v>0</v>
      </c>
      <c r="J5" s="910">
        <v>0</v>
      </c>
      <c r="K5" s="910">
        <v>0</v>
      </c>
      <c r="L5" s="910">
        <v>27</v>
      </c>
      <c r="M5" s="910">
        <v>0</v>
      </c>
      <c r="N5" s="910">
        <v>-27</v>
      </c>
      <c r="O5" s="910">
        <v>0</v>
      </c>
      <c r="P5" s="910">
        <v>83927</v>
      </c>
      <c r="Q5" s="910">
        <v>9936</v>
      </c>
      <c r="R5" s="911">
        <v>93863</v>
      </c>
      <c r="S5" s="1110"/>
      <c r="T5" s="908" t="s">
        <v>424</v>
      </c>
      <c r="U5" s="909" t="s">
        <v>968</v>
      </c>
      <c r="V5" s="912">
        <v>59056</v>
      </c>
      <c r="W5" s="910">
        <v>15798</v>
      </c>
      <c r="X5" s="910">
        <v>18249</v>
      </c>
      <c r="Y5" s="910">
        <v>7136</v>
      </c>
      <c r="Z5" s="910">
        <v>0</v>
      </c>
      <c r="AA5" s="910">
        <v>0</v>
      </c>
      <c r="AB5" s="910">
        <v>760</v>
      </c>
      <c r="AC5" s="912">
        <v>0</v>
      </c>
      <c r="AD5" s="910">
        <v>93863</v>
      </c>
      <c r="AF5" s="914"/>
    </row>
    <row r="6" spans="1:32" ht="15">
      <c r="A6" s="1119"/>
      <c r="B6" s="908" t="s">
        <v>424</v>
      </c>
      <c r="C6" s="909" t="s">
        <v>969</v>
      </c>
      <c r="D6" s="910">
        <v>2181</v>
      </c>
      <c r="E6" s="910">
        <v>5644</v>
      </c>
      <c r="F6" s="910"/>
      <c r="G6" s="910">
        <v>2111</v>
      </c>
      <c r="H6" s="910">
        <v>0</v>
      </c>
      <c r="I6" s="910">
        <v>0</v>
      </c>
      <c r="J6" s="910">
        <v>0</v>
      </c>
      <c r="K6" s="910">
        <v>0</v>
      </c>
      <c r="L6" s="910">
        <v>0</v>
      </c>
      <c r="M6" s="910">
        <v>0</v>
      </c>
      <c r="N6" s="910">
        <v>0</v>
      </c>
      <c r="O6" s="910">
        <v>0</v>
      </c>
      <c r="P6" s="910">
        <v>84215</v>
      </c>
      <c r="Q6" s="910">
        <v>9936</v>
      </c>
      <c r="R6" s="911">
        <v>94151</v>
      </c>
      <c r="S6" s="1111"/>
      <c r="T6" s="908" t="s">
        <v>424</v>
      </c>
      <c r="U6" s="909" t="s">
        <v>969</v>
      </c>
      <c r="V6" s="912">
        <v>59283</v>
      </c>
      <c r="W6" s="910">
        <v>15859</v>
      </c>
      <c r="X6" s="910">
        <v>18249</v>
      </c>
      <c r="Y6" s="910">
        <v>7136</v>
      </c>
      <c r="Z6" s="910">
        <v>0</v>
      </c>
      <c r="AA6" s="910">
        <v>0</v>
      </c>
      <c r="AB6" s="910">
        <v>760</v>
      </c>
      <c r="AC6" s="912">
        <v>0</v>
      </c>
      <c r="AD6" s="910">
        <v>94151</v>
      </c>
      <c r="AF6" s="914"/>
    </row>
    <row r="7" spans="1:32" ht="15">
      <c r="A7" s="1116" t="s">
        <v>970</v>
      </c>
      <c r="B7" s="908" t="s">
        <v>424</v>
      </c>
      <c r="C7" s="909" t="s">
        <v>4</v>
      </c>
      <c r="D7" s="910">
        <v>359</v>
      </c>
      <c r="E7" s="910">
        <v>4729</v>
      </c>
      <c r="F7" s="910"/>
      <c r="G7" s="912">
        <v>1674</v>
      </c>
      <c r="H7" s="910">
        <v>0</v>
      </c>
      <c r="I7" s="910">
        <v>0</v>
      </c>
      <c r="J7" s="910">
        <v>0</v>
      </c>
      <c r="K7" s="910">
        <v>0</v>
      </c>
      <c r="L7" s="910"/>
      <c r="M7" s="910">
        <v>0</v>
      </c>
      <c r="N7" s="910">
        <v>0</v>
      </c>
      <c r="O7" s="910">
        <v>0</v>
      </c>
      <c r="P7" s="912">
        <v>69767</v>
      </c>
      <c r="Q7" s="910">
        <v>6762</v>
      </c>
      <c r="R7" s="911">
        <v>76529</v>
      </c>
      <c r="S7" s="1109" t="s">
        <v>970</v>
      </c>
      <c r="T7" s="908" t="s">
        <v>424</v>
      </c>
      <c r="U7" s="909" t="s">
        <v>4</v>
      </c>
      <c r="V7" s="912">
        <v>49391</v>
      </c>
      <c r="W7" s="910">
        <v>13243</v>
      </c>
      <c r="X7" s="910">
        <v>13065</v>
      </c>
      <c r="Y7" s="910">
        <v>6176</v>
      </c>
      <c r="Z7" s="910">
        <v>0</v>
      </c>
      <c r="AA7" s="910">
        <v>0</v>
      </c>
      <c r="AB7" s="910">
        <v>830</v>
      </c>
      <c r="AC7" s="910">
        <v>0</v>
      </c>
      <c r="AD7" s="910">
        <v>76529</v>
      </c>
      <c r="AF7" s="914">
        <v>76529</v>
      </c>
    </row>
    <row r="8" spans="1:32" ht="15">
      <c r="A8" s="1122"/>
      <c r="B8" s="908" t="s">
        <v>424</v>
      </c>
      <c r="C8" s="909" t="s">
        <v>968</v>
      </c>
      <c r="D8" s="910">
        <v>359</v>
      </c>
      <c r="E8" s="910">
        <v>4729</v>
      </c>
      <c r="F8" s="910"/>
      <c r="G8" s="912">
        <v>1674</v>
      </c>
      <c r="H8" s="910">
        <v>0</v>
      </c>
      <c r="I8" s="910">
        <v>0</v>
      </c>
      <c r="J8" s="910">
        <v>0</v>
      </c>
      <c r="K8" s="910">
        <v>0</v>
      </c>
      <c r="L8" s="910"/>
      <c r="M8" s="910">
        <v>0</v>
      </c>
      <c r="N8" s="910">
        <v>32</v>
      </c>
      <c r="O8" s="910">
        <v>0</v>
      </c>
      <c r="P8" s="912">
        <v>69938</v>
      </c>
      <c r="Q8" s="910">
        <v>6794</v>
      </c>
      <c r="R8" s="911">
        <v>76732</v>
      </c>
      <c r="S8" s="1110"/>
      <c r="T8" s="908" t="s">
        <v>424</v>
      </c>
      <c r="U8" s="909" t="s">
        <v>968</v>
      </c>
      <c r="V8" s="912">
        <v>49534</v>
      </c>
      <c r="W8" s="910">
        <v>13271</v>
      </c>
      <c r="X8" s="910">
        <v>13097</v>
      </c>
      <c r="Y8" s="910">
        <v>6176</v>
      </c>
      <c r="Z8" s="910">
        <v>0</v>
      </c>
      <c r="AA8" s="910">
        <v>0</v>
      </c>
      <c r="AB8" s="910">
        <v>830</v>
      </c>
      <c r="AC8" s="910">
        <v>0</v>
      </c>
      <c r="AD8" s="910">
        <v>76732</v>
      </c>
      <c r="AF8" s="914"/>
    </row>
    <row r="9" spans="1:32" ht="15">
      <c r="A9" s="1119"/>
      <c r="B9" s="908" t="s">
        <v>424</v>
      </c>
      <c r="C9" s="909" t="s">
        <v>969</v>
      </c>
      <c r="D9" s="910">
        <v>359</v>
      </c>
      <c r="E9" s="910">
        <v>4729</v>
      </c>
      <c r="F9" s="910"/>
      <c r="G9" s="912">
        <v>1674</v>
      </c>
      <c r="H9" s="910">
        <v>0</v>
      </c>
      <c r="I9" s="910">
        <v>0</v>
      </c>
      <c r="J9" s="910">
        <v>0</v>
      </c>
      <c r="K9" s="910">
        <v>0</v>
      </c>
      <c r="L9" s="910"/>
      <c r="M9" s="910">
        <v>0</v>
      </c>
      <c r="N9" s="910">
        <v>32</v>
      </c>
      <c r="O9" s="910">
        <v>0</v>
      </c>
      <c r="P9" s="912">
        <v>70225</v>
      </c>
      <c r="Q9" s="910">
        <v>6794</v>
      </c>
      <c r="R9" s="911">
        <v>77019</v>
      </c>
      <c r="S9" s="1111"/>
      <c r="T9" s="908" t="s">
        <v>424</v>
      </c>
      <c r="U9" s="909" t="s">
        <v>969</v>
      </c>
      <c r="V9" s="912">
        <v>49760</v>
      </c>
      <c r="W9" s="910">
        <v>13332</v>
      </c>
      <c r="X9" s="910">
        <v>13097</v>
      </c>
      <c r="Y9" s="910">
        <v>6176</v>
      </c>
      <c r="Z9" s="910">
        <v>0</v>
      </c>
      <c r="AA9" s="910">
        <v>0</v>
      </c>
      <c r="AB9" s="910">
        <v>830</v>
      </c>
      <c r="AC9" s="910">
        <v>0</v>
      </c>
      <c r="AD9" s="910">
        <v>77019</v>
      </c>
      <c r="AF9" s="914"/>
    </row>
    <row r="10" spans="1:32" ht="15">
      <c r="A10" s="1116" t="s">
        <v>971</v>
      </c>
      <c r="B10" s="908" t="s">
        <v>424</v>
      </c>
      <c r="C10" s="909" t="s">
        <v>4</v>
      </c>
      <c r="D10" s="910">
        <v>0</v>
      </c>
      <c r="E10" s="910">
        <v>987</v>
      </c>
      <c r="F10" s="910"/>
      <c r="G10" s="910">
        <v>267</v>
      </c>
      <c r="H10" s="910">
        <v>0</v>
      </c>
      <c r="I10" s="910">
        <v>0</v>
      </c>
      <c r="J10" s="910">
        <v>0</v>
      </c>
      <c r="K10" s="910">
        <v>0</v>
      </c>
      <c r="L10" s="910"/>
      <c r="M10" s="910">
        <v>0</v>
      </c>
      <c r="N10" s="910">
        <v>0</v>
      </c>
      <c r="O10" s="910">
        <v>0</v>
      </c>
      <c r="P10" s="912">
        <v>15938</v>
      </c>
      <c r="Q10" s="910">
        <v>1254</v>
      </c>
      <c r="R10" s="911">
        <v>17192</v>
      </c>
      <c r="S10" s="1109" t="s">
        <v>971</v>
      </c>
      <c r="T10" s="908" t="s">
        <v>424</v>
      </c>
      <c r="U10" s="909" t="s">
        <v>4</v>
      </c>
      <c r="V10" s="912">
        <v>10318</v>
      </c>
      <c r="W10" s="912">
        <v>2786</v>
      </c>
      <c r="X10" s="912">
        <v>4088</v>
      </c>
      <c r="Y10" s="912">
        <v>1250</v>
      </c>
      <c r="Z10" s="912">
        <v>0</v>
      </c>
      <c r="AA10" s="912">
        <v>0</v>
      </c>
      <c r="AB10" s="912">
        <v>0</v>
      </c>
      <c r="AC10" s="912">
        <v>0</v>
      </c>
      <c r="AD10" s="912">
        <v>17192</v>
      </c>
      <c r="AE10" s="912">
        <v>0</v>
      </c>
      <c r="AF10" s="912">
        <v>0</v>
      </c>
    </row>
    <row r="11" spans="1:32" ht="15">
      <c r="A11" s="1122"/>
      <c r="B11" s="908" t="s">
        <v>424</v>
      </c>
      <c r="C11" s="909" t="s">
        <v>968</v>
      </c>
      <c r="D11" s="910">
        <v>0</v>
      </c>
      <c r="E11" s="910">
        <v>987</v>
      </c>
      <c r="F11" s="910"/>
      <c r="G11" s="910">
        <v>267</v>
      </c>
      <c r="H11" s="910">
        <v>0</v>
      </c>
      <c r="I11" s="910">
        <v>0</v>
      </c>
      <c r="J11" s="910">
        <v>0</v>
      </c>
      <c r="K11" s="910">
        <v>0</v>
      </c>
      <c r="L11" s="910"/>
      <c r="M11" s="910">
        <v>0</v>
      </c>
      <c r="N11" s="910">
        <v>0</v>
      </c>
      <c r="O11" s="910">
        <v>0</v>
      </c>
      <c r="P11" s="912">
        <v>15938</v>
      </c>
      <c r="Q11" s="910">
        <v>1254</v>
      </c>
      <c r="R11" s="911">
        <v>17192</v>
      </c>
      <c r="S11" s="1110"/>
      <c r="T11" s="908" t="s">
        <v>424</v>
      </c>
      <c r="U11" s="909" t="s">
        <v>968</v>
      </c>
      <c r="V11" s="912">
        <v>10318</v>
      </c>
      <c r="W11" s="912">
        <v>2786</v>
      </c>
      <c r="X11" s="912">
        <v>4088</v>
      </c>
      <c r="Y11" s="912">
        <v>1250</v>
      </c>
      <c r="Z11" s="912">
        <v>0</v>
      </c>
      <c r="AA11" s="912">
        <v>0</v>
      </c>
      <c r="AB11" s="912">
        <v>0</v>
      </c>
      <c r="AC11" s="912">
        <v>0</v>
      </c>
      <c r="AD11" s="910">
        <v>17192</v>
      </c>
      <c r="AE11" s="915"/>
      <c r="AF11" s="915"/>
    </row>
    <row r="12" spans="1:32" ht="15">
      <c r="A12" s="1119"/>
      <c r="B12" s="908" t="s">
        <v>424</v>
      </c>
      <c r="C12" s="909" t="s">
        <v>969</v>
      </c>
      <c r="D12" s="910">
        <v>0</v>
      </c>
      <c r="E12" s="910">
        <v>987</v>
      </c>
      <c r="F12" s="910"/>
      <c r="G12" s="910">
        <v>267</v>
      </c>
      <c r="H12" s="910">
        <v>0</v>
      </c>
      <c r="I12" s="910">
        <v>0</v>
      </c>
      <c r="J12" s="910">
        <v>0</v>
      </c>
      <c r="K12" s="910">
        <v>0</v>
      </c>
      <c r="L12" s="910"/>
      <c r="M12" s="910">
        <v>0</v>
      </c>
      <c r="N12" s="910">
        <v>0</v>
      </c>
      <c r="O12" s="910">
        <v>0</v>
      </c>
      <c r="P12" s="912">
        <v>16028</v>
      </c>
      <c r="Q12" s="910">
        <v>1254</v>
      </c>
      <c r="R12" s="911">
        <v>17282</v>
      </c>
      <c r="S12" s="1111"/>
      <c r="T12" s="908" t="s">
        <v>424</v>
      </c>
      <c r="U12" s="909" t="s">
        <v>969</v>
      </c>
      <c r="V12" s="912">
        <v>10318</v>
      </c>
      <c r="W12" s="912">
        <v>2786</v>
      </c>
      <c r="X12" s="912">
        <v>4166</v>
      </c>
      <c r="Y12" s="912">
        <v>1250</v>
      </c>
      <c r="Z12" s="912">
        <v>0</v>
      </c>
      <c r="AA12" s="912">
        <v>0</v>
      </c>
      <c r="AB12" s="912">
        <v>12</v>
      </c>
      <c r="AC12" s="912">
        <v>0</v>
      </c>
      <c r="AD12" s="910">
        <v>17282</v>
      </c>
      <c r="AE12" s="915"/>
      <c r="AF12" s="915"/>
    </row>
    <row r="13" spans="1:32" ht="15">
      <c r="A13" s="1116" t="s">
        <v>972</v>
      </c>
      <c r="B13" s="908" t="s">
        <v>424</v>
      </c>
      <c r="C13" s="909" t="s">
        <v>4</v>
      </c>
      <c r="D13" s="910">
        <v>7660</v>
      </c>
      <c r="E13" s="910">
        <v>5490</v>
      </c>
      <c r="F13" s="910"/>
      <c r="G13" s="910">
        <v>3549</v>
      </c>
      <c r="H13" s="910">
        <v>0</v>
      </c>
      <c r="I13" s="910">
        <v>0</v>
      </c>
      <c r="J13" s="910">
        <v>0</v>
      </c>
      <c r="K13" s="910">
        <v>0</v>
      </c>
      <c r="L13" s="910"/>
      <c r="M13" s="910">
        <v>0</v>
      </c>
      <c r="N13" s="910">
        <v>0</v>
      </c>
      <c r="O13" s="910">
        <v>0</v>
      </c>
      <c r="P13" s="912">
        <v>88255</v>
      </c>
      <c r="Q13" s="910">
        <v>16699</v>
      </c>
      <c r="R13" s="911">
        <v>104954</v>
      </c>
      <c r="S13" s="1109" t="s">
        <v>972</v>
      </c>
      <c r="T13" s="908" t="s">
        <v>424</v>
      </c>
      <c r="U13" s="909" t="s">
        <v>4</v>
      </c>
      <c r="V13" s="912">
        <v>61088</v>
      </c>
      <c r="W13" s="912">
        <v>16024</v>
      </c>
      <c r="X13" s="910">
        <v>27842</v>
      </c>
      <c r="Y13" s="910">
        <v>7190</v>
      </c>
      <c r="Z13" s="910">
        <v>0</v>
      </c>
      <c r="AA13" s="910">
        <v>0</v>
      </c>
      <c r="AB13" s="910">
        <v>0</v>
      </c>
      <c r="AC13" s="910">
        <v>0</v>
      </c>
      <c r="AD13" s="910">
        <v>104954</v>
      </c>
      <c r="AF13" s="914">
        <v>104954</v>
      </c>
    </row>
    <row r="14" spans="1:32" ht="15">
      <c r="A14" s="1122"/>
      <c r="B14" s="908" t="s">
        <v>424</v>
      </c>
      <c r="C14" s="909" t="s">
        <v>968</v>
      </c>
      <c r="D14" s="910">
        <v>7660</v>
      </c>
      <c r="E14" s="910">
        <v>5490</v>
      </c>
      <c r="F14" s="910"/>
      <c r="G14" s="910">
        <v>3549</v>
      </c>
      <c r="H14" s="910">
        <v>0</v>
      </c>
      <c r="I14" s="910">
        <v>0</v>
      </c>
      <c r="J14" s="910">
        <v>0</v>
      </c>
      <c r="K14" s="910">
        <v>0</v>
      </c>
      <c r="L14" s="910"/>
      <c r="M14" s="910">
        <v>0</v>
      </c>
      <c r="N14" s="910">
        <v>311</v>
      </c>
      <c r="O14" s="910">
        <v>0</v>
      </c>
      <c r="P14" s="912">
        <v>88740</v>
      </c>
      <c r="Q14" s="910">
        <v>17010</v>
      </c>
      <c r="R14" s="911">
        <v>105750</v>
      </c>
      <c r="S14" s="1110"/>
      <c r="T14" s="908" t="s">
        <v>424</v>
      </c>
      <c r="U14" s="909" t="s">
        <v>968</v>
      </c>
      <c r="V14" s="912">
        <v>61392</v>
      </c>
      <c r="W14" s="912">
        <v>16105</v>
      </c>
      <c r="X14" s="910">
        <v>27629</v>
      </c>
      <c r="Y14" s="910">
        <v>7190</v>
      </c>
      <c r="Z14" s="910">
        <v>0</v>
      </c>
      <c r="AA14" s="910">
        <v>311</v>
      </c>
      <c r="AB14" s="910">
        <v>313</v>
      </c>
      <c r="AC14" s="910">
        <v>0</v>
      </c>
      <c r="AD14" s="910">
        <v>105750</v>
      </c>
      <c r="AF14" s="914"/>
    </row>
    <row r="15" spans="1:32" ht="15">
      <c r="A15" s="1119"/>
      <c r="B15" s="908" t="s">
        <v>424</v>
      </c>
      <c r="C15" s="909" t="s">
        <v>969</v>
      </c>
      <c r="D15" s="910">
        <v>9539</v>
      </c>
      <c r="E15" s="910">
        <v>5490</v>
      </c>
      <c r="F15" s="910"/>
      <c r="G15" s="910">
        <v>3570</v>
      </c>
      <c r="H15" s="910">
        <v>0</v>
      </c>
      <c r="I15" s="910">
        <v>0</v>
      </c>
      <c r="J15" s="910">
        <v>0</v>
      </c>
      <c r="K15" s="910">
        <v>0</v>
      </c>
      <c r="L15" s="910"/>
      <c r="M15" s="910">
        <v>0</v>
      </c>
      <c r="N15" s="910">
        <v>311</v>
      </c>
      <c r="O15" s="910">
        <v>0</v>
      </c>
      <c r="P15" s="912">
        <v>89035</v>
      </c>
      <c r="Q15" s="910">
        <v>18910</v>
      </c>
      <c r="R15" s="911">
        <v>107945</v>
      </c>
      <c r="S15" s="1111"/>
      <c r="T15" s="908" t="s">
        <v>424</v>
      </c>
      <c r="U15" s="909" t="s">
        <v>969</v>
      </c>
      <c r="V15" s="912">
        <v>61427</v>
      </c>
      <c r="W15" s="912">
        <v>16115</v>
      </c>
      <c r="X15" s="910">
        <v>29779</v>
      </c>
      <c r="Y15" s="910">
        <v>7190</v>
      </c>
      <c r="Z15" s="910">
        <v>0</v>
      </c>
      <c r="AA15" s="910">
        <v>311</v>
      </c>
      <c r="AB15" s="910">
        <v>313</v>
      </c>
      <c r="AC15" s="910">
        <v>0</v>
      </c>
      <c r="AD15" s="910">
        <v>107945</v>
      </c>
      <c r="AF15" s="914"/>
    </row>
    <row r="16" spans="1:32" ht="15">
      <c r="A16" s="1116" t="s">
        <v>973</v>
      </c>
      <c r="B16" s="908" t="s">
        <v>424</v>
      </c>
      <c r="C16" s="909" t="s">
        <v>4</v>
      </c>
      <c r="D16" s="910">
        <v>16579</v>
      </c>
      <c r="E16" s="912">
        <v>3270</v>
      </c>
      <c r="F16" s="912"/>
      <c r="G16" s="910">
        <v>5359</v>
      </c>
      <c r="H16" s="910">
        <v>0</v>
      </c>
      <c r="I16" s="910">
        <v>0</v>
      </c>
      <c r="J16" s="910">
        <v>0</v>
      </c>
      <c r="K16" s="910">
        <v>0</v>
      </c>
      <c r="L16" s="910"/>
      <c r="M16" s="910">
        <v>0</v>
      </c>
      <c r="N16" s="910">
        <v>0</v>
      </c>
      <c r="O16" s="910">
        <v>0</v>
      </c>
      <c r="P16" s="912">
        <v>67404</v>
      </c>
      <c r="Q16" s="910">
        <v>25208</v>
      </c>
      <c r="R16" s="911">
        <v>92612</v>
      </c>
      <c r="S16" s="1109" t="s">
        <v>973</v>
      </c>
      <c r="T16" s="908" t="s">
        <v>424</v>
      </c>
      <c r="U16" s="909" t="s">
        <v>4</v>
      </c>
      <c r="V16" s="912">
        <v>44524</v>
      </c>
      <c r="W16" s="912">
        <v>11849</v>
      </c>
      <c r="X16" s="910">
        <v>32539</v>
      </c>
      <c r="Y16" s="910">
        <v>3731</v>
      </c>
      <c r="Z16" s="910">
        <v>0</v>
      </c>
      <c r="AA16" s="910">
        <v>0</v>
      </c>
      <c r="AB16" s="910">
        <v>2000</v>
      </c>
      <c r="AC16" s="910">
        <v>1700</v>
      </c>
      <c r="AD16" s="910">
        <v>92612</v>
      </c>
      <c r="AF16" s="914">
        <v>92612</v>
      </c>
    </row>
    <row r="17" spans="1:32" ht="15">
      <c r="A17" s="1122"/>
      <c r="B17" s="908" t="s">
        <v>424</v>
      </c>
      <c r="C17" s="909" t="s">
        <v>968</v>
      </c>
      <c r="D17" s="910">
        <v>16579</v>
      </c>
      <c r="E17" s="912">
        <v>3270</v>
      </c>
      <c r="F17" s="912"/>
      <c r="G17" s="910">
        <v>5359</v>
      </c>
      <c r="H17" s="910">
        <v>0</v>
      </c>
      <c r="I17" s="910">
        <v>0</v>
      </c>
      <c r="J17" s="910">
        <v>0</v>
      </c>
      <c r="K17" s="910">
        <v>0</v>
      </c>
      <c r="L17" s="910"/>
      <c r="M17" s="910">
        <v>0</v>
      </c>
      <c r="N17" s="910">
        <v>91</v>
      </c>
      <c r="O17" s="910">
        <v>0</v>
      </c>
      <c r="P17" s="912">
        <v>67631</v>
      </c>
      <c r="Q17" s="910">
        <v>25299</v>
      </c>
      <c r="R17" s="911">
        <v>92930</v>
      </c>
      <c r="S17" s="1110"/>
      <c r="T17" s="908" t="s">
        <v>424</v>
      </c>
      <c r="U17" s="909" t="s">
        <v>968</v>
      </c>
      <c r="V17" s="912">
        <v>44711</v>
      </c>
      <c r="W17" s="912">
        <v>11889</v>
      </c>
      <c r="X17" s="910">
        <v>32630</v>
      </c>
      <c r="Y17" s="910">
        <v>3731</v>
      </c>
      <c r="Z17" s="910">
        <v>0</v>
      </c>
      <c r="AA17" s="910">
        <v>0</v>
      </c>
      <c r="AB17" s="910">
        <v>2000</v>
      </c>
      <c r="AC17" s="910">
        <v>1700</v>
      </c>
      <c r="AD17" s="910">
        <v>92930</v>
      </c>
      <c r="AF17" s="914"/>
    </row>
    <row r="18" spans="1:32" ht="15">
      <c r="A18" s="1119"/>
      <c r="B18" s="908" t="s">
        <v>424</v>
      </c>
      <c r="C18" s="909" t="s">
        <v>969</v>
      </c>
      <c r="D18" s="910">
        <v>16579</v>
      </c>
      <c r="E18" s="912">
        <v>3270</v>
      </c>
      <c r="F18" s="912"/>
      <c r="G18" s="910">
        <v>5359</v>
      </c>
      <c r="H18" s="910">
        <v>0</v>
      </c>
      <c r="I18" s="910">
        <v>0</v>
      </c>
      <c r="J18" s="910">
        <v>0</v>
      </c>
      <c r="K18" s="910">
        <v>0</v>
      </c>
      <c r="L18" s="910"/>
      <c r="M18" s="910">
        <v>0</v>
      </c>
      <c r="N18" s="910">
        <v>91</v>
      </c>
      <c r="O18" s="910">
        <v>0</v>
      </c>
      <c r="P18" s="912">
        <v>67878</v>
      </c>
      <c r="Q18" s="910">
        <v>25299</v>
      </c>
      <c r="R18" s="911">
        <v>93177</v>
      </c>
      <c r="S18" s="1111"/>
      <c r="T18" s="908" t="s">
        <v>424</v>
      </c>
      <c r="U18" s="909" t="s">
        <v>969</v>
      </c>
      <c r="V18" s="912">
        <v>44905</v>
      </c>
      <c r="W18" s="912">
        <v>11942</v>
      </c>
      <c r="X18" s="910">
        <v>32630</v>
      </c>
      <c r="Y18" s="910">
        <v>3731</v>
      </c>
      <c r="Z18" s="910">
        <v>0</v>
      </c>
      <c r="AA18" s="910">
        <v>0</v>
      </c>
      <c r="AB18" s="910">
        <v>2000</v>
      </c>
      <c r="AC18" s="910">
        <v>1700</v>
      </c>
      <c r="AD18" s="910">
        <v>93177</v>
      </c>
      <c r="AF18" s="914"/>
    </row>
    <row r="19" spans="1:32" ht="15">
      <c r="A19" s="1116" t="s">
        <v>974</v>
      </c>
      <c r="B19" s="908" t="s">
        <v>424</v>
      </c>
      <c r="C19" s="909" t="s">
        <v>4</v>
      </c>
      <c r="D19" s="910">
        <v>289</v>
      </c>
      <c r="E19" s="910">
        <v>5137</v>
      </c>
      <c r="F19" s="910"/>
      <c r="G19" s="912">
        <v>1765</v>
      </c>
      <c r="H19" s="910">
        <v>0</v>
      </c>
      <c r="I19" s="912">
        <v>0</v>
      </c>
      <c r="J19" s="910">
        <v>900</v>
      </c>
      <c r="K19" s="910">
        <v>0</v>
      </c>
      <c r="L19" s="910"/>
      <c r="M19" s="910">
        <v>0</v>
      </c>
      <c r="N19" s="910">
        <v>0</v>
      </c>
      <c r="O19" s="910">
        <v>0</v>
      </c>
      <c r="P19" s="912">
        <v>71391</v>
      </c>
      <c r="Q19" s="910">
        <v>8091</v>
      </c>
      <c r="R19" s="911">
        <v>79482</v>
      </c>
      <c r="S19" s="1109" t="s">
        <v>974</v>
      </c>
      <c r="T19" s="908" t="s">
        <v>424</v>
      </c>
      <c r="U19" s="909" t="s">
        <v>4</v>
      </c>
      <c r="V19" s="912">
        <v>49218</v>
      </c>
      <c r="W19" s="912">
        <v>13077</v>
      </c>
      <c r="X19" s="910">
        <v>13633</v>
      </c>
      <c r="Y19" s="910">
        <v>6539</v>
      </c>
      <c r="Z19" s="910">
        <v>0</v>
      </c>
      <c r="AA19" s="910">
        <v>0</v>
      </c>
      <c r="AB19" s="910">
        <v>900</v>
      </c>
      <c r="AC19" s="910">
        <v>2654</v>
      </c>
      <c r="AD19" s="910">
        <v>79482</v>
      </c>
      <c r="AF19" s="914">
        <v>79482</v>
      </c>
    </row>
    <row r="20" spans="1:32" ht="15">
      <c r="A20" s="1122"/>
      <c r="B20" s="908" t="s">
        <v>424</v>
      </c>
      <c r="C20" s="909" t="s">
        <v>968</v>
      </c>
      <c r="D20" s="910">
        <v>289</v>
      </c>
      <c r="E20" s="910">
        <v>5137</v>
      </c>
      <c r="F20" s="910"/>
      <c r="G20" s="912">
        <v>1765</v>
      </c>
      <c r="H20" s="910">
        <v>0</v>
      </c>
      <c r="I20" s="912">
        <v>0</v>
      </c>
      <c r="J20" s="910">
        <v>900</v>
      </c>
      <c r="K20" s="910">
        <v>0</v>
      </c>
      <c r="L20" s="910">
        <v>1938</v>
      </c>
      <c r="M20" s="910">
        <v>0</v>
      </c>
      <c r="N20" s="910">
        <v>-223</v>
      </c>
      <c r="O20" s="910">
        <v>0</v>
      </c>
      <c r="P20" s="912">
        <v>71660</v>
      </c>
      <c r="Q20" s="910">
        <v>9806</v>
      </c>
      <c r="R20" s="911">
        <v>81466</v>
      </c>
      <c r="S20" s="1110"/>
      <c r="T20" s="908" t="s">
        <v>424</v>
      </c>
      <c r="U20" s="909" t="s">
        <v>968</v>
      </c>
      <c r="V20" s="912">
        <v>50705</v>
      </c>
      <c r="W20" s="912">
        <v>13474</v>
      </c>
      <c r="X20" s="910">
        <v>13733</v>
      </c>
      <c r="Y20" s="910">
        <v>6539</v>
      </c>
      <c r="Z20" s="910">
        <v>0</v>
      </c>
      <c r="AA20" s="910">
        <v>0</v>
      </c>
      <c r="AB20" s="910">
        <v>900</v>
      </c>
      <c r="AC20" s="910">
        <v>2654</v>
      </c>
      <c r="AD20" s="910">
        <v>81466</v>
      </c>
      <c r="AF20" s="914"/>
    </row>
    <row r="21" spans="1:32" ht="15">
      <c r="A21" s="1119"/>
      <c r="B21" s="908" t="s">
        <v>424</v>
      </c>
      <c r="C21" s="909" t="s">
        <v>969</v>
      </c>
      <c r="D21" s="910">
        <v>289</v>
      </c>
      <c r="E21" s="910">
        <v>5137</v>
      </c>
      <c r="F21" s="910"/>
      <c r="G21" s="912">
        <v>1765</v>
      </c>
      <c r="H21" s="910">
        <v>0</v>
      </c>
      <c r="I21" s="912">
        <v>0</v>
      </c>
      <c r="J21" s="910">
        <v>900</v>
      </c>
      <c r="K21" s="910">
        <v>0</v>
      </c>
      <c r="L21" s="910">
        <v>1715</v>
      </c>
      <c r="M21" s="910">
        <v>0</v>
      </c>
      <c r="N21" s="910">
        <v>0</v>
      </c>
      <c r="O21" s="910">
        <v>0</v>
      </c>
      <c r="P21" s="912">
        <v>71936</v>
      </c>
      <c r="Q21" s="910">
        <v>9806</v>
      </c>
      <c r="R21" s="911">
        <v>81742</v>
      </c>
      <c r="S21" s="1111"/>
      <c r="T21" s="908" t="s">
        <v>424</v>
      </c>
      <c r="U21" s="909" t="s">
        <v>969</v>
      </c>
      <c r="V21" s="912">
        <v>50922</v>
      </c>
      <c r="W21" s="912">
        <v>13533</v>
      </c>
      <c r="X21" s="910">
        <v>13515</v>
      </c>
      <c r="Y21" s="910">
        <v>6539</v>
      </c>
      <c r="Z21" s="910">
        <v>0</v>
      </c>
      <c r="AA21" s="910">
        <v>0</v>
      </c>
      <c r="AB21" s="910">
        <v>1000</v>
      </c>
      <c r="AC21" s="910">
        <v>2772</v>
      </c>
      <c r="AD21" s="910">
        <v>81742</v>
      </c>
      <c r="AF21" s="914"/>
    </row>
    <row r="22" spans="1:32" s="900" customFormat="1" ht="15">
      <c r="A22" s="1123" t="s">
        <v>975</v>
      </c>
      <c r="B22" s="916" t="s">
        <v>424</v>
      </c>
      <c r="C22" s="917" t="s">
        <v>4</v>
      </c>
      <c r="D22" s="912">
        <v>163</v>
      </c>
      <c r="E22" s="912">
        <v>1340</v>
      </c>
      <c r="F22" s="912"/>
      <c r="G22" s="912">
        <v>406</v>
      </c>
      <c r="H22" s="912">
        <v>0</v>
      </c>
      <c r="I22" s="912">
        <v>0</v>
      </c>
      <c r="J22" s="912">
        <v>0</v>
      </c>
      <c r="K22" s="912">
        <v>0</v>
      </c>
      <c r="L22" s="912"/>
      <c r="M22" s="912">
        <v>0</v>
      </c>
      <c r="N22" s="912">
        <v>0</v>
      </c>
      <c r="O22" s="912">
        <v>0</v>
      </c>
      <c r="P22" s="912">
        <v>29010</v>
      </c>
      <c r="Q22" s="912">
        <v>1909</v>
      </c>
      <c r="R22" s="918">
        <v>30919</v>
      </c>
      <c r="S22" s="1125" t="s">
        <v>975</v>
      </c>
      <c r="T22" s="916" t="s">
        <v>424</v>
      </c>
      <c r="U22" s="909" t="s">
        <v>4</v>
      </c>
      <c r="V22" s="912">
        <v>18672</v>
      </c>
      <c r="W22" s="912">
        <v>4952</v>
      </c>
      <c r="X22" s="912">
        <v>7295</v>
      </c>
      <c r="Y22" s="912">
        <v>3152</v>
      </c>
      <c r="Z22" s="912">
        <v>0</v>
      </c>
      <c r="AA22" s="912">
        <v>0</v>
      </c>
      <c r="AB22" s="912">
        <v>0</v>
      </c>
      <c r="AC22" s="912">
        <v>0</v>
      </c>
      <c r="AD22" s="912">
        <v>30919</v>
      </c>
      <c r="AF22" s="919">
        <v>30919</v>
      </c>
    </row>
    <row r="23" spans="1:32" s="900" customFormat="1" ht="15">
      <c r="A23" s="1124"/>
      <c r="B23" s="916" t="s">
        <v>424</v>
      </c>
      <c r="C23" s="909" t="s">
        <v>968</v>
      </c>
      <c r="D23" s="912">
        <v>163</v>
      </c>
      <c r="E23" s="912">
        <v>1340</v>
      </c>
      <c r="F23" s="912"/>
      <c r="G23" s="912">
        <v>406</v>
      </c>
      <c r="H23" s="912">
        <v>0</v>
      </c>
      <c r="I23" s="912">
        <v>0</v>
      </c>
      <c r="J23" s="912">
        <v>0</v>
      </c>
      <c r="K23" s="912">
        <v>0</v>
      </c>
      <c r="L23" s="912"/>
      <c r="M23" s="912">
        <v>0</v>
      </c>
      <c r="N23" s="912">
        <v>0</v>
      </c>
      <c r="O23" s="912">
        <v>0</v>
      </c>
      <c r="P23" s="912">
        <v>29133</v>
      </c>
      <c r="Q23" s="912">
        <v>1909</v>
      </c>
      <c r="R23" s="918">
        <v>31042</v>
      </c>
      <c r="S23" s="1110"/>
      <c r="T23" s="916" t="s">
        <v>424</v>
      </c>
      <c r="U23" s="909" t="s">
        <v>968</v>
      </c>
      <c r="V23" s="912">
        <v>18690</v>
      </c>
      <c r="W23" s="912">
        <v>4957</v>
      </c>
      <c r="X23" s="912">
        <v>7395</v>
      </c>
      <c r="Y23" s="912">
        <v>3152</v>
      </c>
      <c r="Z23" s="912">
        <v>0</v>
      </c>
      <c r="AA23" s="912">
        <v>0</v>
      </c>
      <c r="AB23" s="912">
        <v>0</v>
      </c>
      <c r="AC23" s="912">
        <v>0</v>
      </c>
      <c r="AD23" s="910">
        <v>31042</v>
      </c>
      <c r="AF23" s="919"/>
    </row>
    <row r="24" spans="1:32" s="900" customFormat="1" ht="15">
      <c r="A24" s="1119"/>
      <c r="B24" s="916" t="s">
        <v>424</v>
      </c>
      <c r="C24" s="909" t="s">
        <v>969</v>
      </c>
      <c r="D24" s="912">
        <v>163</v>
      </c>
      <c r="E24" s="912">
        <v>1340</v>
      </c>
      <c r="F24" s="912"/>
      <c r="G24" s="912">
        <v>406</v>
      </c>
      <c r="H24" s="912">
        <v>0</v>
      </c>
      <c r="I24" s="912">
        <v>0</v>
      </c>
      <c r="J24" s="912">
        <v>0</v>
      </c>
      <c r="K24" s="912">
        <v>0</v>
      </c>
      <c r="L24" s="912"/>
      <c r="M24" s="912">
        <v>0</v>
      </c>
      <c r="N24" s="912">
        <v>0</v>
      </c>
      <c r="O24" s="912">
        <v>0</v>
      </c>
      <c r="P24" s="912">
        <v>29133</v>
      </c>
      <c r="Q24" s="912">
        <v>1909</v>
      </c>
      <c r="R24" s="918">
        <v>31042</v>
      </c>
      <c r="S24" s="1111"/>
      <c r="T24" s="916" t="s">
        <v>424</v>
      </c>
      <c r="U24" s="909" t="s">
        <v>969</v>
      </c>
      <c r="V24" s="912">
        <v>18690</v>
      </c>
      <c r="W24" s="912">
        <v>4957</v>
      </c>
      <c r="X24" s="912">
        <v>7395</v>
      </c>
      <c r="Y24" s="912">
        <v>3152</v>
      </c>
      <c r="Z24" s="912">
        <v>0</v>
      </c>
      <c r="AA24" s="912">
        <v>0</v>
      </c>
      <c r="AB24" s="912">
        <v>0</v>
      </c>
      <c r="AC24" s="912">
        <v>0</v>
      </c>
      <c r="AD24" s="910">
        <v>31042</v>
      </c>
      <c r="AF24" s="919"/>
    </row>
    <row r="25" spans="1:32" ht="15">
      <c r="A25" s="1116" t="s">
        <v>976</v>
      </c>
      <c r="B25" s="908" t="s">
        <v>424</v>
      </c>
      <c r="C25" s="909" t="s">
        <v>4</v>
      </c>
      <c r="D25" s="910">
        <v>11553</v>
      </c>
      <c r="E25" s="912">
        <v>11112</v>
      </c>
      <c r="F25" s="912"/>
      <c r="G25" s="912">
        <v>4430</v>
      </c>
      <c r="H25" s="910">
        <v>0</v>
      </c>
      <c r="I25" s="910">
        <v>0</v>
      </c>
      <c r="J25" s="910">
        <v>0</v>
      </c>
      <c r="K25" s="910">
        <v>0</v>
      </c>
      <c r="L25" s="910"/>
      <c r="M25" s="910">
        <v>0</v>
      </c>
      <c r="N25" s="910">
        <v>0</v>
      </c>
      <c r="O25" s="910">
        <v>0</v>
      </c>
      <c r="P25" s="912">
        <v>85285</v>
      </c>
      <c r="Q25" s="910">
        <v>27095</v>
      </c>
      <c r="R25" s="911">
        <v>112380</v>
      </c>
      <c r="S25" s="1109" t="s">
        <v>976</v>
      </c>
      <c r="T25" s="908" t="s">
        <v>424</v>
      </c>
      <c r="U25" s="909" t="s">
        <v>4</v>
      </c>
      <c r="V25" s="912">
        <v>56910</v>
      </c>
      <c r="W25" s="912">
        <v>14642</v>
      </c>
      <c r="X25" s="910">
        <v>32695</v>
      </c>
      <c r="Y25" s="910">
        <v>5404</v>
      </c>
      <c r="Z25" s="910">
        <v>0</v>
      </c>
      <c r="AA25" s="910">
        <v>0</v>
      </c>
      <c r="AB25" s="910">
        <v>1293</v>
      </c>
      <c r="AC25" s="910">
        <v>6840</v>
      </c>
      <c r="AD25" s="910">
        <v>112380</v>
      </c>
      <c r="AF25" s="914">
        <v>112380</v>
      </c>
    </row>
    <row r="26" spans="1:32" ht="15">
      <c r="A26" s="1122"/>
      <c r="B26" s="908" t="s">
        <v>424</v>
      </c>
      <c r="C26" s="909" t="s">
        <v>968</v>
      </c>
      <c r="D26" s="910">
        <v>11553</v>
      </c>
      <c r="E26" s="912">
        <v>11112</v>
      </c>
      <c r="F26" s="912"/>
      <c r="G26" s="912">
        <v>4430</v>
      </c>
      <c r="H26" s="910">
        <v>651</v>
      </c>
      <c r="I26" s="910">
        <v>0</v>
      </c>
      <c r="J26" s="910">
        <v>0</v>
      </c>
      <c r="K26" s="910">
        <v>0</v>
      </c>
      <c r="L26" s="910"/>
      <c r="M26" s="910">
        <v>0</v>
      </c>
      <c r="N26" s="910">
        <v>313</v>
      </c>
      <c r="O26" s="910">
        <v>0</v>
      </c>
      <c r="P26" s="912">
        <v>88488</v>
      </c>
      <c r="Q26" s="910">
        <v>28059</v>
      </c>
      <c r="R26" s="911">
        <v>116547</v>
      </c>
      <c r="S26" s="1110"/>
      <c r="T26" s="908" t="s">
        <v>424</v>
      </c>
      <c r="U26" s="909" t="s">
        <v>968</v>
      </c>
      <c r="V26" s="912">
        <v>59708</v>
      </c>
      <c r="W26" s="912">
        <v>15360</v>
      </c>
      <c r="X26" s="910">
        <v>32695</v>
      </c>
      <c r="Y26" s="910">
        <v>5404</v>
      </c>
      <c r="Z26" s="910">
        <v>0</v>
      </c>
      <c r="AA26" s="910">
        <v>0</v>
      </c>
      <c r="AB26" s="910">
        <v>2744</v>
      </c>
      <c r="AC26" s="910">
        <v>6040</v>
      </c>
      <c r="AD26" s="910">
        <v>116547</v>
      </c>
      <c r="AF26" s="914"/>
    </row>
    <row r="27" spans="1:32" ht="15">
      <c r="A27" s="1119"/>
      <c r="B27" s="908" t="s">
        <v>424</v>
      </c>
      <c r="C27" s="909" t="s">
        <v>969</v>
      </c>
      <c r="D27" s="910">
        <v>11553</v>
      </c>
      <c r="E27" s="912">
        <v>11112</v>
      </c>
      <c r="F27" s="912"/>
      <c r="G27" s="912">
        <v>4430</v>
      </c>
      <c r="H27" s="910">
        <v>651</v>
      </c>
      <c r="I27" s="910">
        <v>0</v>
      </c>
      <c r="J27" s="910">
        <v>0</v>
      </c>
      <c r="K27" s="910">
        <v>0</v>
      </c>
      <c r="L27" s="910"/>
      <c r="M27" s="910">
        <v>0</v>
      </c>
      <c r="N27" s="910">
        <v>313</v>
      </c>
      <c r="O27" s="910">
        <v>0</v>
      </c>
      <c r="P27" s="912">
        <v>93348</v>
      </c>
      <c r="Q27" s="910">
        <v>28059</v>
      </c>
      <c r="R27" s="911">
        <v>121407</v>
      </c>
      <c r="S27" s="1111"/>
      <c r="T27" s="908" t="s">
        <v>424</v>
      </c>
      <c r="U27" s="909" t="s">
        <v>969</v>
      </c>
      <c r="V27" s="912">
        <v>66091</v>
      </c>
      <c r="W27" s="912">
        <v>17083</v>
      </c>
      <c r="X27" s="910">
        <v>33949</v>
      </c>
      <c r="Y27" s="910">
        <v>5404</v>
      </c>
      <c r="Z27" s="910">
        <v>0</v>
      </c>
      <c r="AA27" s="910">
        <v>0</v>
      </c>
      <c r="AB27" s="910">
        <v>2744</v>
      </c>
      <c r="AC27" s="910">
        <v>1540</v>
      </c>
      <c r="AD27" s="910">
        <v>121407</v>
      </c>
      <c r="AF27" s="914"/>
    </row>
    <row r="28" spans="1:32" ht="15">
      <c r="A28" s="1116" t="s">
        <v>977</v>
      </c>
      <c r="B28" s="908" t="s">
        <v>424</v>
      </c>
      <c r="C28" s="909" t="s">
        <v>4</v>
      </c>
      <c r="D28" s="910">
        <v>3400</v>
      </c>
      <c r="E28" s="912">
        <v>15542</v>
      </c>
      <c r="F28" s="912"/>
      <c r="G28" s="912">
        <v>5114</v>
      </c>
      <c r="H28" s="910">
        <v>0</v>
      </c>
      <c r="I28" s="910">
        <v>0</v>
      </c>
      <c r="J28" s="910">
        <v>0</v>
      </c>
      <c r="K28" s="910">
        <v>0</v>
      </c>
      <c r="L28" s="910"/>
      <c r="M28" s="910">
        <v>0</v>
      </c>
      <c r="N28" s="912">
        <v>0</v>
      </c>
      <c r="O28" s="910">
        <v>0</v>
      </c>
      <c r="P28" s="912">
        <v>70588</v>
      </c>
      <c r="Q28" s="910">
        <v>24056</v>
      </c>
      <c r="R28" s="911">
        <v>94644</v>
      </c>
      <c r="S28" s="1109" t="s">
        <v>977</v>
      </c>
      <c r="T28" s="908" t="s">
        <v>424</v>
      </c>
      <c r="U28" s="909" t="s">
        <v>4</v>
      </c>
      <c r="V28" s="912">
        <v>0</v>
      </c>
      <c r="W28" s="912">
        <v>0</v>
      </c>
      <c r="X28" s="910">
        <v>91944</v>
      </c>
      <c r="Y28" s="910">
        <v>50705</v>
      </c>
      <c r="Z28" s="910">
        <v>0</v>
      </c>
      <c r="AA28" s="910">
        <v>0</v>
      </c>
      <c r="AB28" s="910">
        <v>0</v>
      </c>
      <c r="AC28" s="910">
        <v>2700</v>
      </c>
      <c r="AD28" s="910">
        <v>94644</v>
      </c>
      <c r="AF28" s="914">
        <v>94644</v>
      </c>
    </row>
    <row r="29" spans="1:32" ht="15">
      <c r="A29" s="1122"/>
      <c r="B29" s="908" t="s">
        <v>424</v>
      </c>
      <c r="C29" s="909" t="s">
        <v>968</v>
      </c>
      <c r="D29" s="910">
        <v>3400</v>
      </c>
      <c r="E29" s="912">
        <v>15542</v>
      </c>
      <c r="F29" s="912"/>
      <c r="G29" s="912">
        <v>5114</v>
      </c>
      <c r="H29" s="910">
        <v>0</v>
      </c>
      <c r="I29" s="910">
        <v>0</v>
      </c>
      <c r="J29" s="910">
        <v>0</v>
      </c>
      <c r="K29" s="910">
        <v>0</v>
      </c>
      <c r="L29" s="910"/>
      <c r="M29" s="910">
        <v>0</v>
      </c>
      <c r="N29" s="912">
        <v>0</v>
      </c>
      <c r="O29" s="910">
        <v>0</v>
      </c>
      <c r="P29" s="912">
        <v>70588</v>
      </c>
      <c r="Q29" s="910">
        <v>24056</v>
      </c>
      <c r="R29" s="911">
        <v>94644</v>
      </c>
      <c r="S29" s="1110"/>
      <c r="T29" s="908" t="s">
        <v>424</v>
      </c>
      <c r="U29" s="909" t="s">
        <v>968</v>
      </c>
      <c r="V29" s="912">
        <v>0</v>
      </c>
      <c r="W29" s="912">
        <v>0</v>
      </c>
      <c r="X29" s="910">
        <v>91490</v>
      </c>
      <c r="Y29" s="910">
        <v>50705</v>
      </c>
      <c r="Z29" s="910">
        <v>0</v>
      </c>
      <c r="AA29" s="910">
        <v>0</v>
      </c>
      <c r="AB29" s="910">
        <v>454</v>
      </c>
      <c r="AC29" s="910">
        <v>2700</v>
      </c>
      <c r="AD29" s="910">
        <v>94644</v>
      </c>
      <c r="AF29" s="914"/>
    </row>
    <row r="30" spans="1:32" ht="15">
      <c r="A30" s="1119"/>
      <c r="B30" s="908" t="s">
        <v>424</v>
      </c>
      <c r="C30" s="909" t="s">
        <v>969</v>
      </c>
      <c r="D30" s="910">
        <v>3400</v>
      </c>
      <c r="E30" s="912">
        <v>15542</v>
      </c>
      <c r="F30" s="912"/>
      <c r="G30" s="912">
        <v>5114</v>
      </c>
      <c r="H30" s="910">
        <v>0</v>
      </c>
      <c r="I30" s="910">
        <v>0</v>
      </c>
      <c r="J30" s="910">
        <v>0</v>
      </c>
      <c r="K30" s="910">
        <v>0</v>
      </c>
      <c r="L30" s="910"/>
      <c r="M30" s="910">
        <v>0</v>
      </c>
      <c r="N30" s="912">
        <v>0</v>
      </c>
      <c r="O30" s="910">
        <v>0</v>
      </c>
      <c r="P30" s="912">
        <v>69828</v>
      </c>
      <c r="Q30" s="910">
        <v>24056</v>
      </c>
      <c r="R30" s="911">
        <v>93884</v>
      </c>
      <c r="S30" s="1111"/>
      <c r="T30" s="908" t="s">
        <v>424</v>
      </c>
      <c r="U30" s="909" t="s">
        <v>969</v>
      </c>
      <c r="V30" s="912">
        <v>0</v>
      </c>
      <c r="W30" s="912">
        <v>0</v>
      </c>
      <c r="X30" s="910">
        <v>90090</v>
      </c>
      <c r="Y30" s="910">
        <v>50705</v>
      </c>
      <c r="Z30" s="910">
        <v>0</v>
      </c>
      <c r="AA30" s="910">
        <v>0</v>
      </c>
      <c r="AB30" s="910">
        <v>1094</v>
      </c>
      <c r="AC30" s="910">
        <v>2700</v>
      </c>
      <c r="AD30" s="910">
        <v>93884</v>
      </c>
      <c r="AF30" s="914"/>
    </row>
    <row r="31" spans="1:32" ht="15">
      <c r="A31" s="1116" t="s">
        <v>978</v>
      </c>
      <c r="B31" s="908" t="s">
        <v>424</v>
      </c>
      <c r="C31" s="909" t="s">
        <v>4</v>
      </c>
      <c r="D31" s="910">
        <v>0</v>
      </c>
      <c r="E31" s="912">
        <v>0</v>
      </c>
      <c r="F31" s="912"/>
      <c r="G31" s="912">
        <v>0</v>
      </c>
      <c r="H31" s="910">
        <v>0</v>
      </c>
      <c r="I31" s="910">
        <v>0</v>
      </c>
      <c r="J31" s="910">
        <v>0</v>
      </c>
      <c r="K31" s="910">
        <v>0</v>
      </c>
      <c r="L31" s="910"/>
      <c r="M31" s="910">
        <v>0</v>
      </c>
      <c r="N31" s="910">
        <v>0</v>
      </c>
      <c r="O31" s="910">
        <v>0</v>
      </c>
      <c r="P31" s="912">
        <v>1819</v>
      </c>
      <c r="Q31" s="910">
        <v>0</v>
      </c>
      <c r="R31" s="911">
        <v>1819</v>
      </c>
      <c r="S31" s="1109" t="s">
        <v>978</v>
      </c>
      <c r="T31" s="908" t="s">
        <v>424</v>
      </c>
      <c r="U31" s="909" t="s">
        <v>4</v>
      </c>
      <c r="V31" s="912">
        <v>0</v>
      </c>
      <c r="W31" s="912">
        <v>0</v>
      </c>
      <c r="X31" s="910">
        <v>1819</v>
      </c>
      <c r="Y31" s="910">
        <v>0</v>
      </c>
      <c r="Z31" s="910">
        <v>0</v>
      </c>
      <c r="AA31" s="910">
        <v>0</v>
      </c>
      <c r="AB31" s="910">
        <v>0</v>
      </c>
      <c r="AC31" s="910">
        <v>0</v>
      </c>
      <c r="AD31" s="910">
        <v>1819</v>
      </c>
      <c r="AF31" s="914">
        <v>1819</v>
      </c>
    </row>
    <row r="32" spans="1:32" ht="15">
      <c r="A32" s="1122"/>
      <c r="B32" s="908" t="s">
        <v>424</v>
      </c>
      <c r="C32" s="909" t="s">
        <v>968</v>
      </c>
      <c r="D32" s="910">
        <v>0</v>
      </c>
      <c r="E32" s="912">
        <v>0</v>
      </c>
      <c r="F32" s="912"/>
      <c r="G32" s="912">
        <v>0</v>
      </c>
      <c r="H32" s="910">
        <v>0</v>
      </c>
      <c r="I32" s="910">
        <v>0</v>
      </c>
      <c r="J32" s="910">
        <v>0</v>
      </c>
      <c r="K32" s="910">
        <v>0</v>
      </c>
      <c r="L32" s="910"/>
      <c r="M32" s="910">
        <v>0</v>
      </c>
      <c r="N32" s="910">
        <v>0</v>
      </c>
      <c r="O32" s="910">
        <v>0</v>
      </c>
      <c r="P32" s="912">
        <v>1819</v>
      </c>
      <c r="Q32" s="910">
        <v>0</v>
      </c>
      <c r="R32" s="911">
        <v>1819</v>
      </c>
      <c r="S32" s="1110"/>
      <c r="T32" s="908" t="s">
        <v>424</v>
      </c>
      <c r="U32" s="909" t="s">
        <v>968</v>
      </c>
      <c r="V32" s="912">
        <v>0</v>
      </c>
      <c r="W32" s="912">
        <v>0</v>
      </c>
      <c r="X32" s="910">
        <v>1819</v>
      </c>
      <c r="Y32" s="910">
        <v>0</v>
      </c>
      <c r="Z32" s="910">
        <v>0</v>
      </c>
      <c r="AA32" s="910">
        <v>0</v>
      </c>
      <c r="AB32" s="910">
        <v>0</v>
      </c>
      <c r="AC32" s="910">
        <v>0</v>
      </c>
      <c r="AD32" s="910">
        <v>1819</v>
      </c>
      <c r="AF32" s="914"/>
    </row>
    <row r="33" spans="1:32" ht="15">
      <c r="A33" s="1119"/>
      <c r="B33" s="908" t="s">
        <v>424</v>
      </c>
      <c r="C33" s="909" t="s">
        <v>969</v>
      </c>
      <c r="D33" s="910">
        <v>0</v>
      </c>
      <c r="E33" s="912">
        <v>0</v>
      </c>
      <c r="F33" s="912"/>
      <c r="G33" s="912">
        <v>0</v>
      </c>
      <c r="H33" s="910">
        <v>0</v>
      </c>
      <c r="I33" s="910">
        <v>0</v>
      </c>
      <c r="J33" s="910">
        <v>0</v>
      </c>
      <c r="K33" s="910">
        <v>0</v>
      </c>
      <c r="L33" s="910"/>
      <c r="M33" s="910">
        <v>0</v>
      </c>
      <c r="N33" s="910">
        <v>0</v>
      </c>
      <c r="O33" s="910">
        <v>0</v>
      </c>
      <c r="P33" s="912">
        <v>1819</v>
      </c>
      <c r="Q33" s="910">
        <v>0</v>
      </c>
      <c r="R33" s="911">
        <v>1819</v>
      </c>
      <c r="S33" s="1111"/>
      <c r="T33" s="908" t="s">
        <v>424</v>
      </c>
      <c r="U33" s="909" t="s">
        <v>969</v>
      </c>
      <c r="V33" s="912">
        <v>0</v>
      </c>
      <c r="W33" s="912">
        <v>0</v>
      </c>
      <c r="X33" s="910">
        <v>1819</v>
      </c>
      <c r="Y33" s="910">
        <v>0</v>
      </c>
      <c r="Z33" s="910">
        <v>0</v>
      </c>
      <c r="AA33" s="910">
        <v>0</v>
      </c>
      <c r="AB33" s="910">
        <v>0</v>
      </c>
      <c r="AC33" s="910">
        <v>0</v>
      </c>
      <c r="AD33" s="910">
        <v>1819</v>
      </c>
      <c r="AF33" s="914"/>
    </row>
    <row r="34" spans="1:32" ht="15">
      <c r="A34" s="1116" t="s">
        <v>979</v>
      </c>
      <c r="B34" s="908" t="s">
        <v>424</v>
      </c>
      <c r="C34" s="909" t="s">
        <v>4</v>
      </c>
      <c r="D34" s="910">
        <v>120</v>
      </c>
      <c r="E34" s="912">
        <v>9552</v>
      </c>
      <c r="F34" s="912"/>
      <c r="G34" s="912">
        <v>2558</v>
      </c>
      <c r="H34" s="910">
        <v>0</v>
      </c>
      <c r="I34" s="910">
        <v>0</v>
      </c>
      <c r="J34" s="910">
        <v>0</v>
      </c>
      <c r="K34" s="910">
        <v>0</v>
      </c>
      <c r="L34" s="910"/>
      <c r="M34" s="910">
        <v>0</v>
      </c>
      <c r="N34" s="910">
        <v>0</v>
      </c>
      <c r="O34" s="910">
        <v>0</v>
      </c>
      <c r="P34" s="912">
        <v>27129</v>
      </c>
      <c r="Q34" s="910">
        <v>12230</v>
      </c>
      <c r="R34" s="911">
        <v>39359</v>
      </c>
      <c r="S34" s="1109" t="s">
        <v>979</v>
      </c>
      <c r="T34" s="908" t="s">
        <v>424</v>
      </c>
      <c r="U34" s="909" t="s">
        <v>4</v>
      </c>
      <c r="V34" s="912">
        <v>0</v>
      </c>
      <c r="W34" s="912">
        <v>0</v>
      </c>
      <c r="X34" s="910">
        <v>36289</v>
      </c>
      <c r="Y34" s="910">
        <v>24890</v>
      </c>
      <c r="Z34" s="910">
        <v>0</v>
      </c>
      <c r="AA34" s="910">
        <v>0</v>
      </c>
      <c r="AB34" s="910">
        <v>0</v>
      </c>
      <c r="AC34" s="910">
        <v>3070</v>
      </c>
      <c r="AD34" s="910">
        <v>39359</v>
      </c>
      <c r="AF34" s="914">
        <v>39359</v>
      </c>
    </row>
    <row r="35" spans="1:32" ht="15">
      <c r="A35" s="1122"/>
      <c r="B35" s="908" t="s">
        <v>424</v>
      </c>
      <c r="C35" s="909" t="s">
        <v>968</v>
      </c>
      <c r="D35" s="910">
        <v>120</v>
      </c>
      <c r="E35" s="912">
        <v>9552</v>
      </c>
      <c r="F35" s="912"/>
      <c r="G35" s="912">
        <v>2558</v>
      </c>
      <c r="H35" s="910">
        <v>0</v>
      </c>
      <c r="I35" s="910">
        <v>0</v>
      </c>
      <c r="J35" s="910">
        <v>0</v>
      </c>
      <c r="K35" s="910">
        <v>0</v>
      </c>
      <c r="L35" s="910"/>
      <c r="M35" s="910">
        <v>0</v>
      </c>
      <c r="N35" s="910">
        <v>0</v>
      </c>
      <c r="O35" s="910">
        <v>0</v>
      </c>
      <c r="P35" s="912">
        <v>27129</v>
      </c>
      <c r="Q35" s="910">
        <v>12230</v>
      </c>
      <c r="R35" s="911">
        <v>39359</v>
      </c>
      <c r="S35" s="1110"/>
      <c r="T35" s="908" t="s">
        <v>424</v>
      </c>
      <c r="U35" s="909" t="s">
        <v>968</v>
      </c>
      <c r="V35" s="912">
        <v>0</v>
      </c>
      <c r="W35" s="912">
        <v>0</v>
      </c>
      <c r="X35" s="910">
        <v>36289</v>
      </c>
      <c r="Y35" s="910">
        <v>24890</v>
      </c>
      <c r="Z35" s="910">
        <v>0</v>
      </c>
      <c r="AA35" s="910">
        <v>0</v>
      </c>
      <c r="AB35" s="910">
        <v>0</v>
      </c>
      <c r="AC35" s="910">
        <v>3070</v>
      </c>
      <c r="AD35" s="910">
        <v>39359</v>
      </c>
      <c r="AF35" s="914"/>
    </row>
    <row r="36" spans="1:32" ht="15">
      <c r="A36" s="1119"/>
      <c r="B36" s="908" t="s">
        <v>424</v>
      </c>
      <c r="C36" s="909" t="s">
        <v>969</v>
      </c>
      <c r="D36" s="910">
        <v>120</v>
      </c>
      <c r="E36" s="912">
        <v>9552</v>
      </c>
      <c r="F36" s="912"/>
      <c r="G36" s="912">
        <v>2558</v>
      </c>
      <c r="H36" s="910">
        <v>0</v>
      </c>
      <c r="I36" s="910">
        <v>0</v>
      </c>
      <c r="J36" s="910">
        <v>0</v>
      </c>
      <c r="K36" s="910">
        <v>0</v>
      </c>
      <c r="L36" s="910"/>
      <c r="M36" s="910">
        <v>0</v>
      </c>
      <c r="N36" s="910">
        <v>0</v>
      </c>
      <c r="O36" s="910">
        <v>0</v>
      </c>
      <c r="P36" s="912">
        <v>27129</v>
      </c>
      <c r="Q36" s="910">
        <v>12230</v>
      </c>
      <c r="R36" s="911">
        <v>39359</v>
      </c>
      <c r="S36" s="1111"/>
      <c r="T36" s="908" t="s">
        <v>424</v>
      </c>
      <c r="U36" s="909" t="s">
        <v>969</v>
      </c>
      <c r="V36" s="912">
        <v>0</v>
      </c>
      <c r="W36" s="912">
        <v>0</v>
      </c>
      <c r="X36" s="910">
        <v>35984</v>
      </c>
      <c r="Y36" s="910">
        <v>24890</v>
      </c>
      <c r="Z36" s="910">
        <v>0</v>
      </c>
      <c r="AA36" s="910">
        <v>0</v>
      </c>
      <c r="AB36" s="910">
        <v>305</v>
      </c>
      <c r="AC36" s="910">
        <v>3070</v>
      </c>
      <c r="AD36" s="910">
        <v>39359</v>
      </c>
      <c r="AF36" s="914"/>
    </row>
    <row r="37" spans="1:32" ht="15.75" customHeight="1">
      <c r="A37" s="1117" t="s">
        <v>980</v>
      </c>
      <c r="B37" s="908" t="s">
        <v>424</v>
      </c>
      <c r="C37" s="920" t="s">
        <v>4</v>
      </c>
      <c r="D37" s="918">
        <v>3520</v>
      </c>
      <c r="E37" s="918">
        <v>25094</v>
      </c>
      <c r="F37" s="918"/>
      <c r="G37" s="918">
        <v>7672</v>
      </c>
      <c r="H37" s="918">
        <v>0</v>
      </c>
      <c r="I37" s="918">
        <v>0</v>
      </c>
      <c r="J37" s="918">
        <v>0</v>
      </c>
      <c r="K37" s="918">
        <v>0</v>
      </c>
      <c r="L37" s="918"/>
      <c r="M37" s="918">
        <v>0</v>
      </c>
      <c r="N37" s="918">
        <v>0</v>
      </c>
      <c r="O37" s="918">
        <v>0</v>
      </c>
      <c r="P37" s="918">
        <v>99536</v>
      </c>
      <c r="Q37" s="918">
        <v>36286</v>
      </c>
      <c r="R37" s="918">
        <v>135822</v>
      </c>
      <c r="S37" s="1109" t="s">
        <v>980</v>
      </c>
      <c r="T37" s="908" t="s">
        <v>424</v>
      </c>
      <c r="U37" s="909" t="s">
        <v>4</v>
      </c>
      <c r="V37" s="918">
        <v>0</v>
      </c>
      <c r="W37" s="918">
        <v>0</v>
      </c>
      <c r="X37" s="918">
        <v>130052</v>
      </c>
      <c r="Y37" s="918">
        <v>75595</v>
      </c>
      <c r="Z37" s="918">
        <v>0</v>
      </c>
      <c r="AA37" s="918">
        <v>0</v>
      </c>
      <c r="AB37" s="918">
        <v>0</v>
      </c>
      <c r="AC37" s="918">
        <v>5770</v>
      </c>
      <c r="AD37" s="918">
        <v>135822</v>
      </c>
      <c r="AE37" s="913">
        <v>0</v>
      </c>
      <c r="AF37" s="914"/>
    </row>
    <row r="38" spans="1:32" ht="15">
      <c r="A38" s="1118"/>
      <c r="B38" s="908" t="s">
        <v>424</v>
      </c>
      <c r="C38" s="909" t="s">
        <v>968</v>
      </c>
      <c r="D38" s="918">
        <v>3520</v>
      </c>
      <c r="E38" s="918">
        <v>25094</v>
      </c>
      <c r="F38" s="918"/>
      <c r="G38" s="918">
        <v>7672</v>
      </c>
      <c r="H38" s="918">
        <v>0</v>
      </c>
      <c r="I38" s="918">
        <v>0</v>
      </c>
      <c r="J38" s="918">
        <v>0</v>
      </c>
      <c r="K38" s="918">
        <v>0</v>
      </c>
      <c r="L38" s="918"/>
      <c r="M38" s="918">
        <v>0</v>
      </c>
      <c r="N38" s="918">
        <v>0</v>
      </c>
      <c r="O38" s="918">
        <v>0</v>
      </c>
      <c r="P38" s="918">
        <v>99536</v>
      </c>
      <c r="Q38" s="918">
        <v>36286</v>
      </c>
      <c r="R38" s="918">
        <v>135822</v>
      </c>
      <c r="S38" s="1110"/>
      <c r="T38" s="908" t="s">
        <v>424</v>
      </c>
      <c r="U38" s="909" t="s">
        <v>968</v>
      </c>
      <c r="V38" s="918">
        <v>0</v>
      </c>
      <c r="W38" s="918">
        <v>0</v>
      </c>
      <c r="X38" s="918">
        <v>129598</v>
      </c>
      <c r="Y38" s="918">
        <v>75595</v>
      </c>
      <c r="Z38" s="918">
        <v>0</v>
      </c>
      <c r="AA38" s="918">
        <v>0</v>
      </c>
      <c r="AB38" s="918">
        <v>454</v>
      </c>
      <c r="AC38" s="918">
        <v>5770</v>
      </c>
      <c r="AD38" s="918">
        <v>135822</v>
      </c>
      <c r="AF38" s="914"/>
    </row>
    <row r="39" spans="1:32" ht="15">
      <c r="A39" s="1119"/>
      <c r="B39" s="908" t="s">
        <v>424</v>
      </c>
      <c r="C39" s="909" t="s">
        <v>969</v>
      </c>
      <c r="D39" s="918">
        <v>3520</v>
      </c>
      <c r="E39" s="918">
        <v>25094</v>
      </c>
      <c r="F39" s="918"/>
      <c r="G39" s="918">
        <v>7672</v>
      </c>
      <c r="H39" s="918">
        <v>0</v>
      </c>
      <c r="I39" s="918">
        <v>0</v>
      </c>
      <c r="J39" s="918">
        <v>0</v>
      </c>
      <c r="K39" s="918">
        <v>0</v>
      </c>
      <c r="L39" s="918"/>
      <c r="M39" s="918">
        <v>0</v>
      </c>
      <c r="N39" s="918">
        <v>0</v>
      </c>
      <c r="O39" s="918">
        <v>0</v>
      </c>
      <c r="P39" s="918">
        <v>98776</v>
      </c>
      <c r="Q39" s="918">
        <v>36286</v>
      </c>
      <c r="R39" s="918">
        <v>135062</v>
      </c>
      <c r="S39" s="1111"/>
      <c r="T39" s="908" t="s">
        <v>424</v>
      </c>
      <c r="U39" s="909" t="s">
        <v>969</v>
      </c>
      <c r="V39" s="918">
        <v>0</v>
      </c>
      <c r="W39" s="918">
        <v>0</v>
      </c>
      <c r="X39" s="918">
        <v>127893</v>
      </c>
      <c r="Y39" s="918">
        <v>75595</v>
      </c>
      <c r="Z39" s="918">
        <v>0</v>
      </c>
      <c r="AA39" s="918">
        <v>0</v>
      </c>
      <c r="AB39" s="918">
        <v>1399</v>
      </c>
      <c r="AC39" s="918">
        <v>5770</v>
      </c>
      <c r="AD39" s="918">
        <v>135062</v>
      </c>
      <c r="AF39" s="914"/>
    </row>
    <row r="40" spans="1:32" ht="15">
      <c r="A40" s="1116" t="s">
        <v>981</v>
      </c>
      <c r="B40" s="908" t="s">
        <v>424</v>
      </c>
      <c r="C40" s="909" t="s">
        <v>4</v>
      </c>
      <c r="D40" s="910">
        <v>7645</v>
      </c>
      <c r="E40" s="912">
        <v>18039</v>
      </c>
      <c r="F40" s="912"/>
      <c r="G40" s="912">
        <v>5902</v>
      </c>
      <c r="H40" s="910">
        <v>0</v>
      </c>
      <c r="I40" s="910">
        <v>0</v>
      </c>
      <c r="J40" s="910">
        <v>0</v>
      </c>
      <c r="K40" s="910">
        <v>0</v>
      </c>
      <c r="L40" s="910"/>
      <c r="M40" s="910">
        <v>0</v>
      </c>
      <c r="N40" s="910">
        <v>0</v>
      </c>
      <c r="O40" s="910">
        <v>0</v>
      </c>
      <c r="P40" s="912">
        <v>98089</v>
      </c>
      <c r="Q40" s="910">
        <v>31586</v>
      </c>
      <c r="R40" s="911">
        <v>129675</v>
      </c>
      <c r="S40" s="1109" t="s">
        <v>981</v>
      </c>
      <c r="T40" s="908" t="s">
        <v>424</v>
      </c>
      <c r="U40" s="909" t="s">
        <v>4</v>
      </c>
      <c r="V40" s="912">
        <v>0</v>
      </c>
      <c r="W40" s="912">
        <v>0</v>
      </c>
      <c r="X40" s="910">
        <v>128675</v>
      </c>
      <c r="Y40" s="910">
        <v>47076</v>
      </c>
      <c r="Z40" s="910">
        <v>0</v>
      </c>
      <c r="AA40" s="910">
        <v>0</v>
      </c>
      <c r="AB40" s="910">
        <v>0</v>
      </c>
      <c r="AC40" s="910">
        <v>1000</v>
      </c>
      <c r="AD40" s="910">
        <v>129675</v>
      </c>
      <c r="AF40" s="914">
        <v>129675</v>
      </c>
    </row>
    <row r="41" spans="1:32" ht="15">
      <c r="A41" s="1122"/>
      <c r="B41" s="908" t="s">
        <v>424</v>
      </c>
      <c r="C41" s="909" t="s">
        <v>968</v>
      </c>
      <c r="D41" s="910">
        <v>7645</v>
      </c>
      <c r="E41" s="912">
        <v>18039</v>
      </c>
      <c r="F41" s="912"/>
      <c r="G41" s="912">
        <v>5902</v>
      </c>
      <c r="H41" s="910">
        <v>0</v>
      </c>
      <c r="I41" s="910">
        <v>0</v>
      </c>
      <c r="J41" s="910">
        <v>0</v>
      </c>
      <c r="K41" s="910">
        <v>0</v>
      </c>
      <c r="L41" s="910"/>
      <c r="M41" s="910">
        <v>0</v>
      </c>
      <c r="N41" s="910">
        <v>0</v>
      </c>
      <c r="O41" s="910">
        <v>0</v>
      </c>
      <c r="P41" s="912">
        <v>98089</v>
      </c>
      <c r="Q41" s="910">
        <v>31586</v>
      </c>
      <c r="R41" s="911">
        <v>129675</v>
      </c>
      <c r="S41" s="1110"/>
      <c r="T41" s="908" t="s">
        <v>424</v>
      </c>
      <c r="U41" s="909" t="s">
        <v>968</v>
      </c>
      <c r="V41" s="912">
        <v>0</v>
      </c>
      <c r="W41" s="912">
        <v>0</v>
      </c>
      <c r="X41" s="910">
        <v>128675</v>
      </c>
      <c r="Y41" s="910">
        <v>47076</v>
      </c>
      <c r="Z41" s="910">
        <v>0</v>
      </c>
      <c r="AA41" s="910">
        <v>0</v>
      </c>
      <c r="AB41" s="910">
        <v>0</v>
      </c>
      <c r="AC41" s="910">
        <v>1000</v>
      </c>
      <c r="AD41" s="910">
        <v>129675</v>
      </c>
      <c r="AF41" s="914"/>
    </row>
    <row r="42" spans="1:32" ht="15">
      <c r="A42" s="1119"/>
      <c r="B42" s="908" t="s">
        <v>424</v>
      </c>
      <c r="C42" s="909" t="s">
        <v>969</v>
      </c>
      <c r="D42" s="910">
        <v>7645</v>
      </c>
      <c r="E42" s="912">
        <v>18039</v>
      </c>
      <c r="F42" s="912"/>
      <c r="G42" s="912">
        <v>5902</v>
      </c>
      <c r="H42" s="910">
        <v>0</v>
      </c>
      <c r="I42" s="910">
        <v>0</v>
      </c>
      <c r="J42" s="910">
        <v>0</v>
      </c>
      <c r="K42" s="910">
        <v>0</v>
      </c>
      <c r="L42" s="910"/>
      <c r="M42" s="910">
        <v>0</v>
      </c>
      <c r="N42" s="910">
        <v>0</v>
      </c>
      <c r="O42" s="910">
        <v>0</v>
      </c>
      <c r="P42" s="912">
        <v>98089</v>
      </c>
      <c r="Q42" s="910">
        <v>31586</v>
      </c>
      <c r="R42" s="911">
        <v>129675</v>
      </c>
      <c r="S42" s="1111"/>
      <c r="T42" s="908" t="s">
        <v>424</v>
      </c>
      <c r="U42" s="909" t="s">
        <v>969</v>
      </c>
      <c r="V42" s="912">
        <v>0</v>
      </c>
      <c r="W42" s="912">
        <v>0</v>
      </c>
      <c r="X42" s="910">
        <v>128495</v>
      </c>
      <c r="Y42" s="910">
        <v>47076</v>
      </c>
      <c r="Z42" s="910">
        <v>0</v>
      </c>
      <c r="AA42" s="910">
        <v>0</v>
      </c>
      <c r="AB42" s="910">
        <v>180</v>
      </c>
      <c r="AC42" s="910">
        <v>1000</v>
      </c>
      <c r="AD42" s="910">
        <v>129675</v>
      </c>
      <c r="AF42" s="914"/>
    </row>
    <row r="43" spans="1:32" ht="15">
      <c r="A43" s="1116" t="s">
        <v>982</v>
      </c>
      <c r="B43" s="908" t="s">
        <v>424</v>
      </c>
      <c r="C43" s="909" t="s">
        <v>4</v>
      </c>
      <c r="D43" s="910">
        <v>400</v>
      </c>
      <c r="E43" s="912">
        <v>8093</v>
      </c>
      <c r="F43" s="912"/>
      <c r="G43" s="912">
        <v>2231</v>
      </c>
      <c r="H43" s="910">
        <v>0</v>
      </c>
      <c r="I43" s="910">
        <v>0</v>
      </c>
      <c r="J43" s="910">
        <v>0</v>
      </c>
      <c r="K43" s="910">
        <v>0</v>
      </c>
      <c r="L43" s="910"/>
      <c r="M43" s="910">
        <v>0</v>
      </c>
      <c r="N43" s="910">
        <v>0</v>
      </c>
      <c r="O43" s="910">
        <v>0</v>
      </c>
      <c r="P43" s="912">
        <v>31688</v>
      </c>
      <c r="Q43" s="910">
        <v>10724</v>
      </c>
      <c r="R43" s="911">
        <v>42412</v>
      </c>
      <c r="S43" s="1109" t="s">
        <v>982</v>
      </c>
      <c r="T43" s="908" t="s">
        <v>424</v>
      </c>
      <c r="U43" s="909" t="s">
        <v>4</v>
      </c>
      <c r="V43" s="912">
        <v>0</v>
      </c>
      <c r="W43" s="912">
        <v>0</v>
      </c>
      <c r="X43" s="910">
        <v>41412</v>
      </c>
      <c r="Y43" s="910">
        <v>22304</v>
      </c>
      <c r="Z43" s="910">
        <v>0</v>
      </c>
      <c r="AA43" s="910">
        <v>0</v>
      </c>
      <c r="AB43" s="910">
        <v>0</v>
      </c>
      <c r="AC43" s="910">
        <v>1000</v>
      </c>
      <c r="AD43" s="910">
        <v>42412</v>
      </c>
      <c r="AF43" s="914">
        <v>42412</v>
      </c>
    </row>
    <row r="44" spans="1:32" ht="15">
      <c r="A44" s="1122"/>
      <c r="B44" s="908" t="s">
        <v>424</v>
      </c>
      <c r="C44" s="909" t="s">
        <v>968</v>
      </c>
      <c r="D44" s="910">
        <v>400</v>
      </c>
      <c r="E44" s="912">
        <v>8093</v>
      </c>
      <c r="F44" s="912"/>
      <c r="G44" s="912">
        <v>2231</v>
      </c>
      <c r="H44" s="910">
        <v>0</v>
      </c>
      <c r="I44" s="910">
        <v>0</v>
      </c>
      <c r="J44" s="910">
        <v>0</v>
      </c>
      <c r="K44" s="910">
        <v>0</v>
      </c>
      <c r="L44" s="910"/>
      <c r="M44" s="910">
        <v>0</v>
      </c>
      <c r="N44" s="910">
        <v>0</v>
      </c>
      <c r="O44" s="910">
        <v>0</v>
      </c>
      <c r="P44" s="912">
        <v>31688</v>
      </c>
      <c r="Q44" s="910">
        <v>10724</v>
      </c>
      <c r="R44" s="911">
        <v>42412</v>
      </c>
      <c r="S44" s="1110"/>
      <c r="T44" s="908" t="s">
        <v>424</v>
      </c>
      <c r="U44" s="909" t="s">
        <v>968</v>
      </c>
      <c r="V44" s="912">
        <v>0</v>
      </c>
      <c r="W44" s="912">
        <v>0</v>
      </c>
      <c r="X44" s="910">
        <v>41412</v>
      </c>
      <c r="Y44" s="910">
        <v>22304</v>
      </c>
      <c r="Z44" s="910">
        <v>0</v>
      </c>
      <c r="AA44" s="910">
        <v>0</v>
      </c>
      <c r="AB44" s="910">
        <v>0</v>
      </c>
      <c r="AC44" s="910">
        <v>1000</v>
      </c>
      <c r="AD44" s="910">
        <v>42412</v>
      </c>
      <c r="AF44" s="914"/>
    </row>
    <row r="45" spans="1:32" ht="15">
      <c r="A45" s="1119"/>
      <c r="B45" s="908" t="s">
        <v>424</v>
      </c>
      <c r="C45" s="909" t="s">
        <v>969</v>
      </c>
      <c r="D45" s="910">
        <v>400</v>
      </c>
      <c r="E45" s="912">
        <v>8093</v>
      </c>
      <c r="F45" s="912"/>
      <c r="G45" s="912">
        <v>2231</v>
      </c>
      <c r="H45" s="910">
        <v>0</v>
      </c>
      <c r="I45" s="910">
        <v>0</v>
      </c>
      <c r="J45" s="910">
        <v>0</v>
      </c>
      <c r="K45" s="910">
        <v>0</v>
      </c>
      <c r="L45" s="910"/>
      <c r="M45" s="910">
        <v>0</v>
      </c>
      <c r="N45" s="910">
        <v>0</v>
      </c>
      <c r="O45" s="910">
        <v>0</v>
      </c>
      <c r="P45" s="912">
        <v>32448</v>
      </c>
      <c r="Q45" s="910">
        <v>10724</v>
      </c>
      <c r="R45" s="911">
        <v>43172</v>
      </c>
      <c r="S45" s="1111"/>
      <c r="T45" s="908" t="s">
        <v>424</v>
      </c>
      <c r="U45" s="909" t="s">
        <v>969</v>
      </c>
      <c r="V45" s="912">
        <v>0</v>
      </c>
      <c r="W45" s="912">
        <v>0</v>
      </c>
      <c r="X45" s="910">
        <v>42063</v>
      </c>
      <c r="Y45" s="910">
        <v>22304</v>
      </c>
      <c r="Z45" s="910">
        <v>0</v>
      </c>
      <c r="AA45" s="910">
        <v>0</v>
      </c>
      <c r="AB45" s="910">
        <v>109</v>
      </c>
      <c r="AC45" s="910">
        <v>1000</v>
      </c>
      <c r="AD45" s="910">
        <v>43172</v>
      </c>
      <c r="AF45" s="914"/>
    </row>
    <row r="46" spans="1:32" s="921" customFormat="1" ht="16.5" customHeight="1">
      <c r="A46" s="1117" t="s">
        <v>983</v>
      </c>
      <c r="B46" s="908" t="s">
        <v>424</v>
      </c>
      <c r="C46" s="920" t="s">
        <v>4</v>
      </c>
      <c r="D46" s="918">
        <v>8045</v>
      </c>
      <c r="E46" s="918">
        <v>26132</v>
      </c>
      <c r="F46" s="918"/>
      <c r="G46" s="918">
        <v>8133</v>
      </c>
      <c r="H46" s="918">
        <v>0</v>
      </c>
      <c r="I46" s="918">
        <v>0</v>
      </c>
      <c r="J46" s="918">
        <v>0</v>
      </c>
      <c r="K46" s="918">
        <v>0</v>
      </c>
      <c r="L46" s="918"/>
      <c r="M46" s="918">
        <v>0</v>
      </c>
      <c r="N46" s="918">
        <v>0</v>
      </c>
      <c r="O46" s="918">
        <v>0</v>
      </c>
      <c r="P46" s="918">
        <v>129777</v>
      </c>
      <c r="Q46" s="918">
        <v>42310</v>
      </c>
      <c r="R46" s="918">
        <v>172087</v>
      </c>
      <c r="S46" s="1109" t="s">
        <v>983</v>
      </c>
      <c r="T46" s="908" t="s">
        <v>424</v>
      </c>
      <c r="U46" s="909" t="s">
        <v>4</v>
      </c>
      <c r="V46" s="918">
        <v>0</v>
      </c>
      <c r="W46" s="918">
        <v>0</v>
      </c>
      <c r="X46" s="918">
        <v>170087</v>
      </c>
      <c r="Y46" s="918">
        <v>69380</v>
      </c>
      <c r="Z46" s="918">
        <v>0</v>
      </c>
      <c r="AA46" s="918">
        <v>0</v>
      </c>
      <c r="AB46" s="918">
        <v>0</v>
      </c>
      <c r="AC46" s="918">
        <v>2000</v>
      </c>
      <c r="AD46" s="918">
        <v>172087</v>
      </c>
      <c r="AF46" s="914">
        <v>172087</v>
      </c>
    </row>
    <row r="47" spans="1:32" s="921" customFormat="1" ht="15">
      <c r="A47" s="1118"/>
      <c r="B47" s="908" t="s">
        <v>424</v>
      </c>
      <c r="C47" s="909" t="s">
        <v>968</v>
      </c>
      <c r="D47" s="918">
        <v>8045</v>
      </c>
      <c r="E47" s="918">
        <v>26132</v>
      </c>
      <c r="F47" s="918"/>
      <c r="G47" s="918">
        <v>8133</v>
      </c>
      <c r="H47" s="918">
        <v>0</v>
      </c>
      <c r="I47" s="918">
        <v>0</v>
      </c>
      <c r="J47" s="918">
        <v>0</v>
      </c>
      <c r="K47" s="918">
        <v>0</v>
      </c>
      <c r="L47" s="918"/>
      <c r="M47" s="918">
        <v>0</v>
      </c>
      <c r="N47" s="918">
        <v>0</v>
      </c>
      <c r="O47" s="918">
        <v>0</v>
      </c>
      <c r="P47" s="918">
        <v>129777</v>
      </c>
      <c r="Q47" s="918">
        <v>42310</v>
      </c>
      <c r="R47" s="918">
        <v>172087</v>
      </c>
      <c r="S47" s="1110"/>
      <c r="T47" s="908" t="s">
        <v>424</v>
      </c>
      <c r="U47" s="909" t="s">
        <v>968</v>
      </c>
      <c r="V47" s="918">
        <v>0</v>
      </c>
      <c r="W47" s="918">
        <v>0</v>
      </c>
      <c r="X47" s="918">
        <v>170087</v>
      </c>
      <c r="Y47" s="918">
        <v>69380</v>
      </c>
      <c r="Z47" s="918">
        <v>0</v>
      </c>
      <c r="AA47" s="918">
        <v>0</v>
      </c>
      <c r="AB47" s="918">
        <v>0</v>
      </c>
      <c r="AC47" s="918">
        <v>2000</v>
      </c>
      <c r="AD47" s="918">
        <v>172087</v>
      </c>
      <c r="AF47" s="914"/>
    </row>
    <row r="48" spans="1:32" s="921" customFormat="1" ht="15">
      <c r="A48" s="1119"/>
      <c r="B48" s="908" t="s">
        <v>424</v>
      </c>
      <c r="C48" s="909" t="s">
        <v>969</v>
      </c>
      <c r="D48" s="918">
        <v>8045</v>
      </c>
      <c r="E48" s="918">
        <v>26132</v>
      </c>
      <c r="F48" s="918"/>
      <c r="G48" s="918">
        <v>8133</v>
      </c>
      <c r="H48" s="918">
        <v>0</v>
      </c>
      <c r="I48" s="918">
        <v>0</v>
      </c>
      <c r="J48" s="918">
        <v>0</v>
      </c>
      <c r="K48" s="918">
        <v>0</v>
      </c>
      <c r="L48" s="918"/>
      <c r="M48" s="918">
        <v>0</v>
      </c>
      <c r="N48" s="918">
        <v>0</v>
      </c>
      <c r="O48" s="918">
        <v>0</v>
      </c>
      <c r="P48" s="918">
        <v>130537</v>
      </c>
      <c r="Q48" s="918">
        <v>42310</v>
      </c>
      <c r="R48" s="918">
        <v>172847</v>
      </c>
      <c r="S48" s="1111"/>
      <c r="T48" s="908" t="s">
        <v>424</v>
      </c>
      <c r="U48" s="909" t="s">
        <v>969</v>
      </c>
      <c r="V48" s="918">
        <v>0</v>
      </c>
      <c r="W48" s="918">
        <v>0</v>
      </c>
      <c r="X48" s="918">
        <v>170558</v>
      </c>
      <c r="Y48" s="918">
        <v>69380</v>
      </c>
      <c r="Z48" s="918">
        <v>0</v>
      </c>
      <c r="AA48" s="918">
        <v>0</v>
      </c>
      <c r="AB48" s="918">
        <v>289</v>
      </c>
      <c r="AC48" s="918">
        <v>2000</v>
      </c>
      <c r="AD48" s="918">
        <v>172847</v>
      </c>
      <c r="AF48" s="914"/>
    </row>
    <row r="49" spans="1:32" ht="15">
      <c r="A49" s="1116" t="s">
        <v>984</v>
      </c>
      <c r="B49" s="908" t="s">
        <v>424</v>
      </c>
      <c r="C49" s="909" t="s">
        <v>4</v>
      </c>
      <c r="D49" s="910">
        <v>1116</v>
      </c>
      <c r="E49" s="912">
        <v>0</v>
      </c>
      <c r="F49" s="912"/>
      <c r="G49" s="912">
        <v>0</v>
      </c>
      <c r="H49" s="910">
        <v>0</v>
      </c>
      <c r="I49" s="910">
        <v>0</v>
      </c>
      <c r="J49" s="910">
        <v>0</v>
      </c>
      <c r="K49" s="910">
        <v>0</v>
      </c>
      <c r="L49" s="910"/>
      <c r="M49" s="910">
        <v>0</v>
      </c>
      <c r="N49" s="910">
        <v>0</v>
      </c>
      <c r="O49" s="910">
        <v>0</v>
      </c>
      <c r="P49" s="912">
        <v>4182</v>
      </c>
      <c r="Q49" s="910">
        <v>1116</v>
      </c>
      <c r="R49" s="911">
        <v>5298</v>
      </c>
      <c r="S49" s="1109" t="s">
        <v>984</v>
      </c>
      <c r="T49" s="908" t="s">
        <v>424</v>
      </c>
      <c r="U49" s="909" t="s">
        <v>4</v>
      </c>
      <c r="V49" s="912">
        <v>0</v>
      </c>
      <c r="W49" s="912">
        <v>0</v>
      </c>
      <c r="X49" s="910">
        <v>3598</v>
      </c>
      <c r="Y49" s="910">
        <v>0</v>
      </c>
      <c r="Z49" s="910">
        <v>0</v>
      </c>
      <c r="AA49" s="910">
        <v>0</v>
      </c>
      <c r="AB49" s="910">
        <v>1000</v>
      </c>
      <c r="AC49" s="910">
        <v>700</v>
      </c>
      <c r="AD49" s="910">
        <v>5298</v>
      </c>
      <c r="AF49" s="914">
        <v>5298</v>
      </c>
    </row>
    <row r="50" spans="1:32" ht="15">
      <c r="A50" s="1122"/>
      <c r="B50" s="908" t="s">
        <v>424</v>
      </c>
      <c r="C50" s="909" t="s">
        <v>968</v>
      </c>
      <c r="D50" s="910">
        <v>1116</v>
      </c>
      <c r="E50" s="912">
        <v>0</v>
      </c>
      <c r="F50" s="912"/>
      <c r="G50" s="912">
        <v>0</v>
      </c>
      <c r="H50" s="910">
        <v>0</v>
      </c>
      <c r="I50" s="910">
        <v>0</v>
      </c>
      <c r="J50" s="910">
        <v>0</v>
      </c>
      <c r="K50" s="910">
        <v>0</v>
      </c>
      <c r="L50" s="910"/>
      <c r="M50" s="910">
        <v>0</v>
      </c>
      <c r="N50" s="910">
        <v>0</v>
      </c>
      <c r="O50" s="910">
        <v>0</v>
      </c>
      <c r="P50" s="912">
        <v>4182</v>
      </c>
      <c r="Q50" s="910">
        <v>1116</v>
      </c>
      <c r="R50" s="911">
        <v>5298</v>
      </c>
      <c r="S50" s="1110"/>
      <c r="T50" s="908" t="s">
        <v>424</v>
      </c>
      <c r="U50" s="909" t="s">
        <v>968</v>
      </c>
      <c r="V50" s="912">
        <v>0</v>
      </c>
      <c r="W50" s="912">
        <v>0</v>
      </c>
      <c r="X50" s="910">
        <v>3598</v>
      </c>
      <c r="Y50" s="910">
        <v>0</v>
      </c>
      <c r="Z50" s="910">
        <v>0</v>
      </c>
      <c r="AA50" s="910">
        <v>0</v>
      </c>
      <c r="AB50" s="910">
        <v>1000</v>
      </c>
      <c r="AC50" s="910">
        <v>700</v>
      </c>
      <c r="AD50" s="910">
        <v>5298</v>
      </c>
      <c r="AF50" s="914"/>
    </row>
    <row r="51" spans="1:32" ht="15">
      <c r="A51" s="1119"/>
      <c r="B51" s="908" t="s">
        <v>424</v>
      </c>
      <c r="C51" s="909" t="s">
        <v>969</v>
      </c>
      <c r="D51" s="910">
        <v>1116</v>
      </c>
      <c r="E51" s="912">
        <v>0</v>
      </c>
      <c r="F51" s="912"/>
      <c r="G51" s="912">
        <v>0</v>
      </c>
      <c r="H51" s="910">
        <v>0</v>
      </c>
      <c r="I51" s="910">
        <v>0</v>
      </c>
      <c r="J51" s="910">
        <v>0</v>
      </c>
      <c r="K51" s="910">
        <v>0</v>
      </c>
      <c r="L51" s="910"/>
      <c r="M51" s="910">
        <v>0</v>
      </c>
      <c r="N51" s="910">
        <v>0</v>
      </c>
      <c r="O51" s="910">
        <v>0</v>
      </c>
      <c r="P51" s="912">
        <v>4182</v>
      </c>
      <c r="Q51" s="910">
        <v>1116</v>
      </c>
      <c r="R51" s="911">
        <v>5298</v>
      </c>
      <c r="S51" s="1111"/>
      <c r="T51" s="908" t="s">
        <v>424</v>
      </c>
      <c r="U51" s="909" t="s">
        <v>969</v>
      </c>
      <c r="V51" s="912">
        <v>0</v>
      </c>
      <c r="W51" s="912">
        <v>0</v>
      </c>
      <c r="X51" s="910">
        <v>3598</v>
      </c>
      <c r="Y51" s="910">
        <v>0</v>
      </c>
      <c r="Z51" s="910">
        <v>0</v>
      </c>
      <c r="AA51" s="910">
        <v>0</v>
      </c>
      <c r="AB51" s="910">
        <v>1000</v>
      </c>
      <c r="AC51" s="910">
        <v>700</v>
      </c>
      <c r="AD51" s="910">
        <v>5298</v>
      </c>
      <c r="AF51" s="914"/>
    </row>
    <row r="52" spans="1:32" ht="15">
      <c r="A52" s="1116" t="s">
        <v>985</v>
      </c>
      <c r="B52" s="908" t="s">
        <v>424</v>
      </c>
      <c r="C52" s="909" t="s">
        <v>4</v>
      </c>
      <c r="D52" s="910">
        <v>0</v>
      </c>
      <c r="E52" s="912">
        <v>3377</v>
      </c>
      <c r="F52" s="912"/>
      <c r="G52" s="912">
        <v>912</v>
      </c>
      <c r="H52" s="910">
        <v>0</v>
      </c>
      <c r="I52" s="910">
        <v>0</v>
      </c>
      <c r="J52" s="910">
        <v>0</v>
      </c>
      <c r="K52" s="910">
        <v>0</v>
      </c>
      <c r="L52" s="910"/>
      <c r="M52" s="910">
        <v>0</v>
      </c>
      <c r="N52" s="910">
        <v>0</v>
      </c>
      <c r="O52" s="910">
        <v>0</v>
      </c>
      <c r="P52" s="912">
        <v>20441</v>
      </c>
      <c r="Q52" s="910">
        <v>4289</v>
      </c>
      <c r="R52" s="911">
        <v>24730</v>
      </c>
      <c r="S52" s="1109" t="s">
        <v>985</v>
      </c>
      <c r="T52" s="908" t="s">
        <v>424</v>
      </c>
      <c r="U52" s="909" t="s">
        <v>4</v>
      </c>
      <c r="V52" s="912">
        <v>0</v>
      </c>
      <c r="W52" s="912">
        <v>0</v>
      </c>
      <c r="X52" s="910">
        <v>24730</v>
      </c>
      <c r="Y52" s="910">
        <v>19473</v>
      </c>
      <c r="Z52" s="910">
        <v>0</v>
      </c>
      <c r="AA52" s="910"/>
      <c r="AB52" s="910">
        <v>0</v>
      </c>
      <c r="AC52" s="910">
        <v>0</v>
      </c>
      <c r="AD52" s="910">
        <v>24730</v>
      </c>
      <c r="AF52" s="914"/>
    </row>
    <row r="53" spans="1:32" ht="15">
      <c r="A53" s="1122"/>
      <c r="B53" s="908" t="s">
        <v>424</v>
      </c>
      <c r="C53" s="909" t="s">
        <v>968</v>
      </c>
      <c r="D53" s="910">
        <v>0</v>
      </c>
      <c r="E53" s="912">
        <v>3377</v>
      </c>
      <c r="F53" s="912"/>
      <c r="G53" s="912">
        <v>912</v>
      </c>
      <c r="H53" s="910">
        <v>0</v>
      </c>
      <c r="I53" s="910">
        <v>0</v>
      </c>
      <c r="J53" s="910">
        <v>0</v>
      </c>
      <c r="K53" s="910">
        <v>0</v>
      </c>
      <c r="L53" s="910"/>
      <c r="M53" s="910">
        <v>0</v>
      </c>
      <c r="N53" s="910">
        <v>0</v>
      </c>
      <c r="O53" s="910">
        <v>0</v>
      </c>
      <c r="P53" s="912">
        <v>20441</v>
      </c>
      <c r="Q53" s="910">
        <v>4289</v>
      </c>
      <c r="R53" s="911">
        <v>24730</v>
      </c>
      <c r="S53" s="1110"/>
      <c r="T53" s="908" t="s">
        <v>424</v>
      </c>
      <c r="U53" s="909" t="s">
        <v>968</v>
      </c>
      <c r="V53" s="912">
        <v>0</v>
      </c>
      <c r="W53" s="912">
        <v>0</v>
      </c>
      <c r="X53" s="910">
        <v>24730</v>
      </c>
      <c r="Y53" s="910">
        <v>19473</v>
      </c>
      <c r="Z53" s="910">
        <v>0</v>
      </c>
      <c r="AA53" s="910"/>
      <c r="AB53" s="910">
        <v>0</v>
      </c>
      <c r="AC53" s="910">
        <v>0</v>
      </c>
      <c r="AD53" s="910">
        <v>24730</v>
      </c>
      <c r="AF53" s="914"/>
    </row>
    <row r="54" spans="1:32" ht="15">
      <c r="A54" s="1119"/>
      <c r="B54" s="908" t="s">
        <v>424</v>
      </c>
      <c r="C54" s="909" t="s">
        <v>969</v>
      </c>
      <c r="D54" s="910">
        <v>0</v>
      </c>
      <c r="E54" s="912">
        <v>3377</v>
      </c>
      <c r="F54" s="912"/>
      <c r="G54" s="912">
        <v>912</v>
      </c>
      <c r="H54" s="910">
        <v>0</v>
      </c>
      <c r="I54" s="910">
        <v>0</v>
      </c>
      <c r="J54" s="910">
        <v>0</v>
      </c>
      <c r="K54" s="910">
        <v>0</v>
      </c>
      <c r="L54" s="910"/>
      <c r="M54" s="910">
        <v>0</v>
      </c>
      <c r="N54" s="910">
        <v>0</v>
      </c>
      <c r="O54" s="910">
        <v>0</v>
      </c>
      <c r="P54" s="912">
        <v>20441</v>
      </c>
      <c r="Q54" s="910">
        <v>4289</v>
      </c>
      <c r="R54" s="911">
        <v>24730</v>
      </c>
      <c r="S54" s="1111"/>
      <c r="T54" s="908" t="s">
        <v>424</v>
      </c>
      <c r="U54" s="909" t="s">
        <v>969</v>
      </c>
      <c r="V54" s="912">
        <v>0</v>
      </c>
      <c r="W54" s="912">
        <v>0</v>
      </c>
      <c r="X54" s="910">
        <v>24730</v>
      </c>
      <c r="Y54" s="910">
        <v>19473</v>
      </c>
      <c r="Z54" s="910">
        <v>0</v>
      </c>
      <c r="AA54" s="910"/>
      <c r="AB54" s="910">
        <v>0</v>
      </c>
      <c r="AC54" s="910">
        <v>0</v>
      </c>
      <c r="AD54" s="910">
        <v>24730</v>
      </c>
      <c r="AF54" s="914"/>
    </row>
    <row r="55" spans="1:32" ht="15">
      <c r="A55" s="922" t="s">
        <v>986</v>
      </c>
      <c r="B55" s="907" t="s">
        <v>424</v>
      </c>
      <c r="C55" s="909" t="s">
        <v>969</v>
      </c>
      <c r="D55" s="910"/>
      <c r="E55" s="912">
        <v>1799</v>
      </c>
      <c r="F55" s="912"/>
      <c r="G55" s="912">
        <v>486</v>
      </c>
      <c r="H55" s="910"/>
      <c r="I55" s="910"/>
      <c r="J55" s="910"/>
      <c r="K55" s="910"/>
      <c r="L55" s="910"/>
      <c r="M55" s="910"/>
      <c r="N55" s="910"/>
      <c r="O55" s="910"/>
      <c r="P55" s="912">
        <v>3060</v>
      </c>
      <c r="Q55" s="910">
        <v>2285</v>
      </c>
      <c r="R55" s="911">
        <v>5345</v>
      </c>
      <c r="S55" s="922" t="s">
        <v>986</v>
      </c>
      <c r="T55" s="908" t="s">
        <v>424</v>
      </c>
      <c r="U55" s="909" t="s">
        <v>969</v>
      </c>
      <c r="V55" s="912"/>
      <c r="W55" s="912"/>
      <c r="X55" s="910">
        <v>5345</v>
      </c>
      <c r="Y55" s="910">
        <v>3273</v>
      </c>
      <c r="Z55" s="910"/>
      <c r="AA55" s="910"/>
      <c r="AB55" s="910"/>
      <c r="AC55" s="910"/>
      <c r="AD55" s="910">
        <v>5345</v>
      </c>
      <c r="AF55" s="914"/>
    </row>
    <row r="56" spans="1:32" ht="15">
      <c r="A56" s="1116" t="s">
        <v>987</v>
      </c>
      <c r="B56" s="1116" t="s">
        <v>988</v>
      </c>
      <c r="C56" s="909" t="s">
        <v>4</v>
      </c>
      <c r="D56" s="910">
        <v>366</v>
      </c>
      <c r="E56" s="912">
        <v>0</v>
      </c>
      <c r="F56" s="912"/>
      <c r="G56" s="912">
        <v>10018</v>
      </c>
      <c r="H56" s="910">
        <v>0</v>
      </c>
      <c r="I56" s="910">
        <v>0</v>
      </c>
      <c r="J56" s="910">
        <v>0</v>
      </c>
      <c r="K56" s="910">
        <v>0</v>
      </c>
      <c r="L56" s="910"/>
      <c r="M56" s="910">
        <v>0</v>
      </c>
      <c r="N56" s="910">
        <v>0</v>
      </c>
      <c r="O56" s="910">
        <v>0</v>
      </c>
      <c r="P56" s="912">
        <v>28308</v>
      </c>
      <c r="Q56" s="910">
        <v>10384</v>
      </c>
      <c r="R56" s="911">
        <v>38692</v>
      </c>
      <c r="S56" s="1109" t="s">
        <v>987</v>
      </c>
      <c r="T56" s="1116" t="s">
        <v>988</v>
      </c>
      <c r="U56" s="909" t="s">
        <v>4</v>
      </c>
      <c r="V56" s="912">
        <v>18984</v>
      </c>
      <c r="W56" s="912">
        <v>4996</v>
      </c>
      <c r="X56" s="910">
        <v>14712</v>
      </c>
      <c r="Y56" s="910">
        <v>0</v>
      </c>
      <c r="Z56" s="910">
        <v>0</v>
      </c>
      <c r="AA56" s="910">
        <v>0</v>
      </c>
      <c r="AB56" s="910">
        <v>0</v>
      </c>
      <c r="AC56" s="910">
        <v>0</v>
      </c>
      <c r="AD56" s="910">
        <v>38692</v>
      </c>
      <c r="AF56" s="914"/>
    </row>
    <row r="57" spans="1:32" ht="15">
      <c r="A57" s="1122"/>
      <c r="B57" s="1121"/>
      <c r="C57" s="909" t="s">
        <v>968</v>
      </c>
      <c r="D57" s="910">
        <v>366</v>
      </c>
      <c r="E57" s="912">
        <v>0</v>
      </c>
      <c r="F57" s="912">
        <v>42</v>
      </c>
      <c r="G57" s="912">
        <v>10018</v>
      </c>
      <c r="H57" s="910">
        <v>0</v>
      </c>
      <c r="I57" s="910">
        <v>0</v>
      </c>
      <c r="J57" s="910">
        <v>0</v>
      </c>
      <c r="K57" s="910">
        <v>0</v>
      </c>
      <c r="L57" s="910"/>
      <c r="M57" s="910">
        <v>0</v>
      </c>
      <c r="N57" s="910">
        <v>1630</v>
      </c>
      <c r="O57" s="910">
        <v>0</v>
      </c>
      <c r="P57" s="912">
        <v>31026</v>
      </c>
      <c r="Q57" s="910">
        <v>12056</v>
      </c>
      <c r="R57" s="911">
        <v>43082</v>
      </c>
      <c r="S57" s="1110"/>
      <c r="T57" s="1120"/>
      <c r="U57" s="909" t="s">
        <v>968</v>
      </c>
      <c r="V57" s="912">
        <v>22131</v>
      </c>
      <c r="W57" s="912">
        <v>5837</v>
      </c>
      <c r="X57" s="910">
        <v>14664</v>
      </c>
      <c r="Y57" s="910">
        <v>0</v>
      </c>
      <c r="Z57" s="910">
        <v>0</v>
      </c>
      <c r="AA57" s="910">
        <v>250</v>
      </c>
      <c r="AB57" s="910">
        <v>200</v>
      </c>
      <c r="AC57" s="910">
        <v>0</v>
      </c>
      <c r="AD57" s="910">
        <v>43082</v>
      </c>
      <c r="AF57" s="914"/>
    </row>
    <row r="58" spans="1:32" ht="15">
      <c r="A58" s="1119"/>
      <c r="B58" s="1119"/>
      <c r="C58" s="909" t="s">
        <v>969</v>
      </c>
      <c r="D58" s="910">
        <v>366</v>
      </c>
      <c r="E58" s="912">
        <v>0</v>
      </c>
      <c r="F58" s="912">
        <v>42</v>
      </c>
      <c r="G58" s="912">
        <v>11575</v>
      </c>
      <c r="H58" s="910">
        <v>0</v>
      </c>
      <c r="I58" s="910">
        <v>0</v>
      </c>
      <c r="J58" s="910">
        <v>0</v>
      </c>
      <c r="K58" s="910">
        <v>0</v>
      </c>
      <c r="L58" s="910"/>
      <c r="M58" s="910">
        <v>0</v>
      </c>
      <c r="N58" s="910">
        <v>1380</v>
      </c>
      <c r="O58" s="910">
        <v>0</v>
      </c>
      <c r="P58" s="912">
        <v>31223</v>
      </c>
      <c r="Q58" s="910">
        <v>13363</v>
      </c>
      <c r="R58" s="911">
        <v>44586</v>
      </c>
      <c r="S58" s="1111"/>
      <c r="T58" s="1119"/>
      <c r="U58" s="909" t="s">
        <v>969</v>
      </c>
      <c r="V58" s="912">
        <v>22286</v>
      </c>
      <c r="W58" s="912">
        <v>5879</v>
      </c>
      <c r="X58" s="910">
        <v>15823</v>
      </c>
      <c r="Y58" s="910">
        <v>0</v>
      </c>
      <c r="Z58" s="910">
        <v>0</v>
      </c>
      <c r="AA58" s="910">
        <v>0</v>
      </c>
      <c r="AB58" s="910">
        <v>598</v>
      </c>
      <c r="AC58" s="910">
        <v>0</v>
      </c>
      <c r="AD58" s="910">
        <v>44586</v>
      </c>
      <c r="AF58" s="914"/>
    </row>
    <row r="59" spans="1:32" ht="15">
      <c r="A59" s="1116" t="s">
        <v>989</v>
      </c>
      <c r="B59" s="908"/>
      <c r="C59" s="909" t="s">
        <v>4</v>
      </c>
      <c r="D59" s="910">
        <v>13047</v>
      </c>
      <c r="E59" s="912">
        <v>54603</v>
      </c>
      <c r="F59" s="912"/>
      <c r="G59" s="912">
        <v>26735</v>
      </c>
      <c r="H59" s="910">
        <v>0</v>
      </c>
      <c r="I59" s="910">
        <v>0</v>
      </c>
      <c r="J59" s="910">
        <v>0</v>
      </c>
      <c r="K59" s="910">
        <v>0</v>
      </c>
      <c r="L59" s="910"/>
      <c r="M59" s="910">
        <v>0</v>
      </c>
      <c r="N59" s="910">
        <v>0</v>
      </c>
      <c r="O59" s="910">
        <v>0</v>
      </c>
      <c r="P59" s="910">
        <v>282244</v>
      </c>
      <c r="Q59" s="912">
        <v>94385</v>
      </c>
      <c r="R59" s="911">
        <v>376629</v>
      </c>
      <c r="S59" s="1109" t="s">
        <v>989</v>
      </c>
      <c r="T59" s="908"/>
      <c r="U59" s="909" t="s">
        <v>4</v>
      </c>
      <c r="V59" s="912">
        <v>18984</v>
      </c>
      <c r="W59" s="910">
        <v>4996</v>
      </c>
      <c r="X59" s="912">
        <v>343179</v>
      </c>
      <c r="Y59" s="910">
        <v>164448</v>
      </c>
      <c r="Z59" s="910">
        <v>0</v>
      </c>
      <c r="AA59" s="910"/>
      <c r="AB59" s="910">
        <v>1000</v>
      </c>
      <c r="AC59" s="910">
        <v>8470</v>
      </c>
      <c r="AD59" s="910">
        <v>376629</v>
      </c>
      <c r="AF59" s="914"/>
    </row>
    <row r="60" spans="1:32" ht="15">
      <c r="A60" s="1122"/>
      <c r="B60" s="908"/>
      <c r="C60" s="909" t="s">
        <v>968</v>
      </c>
      <c r="D60" s="910">
        <v>13047</v>
      </c>
      <c r="E60" s="910">
        <v>54603</v>
      </c>
      <c r="F60" s="910"/>
      <c r="G60" s="910">
        <v>26735</v>
      </c>
      <c r="H60" s="910">
        <v>0</v>
      </c>
      <c r="I60" s="910">
        <v>0</v>
      </c>
      <c r="J60" s="910">
        <v>0</v>
      </c>
      <c r="K60" s="910">
        <v>0</v>
      </c>
      <c r="L60" s="910"/>
      <c r="M60" s="910">
        <v>0</v>
      </c>
      <c r="N60" s="910">
        <v>1630</v>
      </c>
      <c r="O60" s="910">
        <v>0</v>
      </c>
      <c r="P60" s="910">
        <v>284962</v>
      </c>
      <c r="Q60" s="910">
        <v>96057</v>
      </c>
      <c r="R60" s="910">
        <v>381019</v>
      </c>
      <c r="S60" s="1110"/>
      <c r="T60" s="908"/>
      <c r="U60" s="909" t="s">
        <v>968</v>
      </c>
      <c r="V60" s="912">
        <v>22131</v>
      </c>
      <c r="W60" s="912">
        <v>5837</v>
      </c>
      <c r="X60" s="912">
        <v>342677</v>
      </c>
      <c r="Y60" s="912">
        <v>164448</v>
      </c>
      <c r="Z60" s="912">
        <v>0</v>
      </c>
      <c r="AA60" s="912">
        <v>250</v>
      </c>
      <c r="AB60" s="912">
        <v>1654</v>
      </c>
      <c r="AC60" s="912">
        <v>8470</v>
      </c>
      <c r="AD60" s="912">
        <v>381019</v>
      </c>
      <c r="AF60" s="914"/>
    </row>
    <row r="61" spans="1:32" ht="15">
      <c r="A61" s="1119"/>
      <c r="B61" s="908"/>
      <c r="C61" s="909" t="s">
        <v>969</v>
      </c>
      <c r="D61" s="910">
        <v>13047</v>
      </c>
      <c r="E61" s="910">
        <v>56402</v>
      </c>
      <c r="F61" s="910">
        <v>42</v>
      </c>
      <c r="G61" s="910">
        <v>28778</v>
      </c>
      <c r="H61" s="910">
        <v>0</v>
      </c>
      <c r="I61" s="910">
        <v>0</v>
      </c>
      <c r="J61" s="910">
        <v>0</v>
      </c>
      <c r="K61" s="910">
        <v>0</v>
      </c>
      <c r="L61" s="910">
        <v>0</v>
      </c>
      <c r="M61" s="910">
        <v>0</v>
      </c>
      <c r="N61" s="910">
        <v>1380</v>
      </c>
      <c r="O61" s="910">
        <v>0</v>
      </c>
      <c r="P61" s="910">
        <v>288219</v>
      </c>
      <c r="Q61" s="910">
        <v>99649</v>
      </c>
      <c r="R61" s="910">
        <v>387868</v>
      </c>
      <c r="S61" s="1111"/>
      <c r="T61" s="908"/>
      <c r="U61" s="909" t="s">
        <v>969</v>
      </c>
      <c r="V61" s="912">
        <v>22286</v>
      </c>
      <c r="W61" s="912">
        <v>5879</v>
      </c>
      <c r="X61" s="912">
        <v>347947</v>
      </c>
      <c r="Y61" s="912">
        <v>167721</v>
      </c>
      <c r="Z61" s="912">
        <v>0</v>
      </c>
      <c r="AA61" s="912">
        <v>0</v>
      </c>
      <c r="AB61" s="912">
        <v>3286</v>
      </c>
      <c r="AC61" s="912">
        <v>8470</v>
      </c>
      <c r="AD61" s="912">
        <v>387868</v>
      </c>
      <c r="AE61" s="912">
        <v>0</v>
      </c>
      <c r="AF61" s="912">
        <v>0</v>
      </c>
    </row>
    <row r="62" spans="1:32" ht="15">
      <c r="A62" s="1116" t="s">
        <v>990</v>
      </c>
      <c r="B62" s="908" t="s">
        <v>424</v>
      </c>
      <c r="C62" s="909" t="s">
        <v>4</v>
      </c>
      <c r="D62" s="910">
        <v>1230</v>
      </c>
      <c r="E62" s="912">
        <v>0</v>
      </c>
      <c r="F62" s="912"/>
      <c r="G62" s="912">
        <v>332</v>
      </c>
      <c r="H62" s="910">
        <v>0</v>
      </c>
      <c r="I62" s="910">
        <v>0</v>
      </c>
      <c r="J62" s="910">
        <v>0</v>
      </c>
      <c r="K62" s="910">
        <v>0</v>
      </c>
      <c r="L62" s="910"/>
      <c r="M62" s="910">
        <v>0</v>
      </c>
      <c r="N62" s="910">
        <v>0</v>
      </c>
      <c r="O62" s="910">
        <v>0</v>
      </c>
      <c r="P62" s="910">
        <v>40271</v>
      </c>
      <c r="Q62" s="910">
        <v>1562</v>
      </c>
      <c r="R62" s="911">
        <v>41833</v>
      </c>
      <c r="S62" s="1109" t="s">
        <v>990</v>
      </c>
      <c r="T62" s="908" t="s">
        <v>424</v>
      </c>
      <c r="U62" s="909" t="s">
        <v>4</v>
      </c>
      <c r="V62" s="910">
        <v>20534</v>
      </c>
      <c r="W62" s="910">
        <v>5287</v>
      </c>
      <c r="X62" s="910">
        <v>16012</v>
      </c>
      <c r="Y62" s="910">
        <v>0</v>
      </c>
      <c r="Z62" s="910">
        <v>0</v>
      </c>
      <c r="AA62" s="910">
        <v>0</v>
      </c>
      <c r="AB62" s="910">
        <v>0</v>
      </c>
      <c r="AC62" s="910">
        <v>0</v>
      </c>
      <c r="AD62" s="910">
        <v>41833</v>
      </c>
      <c r="AF62" s="914">
        <v>41833</v>
      </c>
    </row>
    <row r="63" spans="1:32" ht="15">
      <c r="A63" s="1122"/>
      <c r="B63" s="908" t="s">
        <v>424</v>
      </c>
      <c r="C63" s="909" t="s">
        <v>968</v>
      </c>
      <c r="D63" s="910">
        <v>1230</v>
      </c>
      <c r="E63" s="912">
        <v>0</v>
      </c>
      <c r="F63" s="912"/>
      <c r="G63" s="912">
        <v>332</v>
      </c>
      <c r="H63" s="910">
        <v>0</v>
      </c>
      <c r="I63" s="910">
        <v>0</v>
      </c>
      <c r="J63" s="910">
        <v>0</v>
      </c>
      <c r="K63" s="910">
        <v>0</v>
      </c>
      <c r="L63" s="910"/>
      <c r="M63" s="910">
        <v>0</v>
      </c>
      <c r="N63" s="910">
        <v>49</v>
      </c>
      <c r="O63" s="910">
        <v>0</v>
      </c>
      <c r="P63" s="910">
        <v>42752</v>
      </c>
      <c r="Q63" s="910">
        <v>1611</v>
      </c>
      <c r="R63" s="911">
        <v>44363</v>
      </c>
      <c r="S63" s="1110"/>
      <c r="T63" s="908" t="s">
        <v>424</v>
      </c>
      <c r="U63" s="909" t="s">
        <v>968</v>
      </c>
      <c r="V63" s="910">
        <v>20724</v>
      </c>
      <c r="W63" s="910">
        <v>5328</v>
      </c>
      <c r="X63" s="910">
        <v>17666</v>
      </c>
      <c r="Y63" s="910">
        <v>0</v>
      </c>
      <c r="Z63" s="910">
        <v>0</v>
      </c>
      <c r="AA63" s="910">
        <v>0</v>
      </c>
      <c r="AB63" s="910">
        <v>645</v>
      </c>
      <c r="AC63" s="910">
        <v>0</v>
      </c>
      <c r="AD63" s="910">
        <v>44363</v>
      </c>
      <c r="AF63" s="914"/>
    </row>
    <row r="64" spans="1:32" ht="15">
      <c r="A64" s="1119"/>
      <c r="B64" s="908" t="s">
        <v>424</v>
      </c>
      <c r="C64" s="909" t="s">
        <v>969</v>
      </c>
      <c r="D64" s="910">
        <v>1230</v>
      </c>
      <c r="E64" s="912">
        <v>0</v>
      </c>
      <c r="F64" s="912"/>
      <c r="G64" s="912">
        <v>332</v>
      </c>
      <c r="H64" s="910">
        <v>0</v>
      </c>
      <c r="I64" s="910">
        <v>0</v>
      </c>
      <c r="J64" s="910">
        <v>0</v>
      </c>
      <c r="K64" s="910">
        <v>0</v>
      </c>
      <c r="L64" s="910"/>
      <c r="M64" s="910">
        <v>0</v>
      </c>
      <c r="N64" s="910">
        <v>49</v>
      </c>
      <c r="O64" s="910">
        <v>0</v>
      </c>
      <c r="P64" s="910">
        <v>43006</v>
      </c>
      <c r="Q64" s="910">
        <v>1611</v>
      </c>
      <c r="R64" s="911">
        <v>44617</v>
      </c>
      <c r="S64" s="1111"/>
      <c r="T64" s="908" t="s">
        <v>424</v>
      </c>
      <c r="U64" s="909" t="s">
        <v>969</v>
      </c>
      <c r="V64" s="910">
        <v>20924</v>
      </c>
      <c r="W64" s="910">
        <v>5382</v>
      </c>
      <c r="X64" s="910">
        <v>17666</v>
      </c>
      <c r="Y64" s="910">
        <v>0</v>
      </c>
      <c r="Z64" s="910">
        <v>0</v>
      </c>
      <c r="AA64" s="910">
        <v>0</v>
      </c>
      <c r="AB64" s="910">
        <v>645</v>
      </c>
      <c r="AC64" s="910">
        <v>0</v>
      </c>
      <c r="AD64" s="910">
        <v>44617</v>
      </c>
      <c r="AF64" s="914"/>
    </row>
    <row r="65" spans="1:32" s="921" customFormat="1" ht="15.75" customHeight="1">
      <c r="A65" s="1117" t="s">
        <v>991</v>
      </c>
      <c r="B65" s="908" t="s">
        <v>424</v>
      </c>
      <c r="C65" s="920" t="s">
        <v>4</v>
      </c>
      <c r="D65" s="910">
        <v>0</v>
      </c>
      <c r="E65" s="910">
        <v>0</v>
      </c>
      <c r="F65" s="910"/>
      <c r="G65" s="910">
        <v>0</v>
      </c>
      <c r="H65" s="910">
        <v>0</v>
      </c>
      <c r="I65" s="910">
        <v>110310</v>
      </c>
      <c r="J65" s="910">
        <v>0</v>
      </c>
      <c r="K65" s="910">
        <v>0</v>
      </c>
      <c r="L65" s="910"/>
      <c r="M65" s="910">
        <v>0</v>
      </c>
      <c r="N65" s="910">
        <v>0</v>
      </c>
      <c r="O65" s="910">
        <v>0</v>
      </c>
      <c r="P65" s="910">
        <v>18858</v>
      </c>
      <c r="Q65" s="910">
        <v>110310</v>
      </c>
      <c r="R65" s="911">
        <v>129168</v>
      </c>
      <c r="S65" s="1109" t="s">
        <v>991</v>
      </c>
      <c r="T65" s="908" t="s">
        <v>424</v>
      </c>
      <c r="U65" s="909" t="s">
        <v>4</v>
      </c>
      <c r="V65" s="910">
        <v>65135</v>
      </c>
      <c r="W65" s="910">
        <v>17419</v>
      </c>
      <c r="X65" s="910">
        <v>40494</v>
      </c>
      <c r="Y65" s="910">
        <v>0</v>
      </c>
      <c r="Z65" s="910">
        <v>0</v>
      </c>
      <c r="AA65" s="910">
        <v>0</v>
      </c>
      <c r="AB65" s="910">
        <v>6120</v>
      </c>
      <c r="AC65" s="910">
        <v>0</v>
      </c>
      <c r="AD65" s="910">
        <v>129168</v>
      </c>
      <c r="AF65" s="923">
        <v>129168</v>
      </c>
    </row>
    <row r="66" spans="1:32" s="921" customFormat="1" ht="15">
      <c r="A66" s="1118"/>
      <c r="B66" s="908" t="s">
        <v>424</v>
      </c>
      <c r="C66" s="909" t="s">
        <v>968</v>
      </c>
      <c r="D66" s="910">
        <v>114</v>
      </c>
      <c r="E66" s="910">
        <v>0</v>
      </c>
      <c r="F66" s="910">
        <v>48</v>
      </c>
      <c r="G66" s="910">
        <v>0</v>
      </c>
      <c r="H66" s="910">
        <v>0</v>
      </c>
      <c r="I66" s="910">
        <v>110310</v>
      </c>
      <c r="J66" s="910">
        <v>0</v>
      </c>
      <c r="K66" s="910">
        <v>0</v>
      </c>
      <c r="L66" s="910"/>
      <c r="M66" s="910">
        <v>0</v>
      </c>
      <c r="N66" s="910">
        <v>3243</v>
      </c>
      <c r="O66" s="910">
        <v>0</v>
      </c>
      <c r="P66" s="910">
        <v>19187</v>
      </c>
      <c r="Q66" s="910">
        <v>113715</v>
      </c>
      <c r="R66" s="911">
        <v>132902</v>
      </c>
      <c r="S66" s="1110"/>
      <c r="T66" s="908" t="s">
        <v>424</v>
      </c>
      <c r="U66" s="909" t="s">
        <v>968</v>
      </c>
      <c r="V66" s="910">
        <v>66390</v>
      </c>
      <c r="W66" s="910">
        <v>17743</v>
      </c>
      <c r="X66" s="910">
        <v>41045</v>
      </c>
      <c r="Y66" s="910">
        <v>0</v>
      </c>
      <c r="Z66" s="910">
        <v>0</v>
      </c>
      <c r="AA66" s="910">
        <v>1404</v>
      </c>
      <c r="AB66" s="910">
        <v>6320</v>
      </c>
      <c r="AC66" s="910">
        <v>0</v>
      </c>
      <c r="AD66" s="910">
        <v>132902</v>
      </c>
      <c r="AF66" s="923"/>
    </row>
    <row r="67" spans="1:32" s="921" customFormat="1" ht="15">
      <c r="A67" s="1119"/>
      <c r="B67" s="908" t="s">
        <v>424</v>
      </c>
      <c r="C67" s="909" t="s">
        <v>969</v>
      </c>
      <c r="D67" s="910">
        <v>114</v>
      </c>
      <c r="E67" s="910">
        <v>0</v>
      </c>
      <c r="F67" s="910">
        <v>48</v>
      </c>
      <c r="G67" s="910">
        <v>0</v>
      </c>
      <c r="H67" s="910">
        <v>0</v>
      </c>
      <c r="I67" s="910">
        <v>110310</v>
      </c>
      <c r="J67" s="910">
        <v>0</v>
      </c>
      <c r="K67" s="910">
        <v>0</v>
      </c>
      <c r="L67" s="910"/>
      <c r="M67" s="910">
        <v>0</v>
      </c>
      <c r="N67" s="910">
        <v>3243</v>
      </c>
      <c r="O67" s="910">
        <v>0</v>
      </c>
      <c r="P67" s="910">
        <v>19534</v>
      </c>
      <c r="Q67" s="910">
        <v>113715</v>
      </c>
      <c r="R67" s="911">
        <v>133249</v>
      </c>
      <c r="S67" s="1111"/>
      <c r="T67" s="908" t="s">
        <v>424</v>
      </c>
      <c r="U67" s="909" t="s">
        <v>969</v>
      </c>
      <c r="V67" s="910">
        <v>64563</v>
      </c>
      <c r="W67" s="910">
        <v>17250</v>
      </c>
      <c r="X67" s="910">
        <v>43712</v>
      </c>
      <c r="Y67" s="910">
        <v>0</v>
      </c>
      <c r="Z67" s="910">
        <v>0</v>
      </c>
      <c r="AA67" s="910">
        <v>1404</v>
      </c>
      <c r="AB67" s="910">
        <v>6320</v>
      </c>
      <c r="AC67" s="910"/>
      <c r="AD67" s="910">
        <v>133249</v>
      </c>
      <c r="AF67" s="923"/>
    </row>
    <row r="68" spans="1:32" s="921" customFormat="1" ht="15">
      <c r="A68" s="1117" t="s">
        <v>658</v>
      </c>
      <c r="B68" s="908" t="s">
        <v>424</v>
      </c>
      <c r="C68" s="909" t="s">
        <v>4</v>
      </c>
      <c r="D68" s="910"/>
      <c r="E68" s="910"/>
      <c r="F68" s="910"/>
      <c r="G68" s="910"/>
      <c r="H68" s="910"/>
      <c r="I68" s="910"/>
      <c r="J68" s="910"/>
      <c r="K68" s="910"/>
      <c r="L68" s="910"/>
      <c r="M68" s="910"/>
      <c r="N68" s="910"/>
      <c r="O68" s="910"/>
      <c r="P68" s="910"/>
      <c r="Q68" s="910">
        <v>0</v>
      </c>
      <c r="R68" s="911">
        <v>0</v>
      </c>
      <c r="S68" s="1117" t="s">
        <v>658</v>
      </c>
      <c r="T68" s="908" t="s">
        <v>424</v>
      </c>
      <c r="U68" s="909" t="s">
        <v>4</v>
      </c>
      <c r="V68" s="910"/>
      <c r="W68" s="910"/>
      <c r="X68" s="910"/>
      <c r="Y68" s="910"/>
      <c r="Z68" s="910"/>
      <c r="AA68" s="910"/>
      <c r="AB68" s="910"/>
      <c r="AC68" s="910"/>
      <c r="AD68" s="910">
        <v>0</v>
      </c>
      <c r="AF68" s="923"/>
    </row>
    <row r="69" spans="1:32" s="921" customFormat="1" ht="15">
      <c r="A69" s="1118"/>
      <c r="B69" s="908" t="s">
        <v>424</v>
      </c>
      <c r="C69" s="909" t="s">
        <v>968</v>
      </c>
      <c r="D69" s="910">
        <v>26733</v>
      </c>
      <c r="E69" s="910"/>
      <c r="F69" s="910"/>
      <c r="G69" s="910">
        <v>17978</v>
      </c>
      <c r="H69" s="910"/>
      <c r="I69" s="910">
        <v>11200</v>
      </c>
      <c r="J69" s="910"/>
      <c r="K69" s="910"/>
      <c r="L69" s="910"/>
      <c r="M69" s="910"/>
      <c r="N69" s="910">
        <v>63330</v>
      </c>
      <c r="O69" s="910"/>
      <c r="P69" s="910">
        <v>143461</v>
      </c>
      <c r="Q69" s="910">
        <v>119241</v>
      </c>
      <c r="R69" s="911">
        <v>262702</v>
      </c>
      <c r="S69" s="1120"/>
      <c r="T69" s="908" t="s">
        <v>424</v>
      </c>
      <c r="U69" s="909" t="s">
        <v>968</v>
      </c>
      <c r="V69" s="910">
        <v>101380</v>
      </c>
      <c r="W69" s="910">
        <v>29007</v>
      </c>
      <c r="X69" s="910">
        <v>103572</v>
      </c>
      <c r="Y69" s="910"/>
      <c r="Z69" s="910"/>
      <c r="AA69" s="910"/>
      <c r="AB69" s="910">
        <v>23743</v>
      </c>
      <c r="AC69" s="910">
        <v>5000</v>
      </c>
      <c r="AD69" s="910">
        <v>262702</v>
      </c>
      <c r="AF69" s="923"/>
    </row>
    <row r="70" spans="1:32" s="921" customFormat="1" ht="15">
      <c r="A70" s="1119"/>
      <c r="B70" s="908" t="s">
        <v>424</v>
      </c>
      <c r="C70" s="909" t="s">
        <v>969</v>
      </c>
      <c r="D70" s="910">
        <v>26733</v>
      </c>
      <c r="E70" s="910"/>
      <c r="F70" s="910">
        <v>94</v>
      </c>
      <c r="G70" s="910">
        <v>17978</v>
      </c>
      <c r="H70" s="910">
        <v>3249</v>
      </c>
      <c r="I70" s="910">
        <v>11200</v>
      </c>
      <c r="J70" s="910">
        <v>900</v>
      </c>
      <c r="K70" s="910"/>
      <c r="L70" s="910"/>
      <c r="M70" s="910"/>
      <c r="N70" s="910">
        <v>63330</v>
      </c>
      <c r="O70" s="910"/>
      <c r="P70" s="910">
        <v>147324</v>
      </c>
      <c r="Q70" s="910">
        <v>123484</v>
      </c>
      <c r="R70" s="911">
        <v>270808</v>
      </c>
      <c r="S70" s="1119"/>
      <c r="T70" s="908" t="s">
        <v>424</v>
      </c>
      <c r="U70" s="909" t="s">
        <v>969</v>
      </c>
      <c r="V70" s="910">
        <v>103064</v>
      </c>
      <c r="W70" s="910">
        <v>29435</v>
      </c>
      <c r="X70" s="910">
        <v>105966</v>
      </c>
      <c r="Y70" s="910"/>
      <c r="Z70" s="910"/>
      <c r="AA70" s="910"/>
      <c r="AB70" s="910">
        <v>27343</v>
      </c>
      <c r="AC70" s="910">
        <v>5000</v>
      </c>
      <c r="AD70" s="910">
        <v>270808</v>
      </c>
      <c r="AF70" s="923"/>
    </row>
    <row r="71" spans="1:32" s="921" customFormat="1" ht="16.5" customHeight="1">
      <c r="A71" s="1117" t="s">
        <v>992</v>
      </c>
      <c r="B71" s="1117" t="s">
        <v>993</v>
      </c>
      <c r="C71" s="920" t="s">
        <v>4</v>
      </c>
      <c r="D71" s="911">
        <v>53055</v>
      </c>
      <c r="E71" s="911">
        <v>92312</v>
      </c>
      <c r="F71" s="911"/>
      <c r="G71" s="911">
        <v>46628</v>
      </c>
      <c r="H71" s="911">
        <v>0</v>
      </c>
      <c r="I71" s="911">
        <v>110310</v>
      </c>
      <c r="J71" s="911">
        <v>900</v>
      </c>
      <c r="K71" s="911">
        <v>0</v>
      </c>
      <c r="L71" s="911"/>
      <c r="M71" s="911">
        <v>0</v>
      </c>
      <c r="N71" s="911">
        <v>0</v>
      </c>
      <c r="O71" s="911">
        <v>0</v>
      </c>
      <c r="P71" s="911">
        <v>852082</v>
      </c>
      <c r="Q71" s="911">
        <v>303205</v>
      </c>
      <c r="R71" s="911">
        <v>1155287</v>
      </c>
      <c r="S71" s="1109" t="s">
        <v>992</v>
      </c>
      <c r="T71" s="1117" t="s">
        <v>993</v>
      </c>
      <c r="U71" s="909" t="s">
        <v>4</v>
      </c>
      <c r="V71" s="911">
        <v>453611</v>
      </c>
      <c r="W71" s="911">
        <v>120024</v>
      </c>
      <c r="X71" s="911">
        <v>549085</v>
      </c>
      <c r="Y71" s="911">
        <v>205026</v>
      </c>
      <c r="Z71" s="911">
        <v>0</v>
      </c>
      <c r="AA71" s="911">
        <v>0</v>
      </c>
      <c r="AB71" s="911">
        <v>12903</v>
      </c>
      <c r="AC71" s="911">
        <v>19664</v>
      </c>
      <c r="AD71" s="911">
        <v>1155287</v>
      </c>
      <c r="AF71" s="914">
        <v>1155287</v>
      </c>
    </row>
    <row r="72" spans="1:32" ht="15">
      <c r="A72" s="1108"/>
      <c r="B72" s="1121"/>
      <c r="C72" s="909" t="s">
        <v>968</v>
      </c>
      <c r="D72" s="911">
        <v>79908</v>
      </c>
      <c r="E72" s="911">
        <v>92312</v>
      </c>
      <c r="F72" s="911">
        <v>90</v>
      </c>
      <c r="G72" s="911">
        <v>64606</v>
      </c>
      <c r="H72" s="911">
        <v>651</v>
      </c>
      <c r="I72" s="911">
        <v>121510</v>
      </c>
      <c r="J72" s="911">
        <v>900</v>
      </c>
      <c r="K72" s="911">
        <v>0</v>
      </c>
      <c r="L72" s="911">
        <v>1965</v>
      </c>
      <c r="M72" s="911">
        <v>0</v>
      </c>
      <c r="N72" s="911">
        <v>68749</v>
      </c>
      <c r="O72" s="911">
        <v>0</v>
      </c>
      <c r="P72" s="911">
        <v>1005817</v>
      </c>
      <c r="Q72" s="911">
        <v>430691</v>
      </c>
      <c r="R72" s="911">
        <v>1436508</v>
      </c>
      <c r="S72" s="1110"/>
      <c r="T72" s="1115"/>
      <c r="U72" s="909" t="s">
        <v>968</v>
      </c>
      <c r="V72" s="911">
        <v>564739</v>
      </c>
      <c r="W72" s="911">
        <v>151555</v>
      </c>
      <c r="X72" s="911">
        <v>654476</v>
      </c>
      <c r="Y72" s="911">
        <v>205026</v>
      </c>
      <c r="Z72" s="911">
        <v>0</v>
      </c>
      <c r="AA72" s="911">
        <v>1965</v>
      </c>
      <c r="AB72" s="911">
        <v>39909</v>
      </c>
      <c r="AC72" s="911">
        <v>23864</v>
      </c>
      <c r="AD72" s="911">
        <v>1436508</v>
      </c>
      <c r="AE72" s="911">
        <v>0</v>
      </c>
      <c r="AF72" s="911">
        <v>0</v>
      </c>
    </row>
    <row r="73" spans="1:32" ht="15">
      <c r="A73" s="1106"/>
      <c r="B73" s="1119"/>
      <c r="C73" s="909" t="s">
        <v>969</v>
      </c>
      <c r="D73" s="911">
        <v>81787</v>
      </c>
      <c r="E73" s="911">
        <v>94111</v>
      </c>
      <c r="F73" s="911">
        <v>184</v>
      </c>
      <c r="G73" s="911">
        <v>66670</v>
      </c>
      <c r="H73" s="911">
        <v>3900</v>
      </c>
      <c r="I73" s="911">
        <v>121510</v>
      </c>
      <c r="J73" s="911">
        <v>1800</v>
      </c>
      <c r="K73" s="911">
        <v>0</v>
      </c>
      <c r="L73" s="911">
        <v>1715</v>
      </c>
      <c r="M73" s="911">
        <v>0</v>
      </c>
      <c r="N73" s="911">
        <v>68749</v>
      </c>
      <c r="O73" s="911">
        <v>0</v>
      </c>
      <c r="P73" s="911">
        <v>1019881</v>
      </c>
      <c r="Q73" s="911">
        <v>440426</v>
      </c>
      <c r="R73" s="911">
        <v>1460307</v>
      </c>
      <c r="S73" s="1111"/>
      <c r="T73" s="1106"/>
      <c r="U73" s="909" t="s">
        <v>969</v>
      </c>
      <c r="V73" s="911">
        <v>572233</v>
      </c>
      <c r="W73" s="911">
        <v>153553</v>
      </c>
      <c r="X73" s="911">
        <v>668071</v>
      </c>
      <c r="Y73" s="911">
        <v>208299</v>
      </c>
      <c r="Z73" s="911">
        <v>0</v>
      </c>
      <c r="AA73" s="911">
        <v>1715</v>
      </c>
      <c r="AB73" s="911">
        <v>45253</v>
      </c>
      <c r="AC73" s="911">
        <v>19482</v>
      </c>
      <c r="AD73" s="911">
        <v>1460307</v>
      </c>
      <c r="AE73" s="911">
        <v>0</v>
      </c>
      <c r="AF73" s="911">
        <v>0</v>
      </c>
    </row>
    <row r="74" spans="1:30" ht="16.5" customHeight="1">
      <c r="A74" s="1104" t="s">
        <v>994</v>
      </c>
      <c r="B74" s="1107" t="s">
        <v>536</v>
      </c>
      <c r="C74" s="920" t="s">
        <v>4</v>
      </c>
      <c r="D74" s="924">
        <v>52689</v>
      </c>
      <c r="E74" s="924">
        <v>92312</v>
      </c>
      <c r="F74" s="924"/>
      <c r="G74" s="924">
        <v>36610</v>
      </c>
      <c r="H74" s="924">
        <v>0</v>
      </c>
      <c r="I74" s="924">
        <v>110310</v>
      </c>
      <c r="J74" s="924">
        <v>900</v>
      </c>
      <c r="K74" s="924">
        <v>0</v>
      </c>
      <c r="L74" s="924"/>
      <c r="M74" s="924">
        <v>0</v>
      </c>
      <c r="N74" s="924">
        <v>0</v>
      </c>
      <c r="O74" s="924">
        <v>0</v>
      </c>
      <c r="P74" s="924">
        <v>823774</v>
      </c>
      <c r="Q74" s="924">
        <v>292821</v>
      </c>
      <c r="R74" s="924">
        <v>1116595</v>
      </c>
      <c r="S74" s="1109" t="s">
        <v>994</v>
      </c>
      <c r="T74" s="1107" t="s">
        <v>536</v>
      </c>
      <c r="U74" s="909" t="s">
        <v>4</v>
      </c>
      <c r="V74" s="924">
        <v>434627</v>
      </c>
      <c r="W74" s="925">
        <v>115028</v>
      </c>
      <c r="X74" s="924">
        <v>534373</v>
      </c>
      <c r="Y74" s="924">
        <v>205026</v>
      </c>
      <c r="Z74" s="924">
        <v>0</v>
      </c>
      <c r="AA74" s="924">
        <v>0</v>
      </c>
      <c r="AB74" s="924">
        <v>12903</v>
      </c>
      <c r="AC74" s="924">
        <v>19664</v>
      </c>
      <c r="AD74" s="924">
        <v>1116595</v>
      </c>
    </row>
    <row r="75" spans="1:32" ht="15">
      <c r="A75" s="1105"/>
      <c r="B75" s="1108"/>
      <c r="C75" s="909" t="s">
        <v>968</v>
      </c>
      <c r="D75" s="924">
        <v>79542</v>
      </c>
      <c r="E75" s="924">
        <v>92312</v>
      </c>
      <c r="F75" s="924">
        <v>48</v>
      </c>
      <c r="G75" s="924">
        <v>54588</v>
      </c>
      <c r="H75" s="924">
        <v>651</v>
      </c>
      <c r="I75" s="924">
        <v>121510</v>
      </c>
      <c r="J75" s="924">
        <v>900</v>
      </c>
      <c r="K75" s="924">
        <v>0</v>
      </c>
      <c r="L75" s="924">
        <v>1965</v>
      </c>
      <c r="M75" s="924">
        <v>0</v>
      </c>
      <c r="N75" s="924">
        <v>67119</v>
      </c>
      <c r="O75" s="924">
        <v>0</v>
      </c>
      <c r="P75" s="924">
        <v>974791</v>
      </c>
      <c r="Q75" s="924">
        <v>418635</v>
      </c>
      <c r="R75" s="924">
        <v>1393426</v>
      </c>
      <c r="S75" s="1110"/>
      <c r="T75" s="1108"/>
      <c r="U75" s="909" t="s">
        <v>968</v>
      </c>
      <c r="V75" s="924">
        <v>542608</v>
      </c>
      <c r="W75" s="924">
        <v>145718</v>
      </c>
      <c r="X75" s="924">
        <v>639812</v>
      </c>
      <c r="Y75" s="924">
        <v>205026</v>
      </c>
      <c r="Z75" s="924">
        <v>0</v>
      </c>
      <c r="AA75" s="924">
        <v>1715</v>
      </c>
      <c r="AB75" s="924">
        <v>39709</v>
      </c>
      <c r="AC75" s="924">
        <v>23864</v>
      </c>
      <c r="AD75" s="924">
        <v>1393426</v>
      </c>
      <c r="AE75" s="924">
        <v>0</v>
      </c>
      <c r="AF75" s="924">
        <v>0</v>
      </c>
    </row>
    <row r="76" spans="1:32" ht="15">
      <c r="A76" s="1106"/>
      <c r="B76" s="1106"/>
      <c r="C76" s="909" t="s">
        <v>969</v>
      </c>
      <c r="D76" s="924">
        <v>81421</v>
      </c>
      <c r="E76" s="924">
        <v>94111</v>
      </c>
      <c r="F76" s="924">
        <v>142</v>
      </c>
      <c r="G76" s="924">
        <v>55095</v>
      </c>
      <c r="H76" s="924">
        <v>3900</v>
      </c>
      <c r="I76" s="924">
        <v>121510</v>
      </c>
      <c r="J76" s="924">
        <v>1800</v>
      </c>
      <c r="K76" s="924">
        <v>0</v>
      </c>
      <c r="L76" s="924">
        <v>1715</v>
      </c>
      <c r="M76" s="924">
        <v>0</v>
      </c>
      <c r="N76" s="924">
        <v>67369</v>
      </c>
      <c r="O76" s="924">
        <v>0</v>
      </c>
      <c r="P76" s="924">
        <v>988658</v>
      </c>
      <c r="Q76" s="924">
        <v>427063</v>
      </c>
      <c r="R76" s="924">
        <v>1415721</v>
      </c>
      <c r="S76" s="1111"/>
      <c r="T76" s="1112"/>
      <c r="U76" s="909" t="s">
        <v>969</v>
      </c>
      <c r="V76" s="924">
        <v>549947</v>
      </c>
      <c r="W76" s="924">
        <v>147674</v>
      </c>
      <c r="X76" s="924">
        <v>652248</v>
      </c>
      <c r="Y76" s="924">
        <v>208299</v>
      </c>
      <c r="Z76" s="924">
        <v>0</v>
      </c>
      <c r="AA76" s="924">
        <v>1715</v>
      </c>
      <c r="AB76" s="924">
        <v>44655</v>
      </c>
      <c r="AC76" s="924">
        <v>19482</v>
      </c>
      <c r="AD76" s="924">
        <v>1415721</v>
      </c>
      <c r="AE76" s="926"/>
      <c r="AF76" s="926"/>
    </row>
    <row r="77" spans="1:30" ht="19.5" customHeight="1">
      <c r="A77" s="1104" t="s">
        <v>995</v>
      </c>
      <c r="B77" s="1113" t="s">
        <v>988</v>
      </c>
      <c r="C77" s="920" t="s">
        <v>4</v>
      </c>
      <c r="D77" s="924">
        <v>366</v>
      </c>
      <c r="E77" s="924">
        <v>0</v>
      </c>
      <c r="F77" s="924"/>
      <c r="G77" s="924">
        <v>10018</v>
      </c>
      <c r="H77" s="924">
        <v>0</v>
      </c>
      <c r="I77" s="924">
        <v>0</v>
      </c>
      <c r="J77" s="924">
        <v>0</v>
      </c>
      <c r="K77" s="924">
        <v>0</v>
      </c>
      <c r="L77" s="924"/>
      <c r="M77" s="924">
        <v>0</v>
      </c>
      <c r="N77" s="924">
        <v>0</v>
      </c>
      <c r="O77" s="924">
        <v>0</v>
      </c>
      <c r="P77" s="924">
        <v>28308</v>
      </c>
      <c r="Q77" s="924">
        <v>10384</v>
      </c>
      <c r="R77" s="924">
        <v>38692</v>
      </c>
      <c r="S77" s="1109" t="s">
        <v>995</v>
      </c>
      <c r="T77" s="1116" t="s">
        <v>988</v>
      </c>
      <c r="U77" s="909" t="s">
        <v>4</v>
      </c>
      <c r="V77" s="924">
        <v>18984</v>
      </c>
      <c r="W77" s="924">
        <v>4996</v>
      </c>
      <c r="X77" s="924">
        <v>14712</v>
      </c>
      <c r="Y77" s="924">
        <v>0</v>
      </c>
      <c r="Z77" s="924">
        <v>0</v>
      </c>
      <c r="AA77" s="924">
        <v>0</v>
      </c>
      <c r="AB77" s="924">
        <v>0</v>
      </c>
      <c r="AC77" s="924">
        <v>0</v>
      </c>
      <c r="AD77" s="924">
        <v>38692</v>
      </c>
    </row>
    <row r="78" spans="1:30" ht="15">
      <c r="A78" s="1105"/>
      <c r="B78" s="1114"/>
      <c r="C78" s="909" t="s">
        <v>968</v>
      </c>
      <c r="D78" s="924">
        <v>366</v>
      </c>
      <c r="E78" s="924">
        <v>0</v>
      </c>
      <c r="F78" s="924">
        <v>42</v>
      </c>
      <c r="G78" s="924">
        <v>10018</v>
      </c>
      <c r="H78" s="924">
        <v>0</v>
      </c>
      <c r="I78" s="924">
        <v>0</v>
      </c>
      <c r="J78" s="924">
        <v>0</v>
      </c>
      <c r="K78" s="924">
        <v>0</v>
      </c>
      <c r="L78" s="924">
        <v>0</v>
      </c>
      <c r="M78" s="924">
        <v>0</v>
      </c>
      <c r="N78" s="924">
        <v>1630</v>
      </c>
      <c r="O78" s="924">
        <v>0</v>
      </c>
      <c r="P78" s="924">
        <v>31026</v>
      </c>
      <c r="Q78" s="924">
        <v>12056</v>
      </c>
      <c r="R78" s="924">
        <v>43082</v>
      </c>
      <c r="S78" s="1115"/>
      <c r="T78" s="1115"/>
      <c r="U78" s="909" t="s">
        <v>968</v>
      </c>
      <c r="V78" s="924">
        <v>22131</v>
      </c>
      <c r="W78" s="924">
        <v>5837</v>
      </c>
      <c r="X78" s="924">
        <v>14664</v>
      </c>
      <c r="Y78" s="924">
        <v>0</v>
      </c>
      <c r="Z78" s="924">
        <v>0</v>
      </c>
      <c r="AA78" s="924">
        <v>250</v>
      </c>
      <c r="AB78" s="924">
        <v>200</v>
      </c>
      <c r="AC78" s="924">
        <v>0</v>
      </c>
      <c r="AD78" s="924">
        <v>43082</v>
      </c>
    </row>
    <row r="79" spans="1:30" ht="15">
      <c r="A79" s="1106"/>
      <c r="B79" s="1114"/>
      <c r="C79" s="909" t="s">
        <v>969</v>
      </c>
      <c r="D79" s="924">
        <v>366</v>
      </c>
      <c r="E79" s="924">
        <v>0</v>
      </c>
      <c r="F79" s="924">
        <v>42</v>
      </c>
      <c r="G79" s="924">
        <v>11575</v>
      </c>
      <c r="H79" s="924">
        <v>0</v>
      </c>
      <c r="I79" s="924">
        <v>0</v>
      </c>
      <c r="J79" s="924">
        <v>0</v>
      </c>
      <c r="K79" s="924">
        <v>0</v>
      </c>
      <c r="L79" s="924">
        <v>0</v>
      </c>
      <c r="M79" s="924">
        <v>0</v>
      </c>
      <c r="N79" s="924">
        <v>1380</v>
      </c>
      <c r="O79" s="924">
        <v>0</v>
      </c>
      <c r="P79" s="924">
        <v>31223</v>
      </c>
      <c r="Q79" s="924">
        <v>13363</v>
      </c>
      <c r="R79" s="924">
        <v>44586</v>
      </c>
      <c r="S79" s="1106"/>
      <c r="T79" s="1106"/>
      <c r="U79" s="909" t="s">
        <v>969</v>
      </c>
      <c r="V79" s="924">
        <v>22286</v>
      </c>
      <c r="W79" s="924">
        <v>5879</v>
      </c>
      <c r="X79" s="924">
        <v>15823</v>
      </c>
      <c r="Y79" s="924">
        <v>0</v>
      </c>
      <c r="Z79" s="924">
        <v>0</v>
      </c>
      <c r="AA79" s="924">
        <v>0</v>
      </c>
      <c r="AB79" s="924">
        <v>598</v>
      </c>
      <c r="AC79" s="924">
        <v>0</v>
      </c>
      <c r="AD79" s="924">
        <v>44586</v>
      </c>
    </row>
    <row r="80" spans="1:32" ht="14.25">
      <c r="A80" s="913" t="s">
        <v>996</v>
      </c>
      <c r="D80" s="914">
        <v>1879</v>
      </c>
      <c r="E80" s="914">
        <v>1799</v>
      </c>
      <c r="F80" s="914">
        <v>94</v>
      </c>
      <c r="G80" s="914">
        <v>2064</v>
      </c>
      <c r="H80" s="914">
        <v>3249</v>
      </c>
      <c r="I80" s="914">
        <v>0</v>
      </c>
      <c r="J80" s="914">
        <v>900</v>
      </c>
      <c r="K80" s="914">
        <v>0</v>
      </c>
      <c r="L80" s="914">
        <v>-250</v>
      </c>
      <c r="M80" s="914">
        <v>0</v>
      </c>
      <c r="N80" s="914">
        <v>0</v>
      </c>
      <c r="O80" s="914">
        <v>0</v>
      </c>
      <c r="P80" s="914">
        <v>14064</v>
      </c>
      <c r="Q80" s="914">
        <v>9735</v>
      </c>
      <c r="R80" s="914">
        <v>23799</v>
      </c>
      <c r="S80" s="914">
        <v>0</v>
      </c>
      <c r="T80" s="914">
        <v>0</v>
      </c>
      <c r="U80" s="914" t="e">
        <v>#VALUE!</v>
      </c>
      <c r="V80" s="914">
        <v>7494</v>
      </c>
      <c r="W80" s="914">
        <v>1998</v>
      </c>
      <c r="X80" s="914">
        <v>13595</v>
      </c>
      <c r="Y80" s="914">
        <v>3273</v>
      </c>
      <c r="Z80" s="914">
        <v>0</v>
      </c>
      <c r="AA80" s="914">
        <v>-250</v>
      </c>
      <c r="AB80" s="914">
        <v>5344</v>
      </c>
      <c r="AC80" s="914">
        <v>-4382</v>
      </c>
      <c r="AD80" s="914">
        <v>23799</v>
      </c>
      <c r="AE80" s="914">
        <v>0</v>
      </c>
      <c r="AF80" s="914">
        <v>-1155287</v>
      </c>
    </row>
  </sheetData>
  <sheetProtection/>
  <mergeCells count="72">
    <mergeCell ref="S1:AD1"/>
    <mergeCell ref="S2:S3"/>
    <mergeCell ref="T2:T3"/>
    <mergeCell ref="AD2:AD3"/>
    <mergeCell ref="A1:R1"/>
    <mergeCell ref="A2:A3"/>
    <mergeCell ref="B2:B3"/>
    <mergeCell ref="C2:C3"/>
    <mergeCell ref="D2:G2"/>
    <mergeCell ref="H2:K2"/>
    <mergeCell ref="M2:M3"/>
    <mergeCell ref="N2:O2"/>
    <mergeCell ref="Q2:Q3"/>
    <mergeCell ref="R2:R3"/>
    <mergeCell ref="A4:A6"/>
    <mergeCell ref="S4:S6"/>
    <mergeCell ref="A7:A9"/>
    <mergeCell ref="S7:S9"/>
    <mergeCell ref="A10:A12"/>
    <mergeCell ref="S10:S12"/>
    <mergeCell ref="A13:A15"/>
    <mergeCell ref="S13:S15"/>
    <mergeCell ref="A16:A18"/>
    <mergeCell ref="S16:S18"/>
    <mergeCell ref="A19:A21"/>
    <mergeCell ref="S19:S21"/>
    <mergeCell ref="A22:A24"/>
    <mergeCell ref="S22:S24"/>
    <mergeCell ref="A25:A27"/>
    <mergeCell ref="S25:S27"/>
    <mergeCell ref="A28:A30"/>
    <mergeCell ref="S28:S30"/>
    <mergeCell ref="A31:A33"/>
    <mergeCell ref="S31:S33"/>
    <mergeCell ref="A34:A36"/>
    <mergeCell ref="S34:S36"/>
    <mergeCell ref="A37:A39"/>
    <mergeCell ref="S37:S39"/>
    <mergeCell ref="A40:A42"/>
    <mergeCell ref="S40:S42"/>
    <mergeCell ref="A43:A45"/>
    <mergeCell ref="S43:S45"/>
    <mergeCell ref="A46:A48"/>
    <mergeCell ref="S46:S48"/>
    <mergeCell ref="A49:A51"/>
    <mergeCell ref="S49:S51"/>
    <mergeCell ref="A52:A54"/>
    <mergeCell ref="S52:S54"/>
    <mergeCell ref="A56:A58"/>
    <mergeCell ref="B56:B58"/>
    <mergeCell ref="S56:S58"/>
    <mergeCell ref="T56:T58"/>
    <mergeCell ref="A59:A61"/>
    <mergeCell ref="S59:S61"/>
    <mergeCell ref="A62:A64"/>
    <mergeCell ref="S62:S64"/>
    <mergeCell ref="A65:A67"/>
    <mergeCell ref="S65:S67"/>
    <mergeCell ref="A68:A70"/>
    <mergeCell ref="S68:S70"/>
    <mergeCell ref="A71:A73"/>
    <mergeCell ref="B71:B73"/>
    <mergeCell ref="S71:S73"/>
    <mergeCell ref="T71:T73"/>
    <mergeCell ref="A74:A76"/>
    <mergeCell ref="B74:B76"/>
    <mergeCell ref="S74:S76"/>
    <mergeCell ref="T74:T76"/>
    <mergeCell ref="A77:A79"/>
    <mergeCell ref="B77:B79"/>
    <mergeCell ref="S77:S79"/>
    <mergeCell ref="T77:T79"/>
  </mergeCells>
  <printOptions horizontalCentered="1"/>
  <pageMargins left="0.7874015748031497" right="0.7874015748031497" top="0.9448818897637796" bottom="0.984251968503937" header="0.35433070866141736" footer="0.5118110236220472"/>
  <pageSetup horizontalDpi="600" verticalDpi="600" orientation="landscape" paperSize="9" scale="50" r:id="rId1"/>
  <headerFooter alignWithMargins="0">
    <oddHeader>&amp;L6. melléklet a 21/2015.(X.2.)  önkormányzati rendelethez
6. melléklet az 1/2015.(I.30.) önkormányzati rendelethez</oddHeader>
  </headerFooter>
  <rowBreaks count="1" manualBreakCount="1">
    <brk id="39" max="29" man="1"/>
  </rowBreaks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98" zoomScaleSheetLayoutView="98" workbookViewId="0" topLeftCell="A19">
      <selection activeCell="H36" sqref="H36"/>
    </sheetView>
  </sheetViews>
  <sheetFormatPr defaultColWidth="9.00390625" defaultRowHeight="12.75"/>
  <cols>
    <col min="1" max="1" width="16.625" style="110" customWidth="1"/>
    <col min="2" max="2" width="11.125" style="110" customWidth="1"/>
    <col min="3" max="3" width="9.00390625" style="110" customWidth="1"/>
    <col min="4" max="4" width="8.875" style="110" customWidth="1"/>
    <col min="5" max="5" width="7.625" style="110" customWidth="1"/>
    <col min="6" max="6" width="10.625" style="110" customWidth="1"/>
    <col min="7" max="7" width="9.25390625" style="110" customWidth="1"/>
    <col min="8" max="8" width="13.625" style="110" customWidth="1"/>
    <col min="9" max="9" width="9.375" style="110" customWidth="1"/>
    <col min="10" max="10" width="10.625" style="110" customWidth="1"/>
    <col min="11" max="11" width="12.75390625" style="110" customWidth="1"/>
    <col min="12" max="12" width="11.00390625" style="110" customWidth="1"/>
    <col min="13" max="13" width="8.375" style="110" customWidth="1"/>
    <col min="14" max="14" width="13.75390625" style="110" customWidth="1"/>
    <col min="15" max="15" width="12.125" style="110" customWidth="1"/>
    <col min="16" max="17" width="9.125" style="110" hidden="1" customWidth="1"/>
    <col min="18" max="16384" width="9.125" style="110" customWidth="1"/>
  </cols>
  <sheetData>
    <row r="1" spans="1:15" ht="12.75">
      <c r="A1" s="1143"/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</row>
    <row r="2" spans="1:15" ht="12.75">
      <c r="A2" s="1139" t="s">
        <v>340</v>
      </c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9"/>
    </row>
    <row r="3" spans="1:15" ht="13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9.5" customHeight="1">
      <c r="A4" s="1140" t="s">
        <v>537</v>
      </c>
      <c r="B4" s="1135"/>
      <c r="C4" s="1135" t="s">
        <v>538</v>
      </c>
      <c r="D4" s="1135" t="s">
        <v>539</v>
      </c>
      <c r="E4" s="1135"/>
      <c r="F4" s="1135" t="s">
        <v>540</v>
      </c>
      <c r="G4" s="1135" t="s">
        <v>541</v>
      </c>
      <c r="H4" s="1135"/>
      <c r="I4" s="1135" t="s">
        <v>542</v>
      </c>
      <c r="J4" s="1135"/>
      <c r="K4" s="1135" t="s">
        <v>543</v>
      </c>
      <c r="L4" s="1135" t="s">
        <v>368</v>
      </c>
      <c r="M4" s="1135"/>
      <c r="N4" s="1135" t="s">
        <v>544</v>
      </c>
      <c r="O4" s="1137" t="s">
        <v>529</v>
      </c>
    </row>
    <row r="5" spans="1:15" ht="21">
      <c r="A5" s="1141"/>
      <c r="B5" s="1136"/>
      <c r="C5" s="1136"/>
      <c r="D5" s="286" t="s">
        <v>545</v>
      </c>
      <c r="E5" s="286" t="s">
        <v>531</v>
      </c>
      <c r="F5" s="1136"/>
      <c r="G5" s="286" t="s">
        <v>546</v>
      </c>
      <c r="H5" s="286" t="s">
        <v>547</v>
      </c>
      <c r="I5" s="286" t="s">
        <v>546</v>
      </c>
      <c r="J5" s="286" t="s">
        <v>547</v>
      </c>
      <c r="K5" s="1136"/>
      <c r="L5" s="286" t="s">
        <v>555</v>
      </c>
      <c r="M5" s="286" t="s">
        <v>532</v>
      </c>
      <c r="N5" s="1136"/>
      <c r="O5" s="1138"/>
    </row>
    <row r="6" spans="1:15" ht="12.75">
      <c r="A6" s="291" t="s">
        <v>548</v>
      </c>
      <c r="B6" s="287" t="s">
        <v>4</v>
      </c>
      <c r="C6" s="288">
        <v>15980</v>
      </c>
      <c r="D6" s="288"/>
      <c r="E6" s="288">
        <v>11267</v>
      </c>
      <c r="F6" s="288"/>
      <c r="G6" s="288"/>
      <c r="H6" s="288"/>
      <c r="I6" s="288">
        <v>11200</v>
      </c>
      <c r="J6" s="288"/>
      <c r="K6" s="288"/>
      <c r="L6" s="288"/>
      <c r="M6" s="288"/>
      <c r="N6" s="288">
        <v>145814</v>
      </c>
      <c r="O6" s="292">
        <f>C6+I6+N6</f>
        <v>172994</v>
      </c>
    </row>
    <row r="7" spans="1:15" ht="14.25" customHeight="1">
      <c r="A7" s="291"/>
      <c r="B7" s="284" t="s">
        <v>816</v>
      </c>
      <c r="C7" s="288">
        <v>0</v>
      </c>
      <c r="D7" s="288"/>
      <c r="E7" s="288">
        <v>0</v>
      </c>
      <c r="F7" s="288"/>
      <c r="G7" s="288"/>
      <c r="H7" s="288"/>
      <c r="I7" s="288">
        <v>0</v>
      </c>
      <c r="J7" s="288"/>
      <c r="K7" s="288"/>
      <c r="L7" s="288"/>
      <c r="M7" s="288"/>
      <c r="N7" s="288">
        <v>0</v>
      </c>
      <c r="O7" s="292">
        <f>C7+I7+N7</f>
        <v>0</v>
      </c>
    </row>
    <row r="8" spans="1:15" ht="14.25" customHeight="1">
      <c r="A8" s="291"/>
      <c r="B8" s="284" t="s">
        <v>895</v>
      </c>
      <c r="C8" s="288">
        <v>0</v>
      </c>
      <c r="D8" s="288"/>
      <c r="E8" s="288">
        <v>0</v>
      </c>
      <c r="F8" s="288"/>
      <c r="G8" s="288"/>
      <c r="H8" s="288"/>
      <c r="I8" s="288">
        <v>0</v>
      </c>
      <c r="J8" s="288"/>
      <c r="K8" s="288"/>
      <c r="L8" s="288"/>
      <c r="M8" s="288"/>
      <c r="N8" s="288">
        <v>0</v>
      </c>
      <c r="O8" s="292">
        <v>0</v>
      </c>
    </row>
    <row r="9" spans="1:15" ht="12.75">
      <c r="A9" s="291" t="s">
        <v>549</v>
      </c>
      <c r="B9" s="287" t="s">
        <v>4</v>
      </c>
      <c r="C9" s="288">
        <v>0</v>
      </c>
      <c r="D9" s="288"/>
      <c r="E9" s="288"/>
      <c r="F9" s="288"/>
      <c r="G9" s="288"/>
      <c r="H9" s="288"/>
      <c r="I9" s="288">
        <v>0</v>
      </c>
      <c r="J9" s="288"/>
      <c r="K9" s="288"/>
      <c r="L9" s="288"/>
      <c r="M9" s="288"/>
      <c r="N9" s="288">
        <v>0</v>
      </c>
      <c r="O9" s="292">
        <f aca="true" t="shared" si="0" ref="O9:O16">C9+N9</f>
        <v>0</v>
      </c>
    </row>
    <row r="10" spans="1:15" ht="12.75">
      <c r="A10" s="291"/>
      <c r="B10" s="284" t="s">
        <v>816</v>
      </c>
      <c r="C10" s="288">
        <v>0</v>
      </c>
      <c r="D10" s="288"/>
      <c r="E10" s="288"/>
      <c r="F10" s="288"/>
      <c r="G10" s="288"/>
      <c r="H10" s="288"/>
      <c r="I10" s="288">
        <v>0</v>
      </c>
      <c r="J10" s="288"/>
      <c r="K10" s="288"/>
      <c r="L10" s="288"/>
      <c r="M10" s="288"/>
      <c r="N10" s="288">
        <v>0</v>
      </c>
      <c r="O10" s="292">
        <f t="shared" si="0"/>
        <v>0</v>
      </c>
    </row>
    <row r="11" spans="1:15" ht="12.75">
      <c r="A11" s="291"/>
      <c r="B11" s="284" t="s">
        <v>895</v>
      </c>
      <c r="C11" s="288">
        <v>0</v>
      </c>
      <c r="D11" s="288"/>
      <c r="E11" s="288"/>
      <c r="F11" s="288"/>
      <c r="G11" s="288"/>
      <c r="H11" s="288"/>
      <c r="I11" s="288">
        <v>0</v>
      </c>
      <c r="J11" s="288"/>
      <c r="K11" s="288"/>
      <c r="L11" s="288"/>
      <c r="M11" s="288"/>
      <c r="N11" s="288">
        <v>0</v>
      </c>
      <c r="O11" s="292">
        <v>0</v>
      </c>
    </row>
    <row r="12" spans="1:15" ht="12.75">
      <c r="A12" s="291" t="s">
        <v>550</v>
      </c>
      <c r="B12" s="287" t="s">
        <v>4</v>
      </c>
      <c r="C12" s="288">
        <v>0</v>
      </c>
      <c r="D12" s="288"/>
      <c r="E12" s="288"/>
      <c r="F12" s="288"/>
      <c r="G12" s="288"/>
      <c r="H12" s="288"/>
      <c r="I12" s="288">
        <v>0</v>
      </c>
      <c r="J12" s="288"/>
      <c r="K12" s="288"/>
      <c r="L12" s="288"/>
      <c r="M12" s="288"/>
      <c r="N12" s="288">
        <v>0</v>
      </c>
      <c r="O12" s="292">
        <f t="shared" si="0"/>
        <v>0</v>
      </c>
    </row>
    <row r="13" spans="1:15" ht="12.75">
      <c r="A13" s="291"/>
      <c r="B13" s="284" t="s">
        <v>816</v>
      </c>
      <c r="C13" s="288">
        <v>0</v>
      </c>
      <c r="D13" s="288"/>
      <c r="E13" s="288"/>
      <c r="F13" s="288"/>
      <c r="G13" s="288"/>
      <c r="H13" s="288"/>
      <c r="I13" s="288">
        <v>0</v>
      </c>
      <c r="J13" s="288"/>
      <c r="K13" s="288"/>
      <c r="L13" s="288"/>
      <c r="M13" s="288"/>
      <c r="N13" s="288">
        <v>0</v>
      </c>
      <c r="O13" s="292">
        <f t="shared" si="0"/>
        <v>0</v>
      </c>
    </row>
    <row r="14" spans="1:15" ht="12.75">
      <c r="A14" s="291"/>
      <c r="B14" s="284" t="s">
        <v>895</v>
      </c>
      <c r="C14" s="288">
        <v>0</v>
      </c>
      <c r="D14" s="288"/>
      <c r="E14" s="288"/>
      <c r="F14" s="288"/>
      <c r="G14" s="288"/>
      <c r="H14" s="288"/>
      <c r="I14" s="288">
        <v>0</v>
      </c>
      <c r="J14" s="288"/>
      <c r="K14" s="288"/>
      <c r="L14" s="288"/>
      <c r="M14" s="288"/>
      <c r="N14" s="288">
        <v>0</v>
      </c>
      <c r="O14" s="292">
        <v>0</v>
      </c>
    </row>
    <row r="15" spans="1:15" ht="12.75">
      <c r="A15" s="291" t="s">
        <v>551</v>
      </c>
      <c r="B15" s="287" t="s">
        <v>4</v>
      </c>
      <c r="C15" s="288">
        <v>10500</v>
      </c>
      <c r="D15" s="288"/>
      <c r="E15" s="288">
        <v>2835</v>
      </c>
      <c r="F15" s="288"/>
      <c r="G15" s="288"/>
      <c r="H15" s="288"/>
      <c r="I15" s="288">
        <v>0</v>
      </c>
      <c r="J15" s="288"/>
      <c r="K15" s="288"/>
      <c r="L15" s="288"/>
      <c r="M15" s="288"/>
      <c r="N15" s="288">
        <v>0</v>
      </c>
      <c r="O15" s="292">
        <f t="shared" si="0"/>
        <v>10500</v>
      </c>
    </row>
    <row r="16" spans="1:15" ht="12.75">
      <c r="A16" s="291"/>
      <c r="B16" s="284" t="s">
        <v>816</v>
      </c>
      <c r="C16" s="288">
        <v>0</v>
      </c>
      <c r="D16" s="288"/>
      <c r="E16" s="288">
        <v>0</v>
      </c>
      <c r="F16" s="288"/>
      <c r="G16" s="288"/>
      <c r="H16" s="288"/>
      <c r="I16" s="288">
        <v>0</v>
      </c>
      <c r="J16" s="288"/>
      <c r="K16" s="288"/>
      <c r="L16" s="288"/>
      <c r="M16" s="288"/>
      <c r="N16" s="288">
        <v>0</v>
      </c>
      <c r="O16" s="292">
        <f t="shared" si="0"/>
        <v>0</v>
      </c>
    </row>
    <row r="17" spans="1:15" ht="12.75">
      <c r="A17" s="291"/>
      <c r="B17" s="284" t="s">
        <v>895</v>
      </c>
      <c r="C17" s="288">
        <v>0</v>
      </c>
      <c r="D17" s="288"/>
      <c r="E17" s="288">
        <v>0</v>
      </c>
      <c r="F17" s="288"/>
      <c r="G17" s="288"/>
      <c r="H17" s="288"/>
      <c r="I17" s="288">
        <v>0</v>
      </c>
      <c r="J17" s="288"/>
      <c r="K17" s="288"/>
      <c r="L17" s="288"/>
      <c r="M17" s="288"/>
      <c r="N17" s="288">
        <v>0</v>
      </c>
      <c r="O17" s="292">
        <v>0</v>
      </c>
    </row>
    <row r="18" spans="1:15" ht="12.75">
      <c r="A18" s="293" t="s">
        <v>367</v>
      </c>
      <c r="B18" s="289" t="s">
        <v>4</v>
      </c>
      <c r="C18" s="290">
        <f aca="true" t="shared" si="1" ref="C18:O18">SUM(C6+C9+C12+C15)</f>
        <v>26480</v>
      </c>
      <c r="D18" s="290">
        <f t="shared" si="1"/>
        <v>0</v>
      </c>
      <c r="E18" s="290">
        <f t="shared" si="1"/>
        <v>14102</v>
      </c>
      <c r="F18" s="290">
        <f t="shared" si="1"/>
        <v>0</v>
      </c>
      <c r="G18" s="290">
        <f t="shared" si="1"/>
        <v>0</v>
      </c>
      <c r="H18" s="290">
        <f t="shared" si="1"/>
        <v>0</v>
      </c>
      <c r="I18" s="290">
        <f t="shared" si="1"/>
        <v>11200</v>
      </c>
      <c r="J18" s="290">
        <f t="shared" si="1"/>
        <v>0</v>
      </c>
      <c r="K18" s="290">
        <f t="shared" si="1"/>
        <v>0</v>
      </c>
      <c r="L18" s="290">
        <f t="shared" si="1"/>
        <v>0</v>
      </c>
      <c r="M18" s="290">
        <f t="shared" si="1"/>
        <v>0</v>
      </c>
      <c r="N18" s="290">
        <f t="shared" si="1"/>
        <v>145814</v>
      </c>
      <c r="O18" s="294">
        <f t="shared" si="1"/>
        <v>183494</v>
      </c>
    </row>
    <row r="19" spans="1:15" ht="12.75">
      <c r="A19" s="293"/>
      <c r="B19" s="284" t="s">
        <v>816</v>
      </c>
      <c r="C19" s="290">
        <f aca="true" t="shared" si="2" ref="C19:O20">SUM(C7+C10+C13+C16)</f>
        <v>0</v>
      </c>
      <c r="D19" s="290">
        <f t="shared" si="2"/>
        <v>0</v>
      </c>
      <c r="E19" s="290">
        <f t="shared" si="2"/>
        <v>0</v>
      </c>
      <c r="F19" s="290">
        <f t="shared" si="2"/>
        <v>0</v>
      </c>
      <c r="G19" s="290">
        <f t="shared" si="2"/>
        <v>0</v>
      </c>
      <c r="H19" s="290">
        <f t="shared" si="2"/>
        <v>0</v>
      </c>
      <c r="I19" s="290">
        <f t="shared" si="2"/>
        <v>0</v>
      </c>
      <c r="J19" s="290">
        <f t="shared" si="2"/>
        <v>0</v>
      </c>
      <c r="K19" s="290">
        <f t="shared" si="2"/>
        <v>0</v>
      </c>
      <c r="L19" s="290">
        <f t="shared" si="2"/>
        <v>0</v>
      </c>
      <c r="M19" s="290">
        <f t="shared" si="2"/>
        <v>0</v>
      </c>
      <c r="N19" s="290">
        <f t="shared" si="2"/>
        <v>0</v>
      </c>
      <c r="O19" s="294">
        <f t="shared" si="2"/>
        <v>0</v>
      </c>
    </row>
    <row r="20" spans="1:15" ht="12.75">
      <c r="A20" s="293"/>
      <c r="B20" s="284" t="s">
        <v>895</v>
      </c>
      <c r="C20" s="290">
        <f t="shared" si="2"/>
        <v>0</v>
      </c>
      <c r="D20" s="290">
        <f t="shared" si="2"/>
        <v>0</v>
      </c>
      <c r="E20" s="290">
        <f t="shared" si="2"/>
        <v>0</v>
      </c>
      <c r="F20" s="290">
        <f t="shared" si="2"/>
        <v>0</v>
      </c>
      <c r="G20" s="290">
        <f t="shared" si="2"/>
        <v>0</v>
      </c>
      <c r="H20" s="290">
        <f t="shared" si="2"/>
        <v>0</v>
      </c>
      <c r="I20" s="290">
        <f t="shared" si="2"/>
        <v>0</v>
      </c>
      <c r="J20" s="290">
        <f t="shared" si="2"/>
        <v>0</v>
      </c>
      <c r="K20" s="290">
        <f t="shared" si="2"/>
        <v>0</v>
      </c>
      <c r="L20" s="290">
        <f t="shared" si="2"/>
        <v>0</v>
      </c>
      <c r="M20" s="290">
        <f t="shared" si="2"/>
        <v>0</v>
      </c>
      <c r="N20" s="290">
        <f t="shared" si="2"/>
        <v>0</v>
      </c>
      <c r="O20" s="294">
        <f t="shared" si="2"/>
        <v>0</v>
      </c>
    </row>
    <row r="21" spans="1:15" ht="12.75">
      <c r="A21" s="293" t="s">
        <v>536</v>
      </c>
      <c r="B21" s="289" t="s">
        <v>4</v>
      </c>
      <c r="C21" s="290">
        <f aca="true" t="shared" si="3" ref="C21:N21">SUM(C6+C9+C12+C15)</f>
        <v>26480</v>
      </c>
      <c r="D21" s="290">
        <f t="shared" si="3"/>
        <v>0</v>
      </c>
      <c r="E21" s="290">
        <f t="shared" si="3"/>
        <v>14102</v>
      </c>
      <c r="F21" s="290">
        <f t="shared" si="3"/>
        <v>0</v>
      </c>
      <c r="G21" s="290">
        <f t="shared" si="3"/>
        <v>0</v>
      </c>
      <c r="H21" s="290">
        <f t="shared" si="3"/>
        <v>0</v>
      </c>
      <c r="I21" s="290">
        <f t="shared" si="3"/>
        <v>11200</v>
      </c>
      <c r="J21" s="290">
        <f t="shared" si="3"/>
        <v>0</v>
      </c>
      <c r="K21" s="290">
        <f t="shared" si="3"/>
        <v>0</v>
      </c>
      <c r="L21" s="290">
        <f t="shared" si="3"/>
        <v>0</v>
      </c>
      <c r="M21" s="290">
        <f t="shared" si="3"/>
        <v>0</v>
      </c>
      <c r="N21" s="290">
        <f t="shared" si="3"/>
        <v>145814</v>
      </c>
      <c r="O21" s="295">
        <f>O18</f>
        <v>183494</v>
      </c>
    </row>
    <row r="22" spans="1:15" ht="12.75">
      <c r="A22" s="622"/>
      <c r="B22" s="623" t="s">
        <v>816</v>
      </c>
      <c r="C22" s="624">
        <f aca="true" t="shared" si="4" ref="C22:O23">SUM(C7+C10+C13+C16)</f>
        <v>0</v>
      </c>
      <c r="D22" s="624">
        <f t="shared" si="4"/>
        <v>0</v>
      </c>
      <c r="E22" s="624">
        <f t="shared" si="4"/>
        <v>0</v>
      </c>
      <c r="F22" s="624">
        <f t="shared" si="4"/>
        <v>0</v>
      </c>
      <c r="G22" s="624">
        <f t="shared" si="4"/>
        <v>0</v>
      </c>
      <c r="H22" s="624">
        <f t="shared" si="4"/>
        <v>0</v>
      </c>
      <c r="I22" s="624">
        <f t="shared" si="4"/>
        <v>0</v>
      </c>
      <c r="J22" s="624">
        <f t="shared" si="4"/>
        <v>0</v>
      </c>
      <c r="K22" s="624">
        <f t="shared" si="4"/>
        <v>0</v>
      </c>
      <c r="L22" s="624">
        <f t="shared" si="4"/>
        <v>0</v>
      </c>
      <c r="M22" s="624">
        <f t="shared" si="4"/>
        <v>0</v>
      </c>
      <c r="N22" s="624">
        <f t="shared" si="4"/>
        <v>0</v>
      </c>
      <c r="O22" s="625">
        <f>O19</f>
        <v>0</v>
      </c>
    </row>
    <row r="23" spans="1:15" ht="13.5" thickBot="1">
      <c r="A23" s="626"/>
      <c r="B23" s="285" t="s">
        <v>895</v>
      </c>
      <c r="C23" s="786">
        <f t="shared" si="4"/>
        <v>0</v>
      </c>
      <c r="D23" s="786">
        <f t="shared" si="4"/>
        <v>0</v>
      </c>
      <c r="E23" s="786">
        <f t="shared" si="4"/>
        <v>0</v>
      </c>
      <c r="F23" s="786">
        <f t="shared" si="4"/>
        <v>0</v>
      </c>
      <c r="G23" s="786">
        <f t="shared" si="4"/>
        <v>0</v>
      </c>
      <c r="H23" s="786">
        <f t="shared" si="4"/>
        <v>0</v>
      </c>
      <c r="I23" s="786">
        <f t="shared" si="4"/>
        <v>0</v>
      </c>
      <c r="J23" s="786">
        <f t="shared" si="4"/>
        <v>0</v>
      </c>
      <c r="K23" s="786">
        <f t="shared" si="4"/>
        <v>0</v>
      </c>
      <c r="L23" s="786">
        <f t="shared" si="4"/>
        <v>0</v>
      </c>
      <c r="M23" s="786">
        <f t="shared" si="4"/>
        <v>0</v>
      </c>
      <c r="N23" s="786">
        <f t="shared" si="4"/>
        <v>0</v>
      </c>
      <c r="O23" s="787">
        <f t="shared" si="4"/>
        <v>0</v>
      </c>
    </row>
    <row r="24" spans="1:15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1" ht="18.75" customHeight="1">
      <c r="A26" s="1139" t="s">
        <v>341</v>
      </c>
      <c r="B26" s="1139"/>
      <c r="C26" s="1139"/>
      <c r="D26" s="1139"/>
      <c r="E26" s="1139"/>
      <c r="F26" s="1139"/>
      <c r="G26" s="1139"/>
      <c r="H26" s="1139"/>
      <c r="I26" s="1139"/>
      <c r="J26" s="1139"/>
      <c r="K26" s="1139"/>
    </row>
    <row r="27" spans="1:11" ht="18.75" customHeight="1" thickBot="1">
      <c r="A27" s="109"/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ht="18.75" customHeight="1">
      <c r="A28" s="1140" t="s">
        <v>537</v>
      </c>
      <c r="B28" s="1135"/>
      <c r="C28" s="1142" t="s">
        <v>416</v>
      </c>
      <c r="D28" s="1142"/>
      <c r="E28" s="1142"/>
      <c r="F28" s="1142"/>
      <c r="G28" s="1142"/>
      <c r="H28" s="296"/>
      <c r="I28" s="1142" t="s">
        <v>417</v>
      </c>
      <c r="J28" s="1142"/>
      <c r="K28" s="1137" t="s">
        <v>530</v>
      </c>
    </row>
    <row r="29" spans="1:11" ht="45.75" customHeight="1">
      <c r="A29" s="1141"/>
      <c r="B29" s="1136"/>
      <c r="C29" s="286" t="s">
        <v>371</v>
      </c>
      <c r="D29" s="286" t="s">
        <v>533</v>
      </c>
      <c r="E29" s="286" t="s">
        <v>552</v>
      </c>
      <c r="F29" s="286" t="s">
        <v>553</v>
      </c>
      <c r="G29" s="286" t="s">
        <v>554</v>
      </c>
      <c r="H29" s="286" t="s">
        <v>155</v>
      </c>
      <c r="I29" s="286" t="s">
        <v>383</v>
      </c>
      <c r="J29" s="286" t="s">
        <v>384</v>
      </c>
      <c r="K29" s="1138"/>
    </row>
    <row r="30" spans="1:12" ht="12.75" customHeight="1">
      <c r="A30" s="291" t="s">
        <v>548</v>
      </c>
      <c r="B30" s="287" t="s">
        <v>4</v>
      </c>
      <c r="C30" s="288">
        <v>67529</v>
      </c>
      <c r="D30" s="288">
        <v>19668</v>
      </c>
      <c r="E30" s="288">
        <v>54173</v>
      </c>
      <c r="F30" s="288"/>
      <c r="G30" s="288"/>
      <c r="H30" s="288"/>
      <c r="I30" s="288">
        <v>8382</v>
      </c>
      <c r="J30" s="288"/>
      <c r="K30" s="292">
        <f>SUM(C30:J30)</f>
        <v>149752</v>
      </c>
      <c r="L30" s="113"/>
    </row>
    <row r="31" spans="1:12" ht="12.75" customHeight="1">
      <c r="A31" s="291"/>
      <c r="B31" s="284" t="s">
        <v>816</v>
      </c>
      <c r="C31" s="288">
        <v>0</v>
      </c>
      <c r="D31" s="288">
        <v>0</v>
      </c>
      <c r="E31" s="288">
        <v>0</v>
      </c>
      <c r="F31" s="288"/>
      <c r="G31" s="288"/>
      <c r="H31" s="288"/>
      <c r="I31" s="288">
        <v>0</v>
      </c>
      <c r="J31" s="288"/>
      <c r="K31" s="292">
        <v>0</v>
      </c>
      <c r="L31" s="113"/>
    </row>
    <row r="32" spans="1:12" ht="12.75" customHeight="1">
      <c r="A32" s="291"/>
      <c r="B32" s="284" t="s">
        <v>895</v>
      </c>
      <c r="C32" s="288">
        <v>0</v>
      </c>
      <c r="D32" s="288">
        <v>0</v>
      </c>
      <c r="E32" s="288">
        <v>0</v>
      </c>
      <c r="F32" s="288"/>
      <c r="G32" s="288"/>
      <c r="H32" s="288"/>
      <c r="I32" s="288">
        <v>0</v>
      </c>
      <c r="J32" s="288"/>
      <c r="K32" s="292">
        <v>0</v>
      </c>
      <c r="L32" s="113"/>
    </row>
    <row r="33" spans="1:12" ht="12.75" customHeight="1">
      <c r="A33" s="291" t="s">
        <v>549</v>
      </c>
      <c r="B33" s="287" t="s">
        <v>4</v>
      </c>
      <c r="C33" s="288">
        <v>7879</v>
      </c>
      <c r="D33" s="288">
        <v>2127</v>
      </c>
      <c r="E33" s="288">
        <v>0</v>
      </c>
      <c r="F33" s="288"/>
      <c r="G33" s="288"/>
      <c r="H33" s="288"/>
      <c r="I33" s="288">
        <v>0</v>
      </c>
      <c r="J33" s="288"/>
      <c r="K33" s="292">
        <f>SUM(C33:J33)</f>
        <v>10006</v>
      </c>
      <c r="L33" s="113"/>
    </row>
    <row r="34" spans="1:12" ht="12.75" customHeight="1">
      <c r="A34" s="291"/>
      <c r="B34" s="284" t="s">
        <v>816</v>
      </c>
      <c r="C34" s="288">
        <v>0</v>
      </c>
      <c r="D34" s="288">
        <v>0</v>
      </c>
      <c r="E34" s="288">
        <v>0</v>
      </c>
      <c r="F34" s="288"/>
      <c r="G34" s="288"/>
      <c r="H34" s="288"/>
      <c r="I34" s="288">
        <v>0</v>
      </c>
      <c r="J34" s="288"/>
      <c r="K34" s="292">
        <v>0</v>
      </c>
      <c r="L34" s="113"/>
    </row>
    <row r="35" spans="1:12" ht="12.75" customHeight="1">
      <c r="A35" s="291"/>
      <c r="B35" s="284" t="s">
        <v>895</v>
      </c>
      <c r="C35" s="288">
        <v>0</v>
      </c>
      <c r="D35" s="288">
        <v>0</v>
      </c>
      <c r="E35" s="288">
        <v>0</v>
      </c>
      <c r="F35" s="288"/>
      <c r="G35" s="288"/>
      <c r="H35" s="288"/>
      <c r="I35" s="288">
        <v>0</v>
      </c>
      <c r="J35" s="288"/>
      <c r="K35" s="292">
        <v>0</v>
      </c>
      <c r="L35" s="113"/>
    </row>
    <row r="36" spans="1:12" ht="12.75" customHeight="1">
      <c r="A36" s="291" t="s">
        <v>550</v>
      </c>
      <c r="B36" s="287" t="s">
        <v>4</v>
      </c>
      <c r="C36" s="288">
        <v>0</v>
      </c>
      <c r="D36" s="288">
        <v>0</v>
      </c>
      <c r="E36" s="288">
        <v>0</v>
      </c>
      <c r="F36" s="288"/>
      <c r="G36" s="288"/>
      <c r="H36" s="288"/>
      <c r="I36" s="288">
        <v>0</v>
      </c>
      <c r="J36" s="288"/>
      <c r="K36" s="292">
        <f>SUM(C36:J36)</f>
        <v>0</v>
      </c>
      <c r="L36" s="113"/>
    </row>
    <row r="37" spans="1:12" ht="12.75" customHeight="1">
      <c r="A37" s="291"/>
      <c r="B37" s="284" t="s">
        <v>816</v>
      </c>
      <c r="C37" s="288">
        <v>0</v>
      </c>
      <c r="D37" s="288">
        <v>0</v>
      </c>
      <c r="E37" s="288">
        <v>0</v>
      </c>
      <c r="F37" s="288"/>
      <c r="G37" s="288"/>
      <c r="H37" s="288"/>
      <c r="I37" s="288">
        <v>0</v>
      </c>
      <c r="J37" s="288"/>
      <c r="K37" s="292">
        <v>0</v>
      </c>
      <c r="L37" s="113"/>
    </row>
    <row r="38" spans="1:12" ht="12.75" customHeight="1">
      <c r="A38" s="291"/>
      <c r="B38" s="284" t="s">
        <v>895</v>
      </c>
      <c r="C38" s="288">
        <v>0</v>
      </c>
      <c r="D38" s="288">
        <v>0</v>
      </c>
      <c r="E38" s="288">
        <v>0</v>
      </c>
      <c r="F38" s="288"/>
      <c r="G38" s="288"/>
      <c r="H38" s="288"/>
      <c r="I38" s="288">
        <v>0</v>
      </c>
      <c r="J38" s="288"/>
      <c r="K38" s="292">
        <v>0</v>
      </c>
      <c r="L38" s="113"/>
    </row>
    <row r="39" spans="1:12" ht="12.75" customHeight="1">
      <c r="A39" s="291" t="s">
        <v>551</v>
      </c>
      <c r="B39" s="287" t="s">
        <v>4</v>
      </c>
      <c r="C39" s="288">
        <v>18690</v>
      </c>
      <c r="D39" s="288">
        <v>5046</v>
      </c>
      <c r="E39" s="288">
        <v>0</v>
      </c>
      <c r="F39" s="288"/>
      <c r="G39" s="288"/>
      <c r="H39" s="288"/>
      <c r="I39" s="288">
        <v>0</v>
      </c>
      <c r="J39" s="288"/>
      <c r="K39" s="292">
        <f>SUM(C39:J39)</f>
        <v>23736</v>
      </c>
      <c r="L39" s="113"/>
    </row>
    <row r="40" spans="1:12" ht="12.75" customHeight="1">
      <c r="A40" s="291"/>
      <c r="B40" s="284" t="s">
        <v>816</v>
      </c>
      <c r="C40" s="288">
        <v>0</v>
      </c>
      <c r="D40" s="288">
        <v>0</v>
      </c>
      <c r="E40" s="288">
        <v>0</v>
      </c>
      <c r="F40" s="288"/>
      <c r="G40" s="288"/>
      <c r="H40" s="288"/>
      <c r="I40" s="288">
        <v>0</v>
      </c>
      <c r="J40" s="288"/>
      <c r="K40" s="292">
        <v>0</v>
      </c>
      <c r="L40" s="113"/>
    </row>
    <row r="41" spans="1:12" ht="12.75" customHeight="1">
      <c r="A41" s="291"/>
      <c r="B41" s="284" t="s">
        <v>895</v>
      </c>
      <c r="C41" s="288">
        <v>0</v>
      </c>
      <c r="D41" s="288">
        <v>0</v>
      </c>
      <c r="E41" s="288">
        <v>0</v>
      </c>
      <c r="F41" s="288"/>
      <c r="G41" s="288"/>
      <c r="H41" s="288"/>
      <c r="I41" s="288">
        <v>0</v>
      </c>
      <c r="J41" s="288"/>
      <c r="K41" s="292">
        <v>0</v>
      </c>
      <c r="L41" s="113"/>
    </row>
    <row r="42" spans="1:12" ht="12.75" customHeight="1">
      <c r="A42" s="297" t="s">
        <v>367</v>
      </c>
      <c r="B42" s="289" t="s">
        <v>4</v>
      </c>
      <c r="C42" s="290">
        <f>(C30+C33+C36+C39)</f>
        <v>94098</v>
      </c>
      <c r="D42" s="290">
        <f aca="true" t="shared" si="5" ref="D42:K42">(D30+D33+D36+D39)</f>
        <v>26841</v>
      </c>
      <c r="E42" s="290">
        <f t="shared" si="5"/>
        <v>54173</v>
      </c>
      <c r="F42" s="290">
        <f t="shared" si="5"/>
        <v>0</v>
      </c>
      <c r="G42" s="290">
        <f t="shared" si="5"/>
        <v>0</v>
      </c>
      <c r="H42" s="290">
        <f t="shared" si="5"/>
        <v>0</v>
      </c>
      <c r="I42" s="290">
        <f t="shared" si="5"/>
        <v>8382</v>
      </c>
      <c r="J42" s="290">
        <f t="shared" si="5"/>
        <v>0</v>
      </c>
      <c r="K42" s="294">
        <f t="shared" si="5"/>
        <v>183494</v>
      </c>
      <c r="L42" s="113"/>
    </row>
    <row r="43" spans="1:12" ht="12.75" customHeight="1">
      <c r="A43" s="297"/>
      <c r="B43" s="284" t="s">
        <v>816</v>
      </c>
      <c r="C43" s="290">
        <f>(C31+C34+C37+C40)</f>
        <v>0</v>
      </c>
      <c r="D43" s="290">
        <f aca="true" t="shared" si="6" ref="D43:K43">(D31+D34+D37+D40)</f>
        <v>0</v>
      </c>
      <c r="E43" s="290">
        <f t="shared" si="6"/>
        <v>0</v>
      </c>
      <c r="F43" s="290">
        <f t="shared" si="6"/>
        <v>0</v>
      </c>
      <c r="G43" s="290">
        <f t="shared" si="6"/>
        <v>0</v>
      </c>
      <c r="H43" s="290">
        <f t="shared" si="6"/>
        <v>0</v>
      </c>
      <c r="I43" s="290">
        <f t="shared" si="6"/>
        <v>0</v>
      </c>
      <c r="J43" s="290">
        <f t="shared" si="6"/>
        <v>0</v>
      </c>
      <c r="K43" s="294">
        <f t="shared" si="6"/>
        <v>0</v>
      </c>
      <c r="L43" s="113"/>
    </row>
    <row r="44" spans="1:12" ht="12.75" customHeight="1">
      <c r="A44" s="297"/>
      <c r="B44" s="284" t="s">
        <v>895</v>
      </c>
      <c r="C44" s="290">
        <f>(C32+C35+C38+C41)</f>
        <v>0</v>
      </c>
      <c r="D44" s="290">
        <f aca="true" t="shared" si="7" ref="D44:K44">(D32+D35+D38+D41)</f>
        <v>0</v>
      </c>
      <c r="E44" s="290">
        <f t="shared" si="7"/>
        <v>0</v>
      </c>
      <c r="F44" s="290">
        <f t="shared" si="7"/>
        <v>0</v>
      </c>
      <c r="G44" s="290">
        <f t="shared" si="7"/>
        <v>0</v>
      </c>
      <c r="H44" s="290">
        <f t="shared" si="7"/>
        <v>0</v>
      </c>
      <c r="I44" s="290">
        <f t="shared" si="7"/>
        <v>0</v>
      </c>
      <c r="J44" s="290">
        <f t="shared" si="7"/>
        <v>0</v>
      </c>
      <c r="K44" s="294">
        <f t="shared" si="7"/>
        <v>0</v>
      </c>
      <c r="L44" s="113"/>
    </row>
    <row r="45" spans="1:12" ht="12.75" customHeight="1">
      <c r="A45" s="297" t="s">
        <v>536</v>
      </c>
      <c r="B45" s="289" t="s">
        <v>4</v>
      </c>
      <c r="C45" s="290">
        <f>SUM(C30+C33+C36+C39)</f>
        <v>94098</v>
      </c>
      <c r="D45" s="290">
        <f>SUM(D30+D33+D36+D39)</f>
        <v>26841</v>
      </c>
      <c r="E45" s="290">
        <f aca="true" t="shared" si="8" ref="E45:J45">SUM(E30+E33+E36+E39)</f>
        <v>54173</v>
      </c>
      <c r="F45" s="290">
        <f t="shared" si="8"/>
        <v>0</v>
      </c>
      <c r="G45" s="290">
        <f t="shared" si="8"/>
        <v>0</v>
      </c>
      <c r="H45" s="290">
        <f t="shared" si="8"/>
        <v>0</v>
      </c>
      <c r="I45" s="290">
        <f t="shared" si="8"/>
        <v>8382</v>
      </c>
      <c r="J45" s="290">
        <f t="shared" si="8"/>
        <v>0</v>
      </c>
      <c r="K45" s="294">
        <f>K42</f>
        <v>183494</v>
      </c>
      <c r="L45" s="113"/>
    </row>
    <row r="46" spans="1:11" ht="12.75">
      <c r="A46" s="627"/>
      <c r="B46" s="623" t="s">
        <v>816</v>
      </c>
      <c r="C46" s="624">
        <f>(C31+C34+C37+C40)</f>
        <v>0</v>
      </c>
      <c r="D46" s="624">
        <f aca="true" t="shared" si="9" ref="D46:K46">(D31+D34+D37+D40)</f>
        <v>0</v>
      </c>
      <c r="E46" s="624">
        <f t="shared" si="9"/>
        <v>0</v>
      </c>
      <c r="F46" s="624">
        <f t="shared" si="9"/>
        <v>0</v>
      </c>
      <c r="G46" s="624">
        <f t="shared" si="9"/>
        <v>0</v>
      </c>
      <c r="H46" s="624">
        <f t="shared" si="9"/>
        <v>0</v>
      </c>
      <c r="I46" s="624">
        <f t="shared" si="9"/>
        <v>0</v>
      </c>
      <c r="J46" s="624">
        <f t="shared" si="9"/>
        <v>0</v>
      </c>
      <c r="K46" s="628">
        <f t="shared" si="9"/>
        <v>0</v>
      </c>
    </row>
    <row r="47" spans="1:11" ht="13.5" thickBot="1">
      <c r="A47" s="298"/>
      <c r="B47" s="285" t="s">
        <v>895</v>
      </c>
      <c r="C47" s="786">
        <f>(C32+C35+C38+C41)</f>
        <v>0</v>
      </c>
      <c r="D47" s="786">
        <f aca="true" t="shared" si="10" ref="D47:K47">(D32+D35+D38+D41)</f>
        <v>0</v>
      </c>
      <c r="E47" s="786">
        <f t="shared" si="10"/>
        <v>0</v>
      </c>
      <c r="F47" s="786">
        <f t="shared" si="10"/>
        <v>0</v>
      </c>
      <c r="G47" s="786">
        <f t="shared" si="10"/>
        <v>0</v>
      </c>
      <c r="H47" s="786">
        <f t="shared" si="10"/>
        <v>0</v>
      </c>
      <c r="I47" s="786">
        <f t="shared" si="10"/>
        <v>0</v>
      </c>
      <c r="J47" s="786">
        <f t="shared" si="10"/>
        <v>0</v>
      </c>
      <c r="K47" s="787">
        <f t="shared" si="10"/>
        <v>0</v>
      </c>
    </row>
  </sheetData>
  <sheetProtection/>
  <mergeCells count="17">
    <mergeCell ref="A1:O1"/>
    <mergeCell ref="A2:O2"/>
    <mergeCell ref="A4:B5"/>
    <mergeCell ref="C4:C5"/>
    <mergeCell ref="D4:E4"/>
    <mergeCell ref="F4:F5"/>
    <mergeCell ref="G4:H4"/>
    <mergeCell ref="I4:J4"/>
    <mergeCell ref="K4:K5"/>
    <mergeCell ref="L4:M4"/>
    <mergeCell ref="N4:N5"/>
    <mergeCell ref="O4:O5"/>
    <mergeCell ref="A26:K26"/>
    <mergeCell ref="A28:B29"/>
    <mergeCell ref="C28:G28"/>
    <mergeCell ref="I28:J28"/>
    <mergeCell ref="K28:K29"/>
  </mergeCells>
  <printOptions horizontalCentered="1"/>
  <pageMargins left="0.1968503937007874" right="0.1968503937007874" top="0.984251968503937" bottom="0.984251968503937" header="0.5118110236220472" footer="0.5118110236220472"/>
  <pageSetup fitToWidth="0" fitToHeight="1" horizontalDpi="600" verticalDpi="600" orientation="landscape" paperSize="9" scale="66" r:id="rId1"/>
  <headerFooter alignWithMargins="0">
    <oddHeader>&amp;L7. melléklet a 21/2015.(X.2.) önkormányzati rendelethez
7. melléklet az 1/2015.(I.30.)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6"/>
  <sheetViews>
    <sheetView view="pageBreakPreview" zoomScaleSheetLayoutView="100" workbookViewId="0" topLeftCell="B1">
      <selection activeCell="I6" sqref="I6"/>
    </sheetView>
  </sheetViews>
  <sheetFormatPr defaultColWidth="9.00390625" defaultRowHeight="12.75"/>
  <cols>
    <col min="1" max="1" width="0" style="375" hidden="1" customWidth="1"/>
    <col min="2" max="2" width="103.00390625" style="377" customWidth="1"/>
    <col min="3" max="3" width="10.375" style="378" customWidth="1"/>
    <col min="4" max="4" width="9.75390625" style="376" hidden="1" customWidth="1"/>
    <col min="5" max="5" width="9.125" style="376" hidden="1" customWidth="1"/>
    <col min="6" max="6" width="10.375" style="379" hidden="1" customWidth="1"/>
    <col min="7" max="7" width="10.625" style="380" customWidth="1"/>
    <col min="8" max="8" width="10.625" style="380" hidden="1" customWidth="1"/>
    <col min="9" max="9" width="11.625" style="380" customWidth="1"/>
    <col min="10" max="16384" width="9.125" style="376" customWidth="1"/>
  </cols>
  <sheetData>
    <row r="1" spans="2:9" ht="15.75">
      <c r="B1" s="1144" t="s">
        <v>26</v>
      </c>
      <c r="C1" s="1144"/>
      <c r="D1" s="1144"/>
      <c r="E1" s="1144"/>
      <c r="F1" s="1144"/>
      <c r="G1" s="1144"/>
      <c r="H1" s="1144"/>
      <c r="I1" s="1144"/>
    </row>
    <row r="2" spans="2:9" ht="15.75">
      <c r="B2" s="1145" t="s">
        <v>3</v>
      </c>
      <c r="C2" s="1145"/>
      <c r="D2" s="1145"/>
      <c r="E2" s="1145"/>
      <c r="F2" s="1145"/>
      <c r="G2" s="1145"/>
      <c r="H2" s="1145"/>
      <c r="I2" s="1145"/>
    </row>
    <row r="3" ht="13.5" thickBot="1"/>
    <row r="4" spans="1:9" s="387" customFormat="1" ht="29.25" customHeight="1">
      <c r="A4" s="381" t="s">
        <v>40</v>
      </c>
      <c r="B4" s="382" t="s">
        <v>776</v>
      </c>
      <c r="C4" s="383" t="s">
        <v>4</v>
      </c>
      <c r="D4" s="384" t="s">
        <v>574</v>
      </c>
      <c r="E4" s="385" t="s">
        <v>573</v>
      </c>
      <c r="F4" s="386" t="s">
        <v>829</v>
      </c>
      <c r="G4" s="629" t="s">
        <v>816</v>
      </c>
      <c r="H4" s="629" t="s">
        <v>923</v>
      </c>
      <c r="I4" s="795" t="s">
        <v>895</v>
      </c>
    </row>
    <row r="5" spans="2:9" ht="12.75">
      <c r="B5" s="225"/>
      <c r="C5" s="388"/>
      <c r="D5" s="389"/>
      <c r="E5" s="389"/>
      <c r="F5" s="390"/>
      <c r="G5" s="630"/>
      <c r="H5" s="630"/>
      <c r="I5" s="391"/>
    </row>
    <row r="6" spans="2:9" ht="12.75">
      <c r="B6" s="392" t="s">
        <v>5</v>
      </c>
      <c r="C6" s="393">
        <f aca="true" t="shared" si="0" ref="C6:I6">SUM(C8,C21,C33)</f>
        <v>2192246</v>
      </c>
      <c r="D6" s="393">
        <f t="shared" si="0"/>
        <v>1570612</v>
      </c>
      <c r="E6" s="393">
        <f t="shared" si="0"/>
        <v>355391</v>
      </c>
      <c r="F6" s="394">
        <f t="shared" si="0"/>
        <v>-92686</v>
      </c>
      <c r="G6" s="631">
        <f t="shared" si="0"/>
        <v>2099560</v>
      </c>
      <c r="H6" s="631">
        <f t="shared" si="0"/>
        <v>62351</v>
      </c>
      <c r="I6" s="395">
        <f t="shared" si="0"/>
        <v>2161911</v>
      </c>
    </row>
    <row r="7" spans="2:9" ht="12.75">
      <c r="B7" s="225"/>
      <c r="C7" s="388"/>
      <c r="D7" s="396"/>
      <c r="E7" s="389"/>
      <c r="F7" s="390"/>
      <c r="G7" s="630"/>
      <c r="H7" s="630"/>
      <c r="I7" s="391"/>
    </row>
    <row r="8" spans="2:9" ht="12.75">
      <c r="B8" s="392" t="s">
        <v>6</v>
      </c>
      <c r="C8" s="393">
        <f aca="true" t="shared" si="1" ref="C8:I8">SUM(C9:C19)</f>
        <v>1926003</v>
      </c>
      <c r="D8" s="393">
        <f t="shared" si="1"/>
        <v>1570612</v>
      </c>
      <c r="E8" s="393">
        <f t="shared" si="1"/>
        <v>355391</v>
      </c>
      <c r="F8" s="394">
        <f t="shared" si="1"/>
        <v>-104882</v>
      </c>
      <c r="G8" s="631">
        <f t="shared" si="1"/>
        <v>1821121</v>
      </c>
      <c r="H8" s="631">
        <f t="shared" si="1"/>
        <v>-10805</v>
      </c>
      <c r="I8" s="395">
        <f t="shared" si="1"/>
        <v>1810316</v>
      </c>
    </row>
    <row r="9" spans="1:9" s="399" customFormat="1" ht="12.75">
      <c r="A9" s="397" t="s">
        <v>49</v>
      </c>
      <c r="B9" s="225" t="s">
        <v>7</v>
      </c>
      <c r="C9" s="388">
        <v>130400</v>
      </c>
      <c r="D9" s="396">
        <f>41138+40430</f>
        <v>81568</v>
      </c>
      <c r="E9" s="396">
        <f>C9-D9</f>
        <v>48832</v>
      </c>
      <c r="F9" s="390">
        <v>572</v>
      </c>
      <c r="G9" s="632">
        <f>C9+F9</f>
        <v>130972</v>
      </c>
      <c r="H9" s="632">
        <f>-18916-11270-7048</f>
        <v>-37234</v>
      </c>
      <c r="I9" s="398">
        <f>G9+H9</f>
        <v>93738</v>
      </c>
    </row>
    <row r="10" spans="1:9" s="399" customFormat="1" ht="12.75">
      <c r="A10" s="397" t="s">
        <v>49</v>
      </c>
      <c r="B10" s="225" t="s">
        <v>924</v>
      </c>
      <c r="C10" s="388">
        <v>1049854</v>
      </c>
      <c r="D10" s="396">
        <f>622234+108756</f>
        <v>730990</v>
      </c>
      <c r="E10" s="396">
        <f aca="true" t="shared" si="2" ref="E10:E19">C10-D10</f>
        <v>318864</v>
      </c>
      <c r="F10" s="390">
        <f>-6387+250</f>
        <v>-6137</v>
      </c>
      <c r="G10" s="632">
        <f aca="true" t="shared" si="3" ref="G10:G19">C10+F10</f>
        <v>1043717</v>
      </c>
      <c r="H10" s="632">
        <f>161136-13348-22696</f>
        <v>125092</v>
      </c>
      <c r="I10" s="398">
        <f aca="true" t="shared" si="4" ref="I10:I19">G10+H10</f>
        <v>1168809</v>
      </c>
    </row>
    <row r="11" spans="1:9" s="399" customFormat="1" ht="12.75">
      <c r="A11" s="397" t="s">
        <v>49</v>
      </c>
      <c r="B11" s="225" t="s">
        <v>19</v>
      </c>
      <c r="C11" s="388">
        <v>5000</v>
      </c>
      <c r="D11" s="396"/>
      <c r="E11" s="396">
        <f t="shared" si="2"/>
        <v>5000</v>
      </c>
      <c r="F11" s="390"/>
      <c r="G11" s="632">
        <f t="shared" si="3"/>
        <v>5000</v>
      </c>
      <c r="H11" s="632"/>
      <c r="I11" s="398">
        <f t="shared" si="4"/>
        <v>5000</v>
      </c>
    </row>
    <row r="12" spans="1:9" s="399" customFormat="1" ht="25.5">
      <c r="A12" s="397" t="s">
        <v>49</v>
      </c>
      <c r="B12" s="225" t="s">
        <v>8</v>
      </c>
      <c r="C12" s="388">
        <v>34492</v>
      </c>
      <c r="D12" s="396">
        <f>27961+6498</f>
        <v>34459</v>
      </c>
      <c r="E12" s="396">
        <f t="shared" si="2"/>
        <v>33</v>
      </c>
      <c r="F12" s="390">
        <f>425-5883</f>
        <v>-5458</v>
      </c>
      <c r="G12" s="632">
        <f t="shared" si="3"/>
        <v>29034</v>
      </c>
      <c r="H12" s="632"/>
      <c r="I12" s="398">
        <f t="shared" si="4"/>
        <v>29034</v>
      </c>
    </row>
    <row r="13" spans="1:9" s="399" customFormat="1" ht="12.75">
      <c r="A13" s="397" t="s">
        <v>49</v>
      </c>
      <c r="B13" s="225" t="s">
        <v>10</v>
      </c>
      <c r="C13" s="388">
        <v>45350</v>
      </c>
      <c r="D13" s="396">
        <f>64612</f>
        <v>64612</v>
      </c>
      <c r="E13" s="396">
        <f t="shared" si="2"/>
        <v>-19262</v>
      </c>
      <c r="F13" s="390">
        <v>275</v>
      </c>
      <c r="G13" s="632">
        <f t="shared" si="3"/>
        <v>45625</v>
      </c>
      <c r="H13" s="632"/>
      <c r="I13" s="398">
        <f t="shared" si="4"/>
        <v>45625</v>
      </c>
    </row>
    <row r="14" spans="1:9" s="399" customFormat="1" ht="12.75">
      <c r="A14" s="397" t="s">
        <v>49</v>
      </c>
      <c r="B14" s="225" t="s">
        <v>9</v>
      </c>
      <c r="C14" s="388">
        <v>87500</v>
      </c>
      <c r="D14" s="396">
        <v>90625</v>
      </c>
      <c r="E14" s="396">
        <f t="shared" si="2"/>
        <v>-3125</v>
      </c>
      <c r="F14" s="390">
        <v>-87500</v>
      </c>
      <c r="G14" s="632">
        <f t="shared" si="3"/>
        <v>0</v>
      </c>
      <c r="H14" s="632"/>
      <c r="I14" s="398">
        <f t="shared" si="4"/>
        <v>0</v>
      </c>
    </row>
    <row r="15" spans="1:9" s="399" customFormat="1" ht="12.75" customHeight="1">
      <c r="A15" s="397" t="s">
        <v>17</v>
      </c>
      <c r="B15" s="225" t="s">
        <v>559</v>
      </c>
      <c r="C15" s="388">
        <v>17378</v>
      </c>
      <c r="D15" s="396">
        <v>17987</v>
      </c>
      <c r="E15" s="396">
        <f t="shared" si="2"/>
        <v>-609</v>
      </c>
      <c r="F15" s="390"/>
      <c r="G15" s="632">
        <f t="shared" si="3"/>
        <v>17378</v>
      </c>
      <c r="H15" s="632">
        <v>-10217</v>
      </c>
      <c r="I15" s="398">
        <f t="shared" si="4"/>
        <v>7161</v>
      </c>
    </row>
    <row r="16" spans="1:9" s="399" customFormat="1" ht="12.75">
      <c r="A16" s="397" t="s">
        <v>49</v>
      </c>
      <c r="B16" s="225" t="s">
        <v>76</v>
      </c>
      <c r="C16" s="388">
        <v>35494</v>
      </c>
      <c r="D16" s="396">
        <v>35494</v>
      </c>
      <c r="E16" s="396">
        <f t="shared" si="2"/>
        <v>0</v>
      </c>
      <c r="F16" s="390"/>
      <c r="G16" s="632">
        <f t="shared" si="3"/>
        <v>35494</v>
      </c>
      <c r="H16" s="632"/>
      <c r="I16" s="398">
        <f t="shared" si="4"/>
        <v>35494</v>
      </c>
    </row>
    <row r="17" spans="1:9" s="399" customFormat="1" ht="12.75">
      <c r="A17" s="397" t="s">
        <v>49</v>
      </c>
      <c r="B17" s="225" t="s">
        <v>140</v>
      </c>
      <c r="C17" s="388">
        <v>271022</v>
      </c>
      <c r="D17" s="396">
        <v>267151</v>
      </c>
      <c r="E17" s="396">
        <f t="shared" si="2"/>
        <v>3871</v>
      </c>
      <c r="F17" s="390">
        <v>-2768</v>
      </c>
      <c r="G17" s="632">
        <f t="shared" si="3"/>
        <v>268254</v>
      </c>
      <c r="H17" s="632">
        <f>-2844-36302</f>
        <v>-39146</v>
      </c>
      <c r="I17" s="398">
        <f t="shared" si="4"/>
        <v>229108</v>
      </c>
    </row>
    <row r="18" spans="1:9" s="399" customFormat="1" ht="12.75">
      <c r="A18" s="397" t="s">
        <v>49</v>
      </c>
      <c r="B18" s="225" t="s">
        <v>141</v>
      </c>
      <c r="C18" s="388">
        <v>227553</v>
      </c>
      <c r="D18" s="396">
        <v>225766</v>
      </c>
      <c r="E18" s="396">
        <f t="shared" si="2"/>
        <v>1787</v>
      </c>
      <c r="F18" s="390">
        <v>-3866</v>
      </c>
      <c r="G18" s="632">
        <f t="shared" si="3"/>
        <v>223687</v>
      </c>
      <c r="H18" s="632">
        <f>-13854-35446</f>
        <v>-49300</v>
      </c>
      <c r="I18" s="398">
        <f t="shared" si="4"/>
        <v>174387</v>
      </c>
    </row>
    <row r="19" spans="1:9" s="399" customFormat="1" ht="12.75">
      <c r="A19" s="397" t="s">
        <v>17</v>
      </c>
      <c r="B19" s="225" t="s">
        <v>75</v>
      </c>
      <c r="C19" s="388">
        <v>21960</v>
      </c>
      <c r="D19" s="396">
        <v>21960</v>
      </c>
      <c r="E19" s="396">
        <f t="shared" si="2"/>
        <v>0</v>
      </c>
      <c r="F19" s="390"/>
      <c r="G19" s="632">
        <f t="shared" si="3"/>
        <v>21960</v>
      </c>
      <c r="H19" s="632"/>
      <c r="I19" s="398">
        <f t="shared" si="4"/>
        <v>21960</v>
      </c>
    </row>
    <row r="20" spans="1:9" s="399" customFormat="1" ht="12.75">
      <c r="A20" s="397"/>
      <c r="B20" s="225"/>
      <c r="C20" s="388"/>
      <c r="D20" s="396"/>
      <c r="E20" s="400"/>
      <c r="F20" s="390"/>
      <c r="G20" s="630"/>
      <c r="H20" s="630"/>
      <c r="I20" s="391"/>
    </row>
    <row r="21" spans="1:9" s="399" customFormat="1" ht="12.75">
      <c r="A21" s="397"/>
      <c r="B21" s="392" t="s">
        <v>11</v>
      </c>
      <c r="C21" s="393">
        <f>SUM(C22:C24)</f>
        <v>9239</v>
      </c>
      <c r="D21" s="393">
        <f>SUM(D22:D24)</f>
        <v>0</v>
      </c>
      <c r="E21" s="393">
        <f>SUM(E22:E24)</f>
        <v>0</v>
      </c>
      <c r="F21" s="394">
        <f>SUM(F22:F28)</f>
        <v>13658</v>
      </c>
      <c r="G21" s="631">
        <f>SUM(G22:G28)</f>
        <v>22897</v>
      </c>
      <c r="H21" s="631">
        <f>SUM(H22:H31)</f>
        <v>51602</v>
      </c>
      <c r="I21" s="395">
        <f>SUM(I22:I31)</f>
        <v>74499</v>
      </c>
    </row>
    <row r="22" spans="1:9" s="399" customFormat="1" ht="12.75">
      <c r="A22" s="397" t="s">
        <v>49</v>
      </c>
      <c r="B22" s="225" t="s">
        <v>72</v>
      </c>
      <c r="C22" s="388">
        <v>8500</v>
      </c>
      <c r="D22" s="396"/>
      <c r="E22" s="400"/>
      <c r="F22" s="390"/>
      <c r="G22" s="632">
        <f>C22+F22</f>
        <v>8500</v>
      </c>
      <c r="H22" s="632"/>
      <c r="I22" s="398">
        <f>G22+H22</f>
        <v>8500</v>
      </c>
    </row>
    <row r="23" spans="1:9" s="399" customFormat="1" ht="12.75">
      <c r="A23" s="397" t="s">
        <v>49</v>
      </c>
      <c r="B23" s="225" t="s">
        <v>810</v>
      </c>
      <c r="C23" s="388">
        <v>726</v>
      </c>
      <c r="D23" s="396"/>
      <c r="E23" s="400"/>
      <c r="F23" s="390"/>
      <c r="G23" s="632">
        <f aca="true" t="shared" si="5" ref="G23:G28">C23+F23</f>
        <v>726</v>
      </c>
      <c r="H23" s="632"/>
      <c r="I23" s="398">
        <f aca="true" t="shared" si="6" ref="I23:I31">G23+H23</f>
        <v>726</v>
      </c>
    </row>
    <row r="24" spans="1:9" s="399" customFormat="1" ht="12.75">
      <c r="A24" s="397" t="s">
        <v>49</v>
      </c>
      <c r="B24" s="225" t="s">
        <v>73</v>
      </c>
      <c r="C24" s="388">
        <v>13</v>
      </c>
      <c r="D24" s="396"/>
      <c r="E24" s="400"/>
      <c r="F24" s="390"/>
      <c r="G24" s="632">
        <f t="shared" si="5"/>
        <v>13</v>
      </c>
      <c r="H24" s="632"/>
      <c r="I24" s="398">
        <f t="shared" si="6"/>
        <v>13</v>
      </c>
    </row>
    <row r="25" spans="1:9" s="399" customFormat="1" ht="12.75">
      <c r="A25" s="397"/>
      <c r="B25" s="225" t="s">
        <v>830</v>
      </c>
      <c r="C25" s="388"/>
      <c r="D25" s="396"/>
      <c r="E25" s="400"/>
      <c r="F25" s="390">
        <v>5936</v>
      </c>
      <c r="G25" s="632">
        <f t="shared" si="5"/>
        <v>5936</v>
      </c>
      <c r="H25" s="632"/>
      <c r="I25" s="398">
        <f t="shared" si="6"/>
        <v>5936</v>
      </c>
    </row>
    <row r="26" spans="1:9" s="399" customFormat="1" ht="12.75">
      <c r="A26" s="397"/>
      <c r="B26" s="225" t="s">
        <v>831</v>
      </c>
      <c r="C26" s="388"/>
      <c r="D26" s="396"/>
      <c r="E26" s="400"/>
      <c r="F26" s="390">
        <f>791+724</f>
        <v>1515</v>
      </c>
      <c r="G26" s="632">
        <f t="shared" si="5"/>
        <v>1515</v>
      </c>
      <c r="H26" s="632"/>
      <c r="I26" s="398">
        <f t="shared" si="6"/>
        <v>1515</v>
      </c>
    </row>
    <row r="27" spans="1:9" s="399" customFormat="1" ht="12.75">
      <c r="A27" s="397"/>
      <c r="B27" s="225" t="s">
        <v>832</v>
      </c>
      <c r="C27" s="388"/>
      <c r="D27" s="396"/>
      <c r="E27" s="400"/>
      <c r="F27" s="390">
        <v>5207</v>
      </c>
      <c r="G27" s="632">
        <f t="shared" si="5"/>
        <v>5207</v>
      </c>
      <c r="H27" s="632"/>
      <c r="I27" s="398">
        <f t="shared" si="6"/>
        <v>5207</v>
      </c>
    </row>
    <row r="28" spans="1:9" s="399" customFormat="1" ht="12.75">
      <c r="A28" s="397"/>
      <c r="B28" s="225" t="s">
        <v>833</v>
      </c>
      <c r="C28" s="388"/>
      <c r="D28" s="396"/>
      <c r="E28" s="400"/>
      <c r="F28" s="390">
        <v>1000</v>
      </c>
      <c r="G28" s="632">
        <f t="shared" si="5"/>
        <v>1000</v>
      </c>
      <c r="H28" s="632"/>
      <c r="I28" s="398">
        <f t="shared" si="6"/>
        <v>1000</v>
      </c>
    </row>
    <row r="29" spans="1:9" s="399" customFormat="1" ht="12.75">
      <c r="A29" s="397"/>
      <c r="B29" s="225" t="s">
        <v>925</v>
      </c>
      <c r="C29" s="388"/>
      <c r="D29" s="396"/>
      <c r="E29" s="400"/>
      <c r="F29" s="390"/>
      <c r="G29" s="632"/>
      <c r="H29" s="632">
        <v>5660</v>
      </c>
      <c r="I29" s="398">
        <f t="shared" si="6"/>
        <v>5660</v>
      </c>
    </row>
    <row r="30" spans="1:9" s="399" customFormat="1" ht="25.5">
      <c r="A30" s="397"/>
      <c r="B30" s="225" t="s">
        <v>926</v>
      </c>
      <c r="C30" s="388"/>
      <c r="D30" s="396"/>
      <c r="E30" s="400"/>
      <c r="F30" s="390"/>
      <c r="G30" s="632"/>
      <c r="H30" s="632">
        <v>4442</v>
      </c>
      <c r="I30" s="398">
        <f t="shared" si="6"/>
        <v>4442</v>
      </c>
    </row>
    <row r="31" spans="1:9" s="399" customFormat="1" ht="15" customHeight="1">
      <c r="A31" s="397"/>
      <c r="B31" s="225" t="s">
        <v>927</v>
      </c>
      <c r="C31" s="388"/>
      <c r="D31" s="396"/>
      <c r="E31" s="400"/>
      <c r="F31" s="390"/>
      <c r="G31" s="632"/>
      <c r="H31" s="632">
        <v>41500</v>
      </c>
      <c r="I31" s="398">
        <f t="shared" si="6"/>
        <v>41500</v>
      </c>
    </row>
    <row r="32" spans="1:9" s="399" customFormat="1" ht="12.75">
      <c r="A32" s="397"/>
      <c r="B32" s="225"/>
      <c r="C32" s="388"/>
      <c r="D32" s="396"/>
      <c r="E32" s="400"/>
      <c r="F32" s="390"/>
      <c r="G32" s="630"/>
      <c r="H32" s="630"/>
      <c r="I32" s="391"/>
    </row>
    <row r="33" spans="1:9" s="399" customFormat="1" ht="12.75">
      <c r="A33" s="397"/>
      <c r="B33" s="392" t="s">
        <v>48</v>
      </c>
      <c r="C33" s="393">
        <f>SUM(C34:C55)</f>
        <v>257004</v>
      </c>
      <c r="D33" s="393">
        <f>SUM(D34:D55)</f>
        <v>0</v>
      </c>
      <c r="E33" s="393">
        <f>SUM(E34:E55)</f>
        <v>0</v>
      </c>
      <c r="F33" s="394">
        <f>SUM(F34:F57)</f>
        <v>-1462</v>
      </c>
      <c r="G33" s="631">
        <f>SUM(G34:G57)</f>
        <v>255542</v>
      </c>
      <c r="H33" s="631">
        <f>SUM(H34:H69)</f>
        <v>21554</v>
      </c>
      <c r="I33" s="395">
        <f>SUM(I34:I69)</f>
        <v>277096</v>
      </c>
    </row>
    <row r="34" spans="1:9" s="399" customFormat="1" ht="12.75">
      <c r="A34" s="397" t="s">
        <v>49</v>
      </c>
      <c r="B34" s="225" t="s">
        <v>50</v>
      </c>
      <c r="C34" s="388">
        <v>5072</v>
      </c>
      <c r="D34" s="396"/>
      <c r="E34" s="400"/>
      <c r="F34" s="390"/>
      <c r="G34" s="632">
        <f>C34+F34</f>
        <v>5072</v>
      </c>
      <c r="H34" s="632"/>
      <c r="I34" s="398">
        <f>G34+H34</f>
        <v>5072</v>
      </c>
    </row>
    <row r="35" spans="1:9" s="399" customFormat="1" ht="12.75">
      <c r="A35" s="397" t="s">
        <v>49</v>
      </c>
      <c r="B35" s="225" t="s">
        <v>18</v>
      </c>
      <c r="C35" s="388">
        <v>5500</v>
      </c>
      <c r="D35" s="396"/>
      <c r="E35" s="400"/>
      <c r="F35" s="390"/>
      <c r="G35" s="632">
        <f aca="true" t="shared" si="7" ref="G35:G57">C35+F35</f>
        <v>5500</v>
      </c>
      <c r="H35" s="632"/>
      <c r="I35" s="398">
        <f aca="true" t="shared" si="8" ref="I35:I69">G35+H35</f>
        <v>5500</v>
      </c>
    </row>
    <row r="36" spans="1:9" s="399" customFormat="1" ht="12.75">
      <c r="A36" s="397" t="s">
        <v>49</v>
      </c>
      <c r="B36" s="225" t="s">
        <v>53</v>
      </c>
      <c r="C36" s="388">
        <v>10000</v>
      </c>
      <c r="D36" s="396"/>
      <c r="E36" s="400"/>
      <c r="F36" s="390">
        <v>-1487</v>
      </c>
      <c r="G36" s="632">
        <f t="shared" si="7"/>
        <v>8513</v>
      </c>
      <c r="H36" s="632"/>
      <c r="I36" s="398">
        <f t="shared" si="8"/>
        <v>8513</v>
      </c>
    </row>
    <row r="37" spans="1:9" s="399" customFormat="1" ht="12.75">
      <c r="A37" s="397" t="s">
        <v>49</v>
      </c>
      <c r="B37" s="225" t="s">
        <v>87</v>
      </c>
      <c r="C37" s="388">
        <v>1100</v>
      </c>
      <c r="D37" s="396"/>
      <c r="E37" s="400"/>
      <c r="F37" s="390"/>
      <c r="G37" s="632">
        <f t="shared" si="7"/>
        <v>1100</v>
      </c>
      <c r="H37" s="632"/>
      <c r="I37" s="398">
        <f t="shared" si="8"/>
        <v>1100</v>
      </c>
    </row>
    <row r="38" spans="1:9" s="399" customFormat="1" ht="12.75">
      <c r="A38" s="397" t="s">
        <v>49</v>
      </c>
      <c r="B38" s="225" t="s">
        <v>55</v>
      </c>
      <c r="C38" s="388">
        <v>3900</v>
      </c>
      <c r="D38" s="396"/>
      <c r="E38" s="400"/>
      <c r="F38" s="390"/>
      <c r="G38" s="632">
        <f t="shared" si="7"/>
        <v>3900</v>
      </c>
      <c r="H38" s="632">
        <f>-3123-777</f>
        <v>-3900</v>
      </c>
      <c r="I38" s="398">
        <f t="shared" si="8"/>
        <v>0</v>
      </c>
    </row>
    <row r="39" spans="1:9" s="399" customFormat="1" ht="12.75">
      <c r="A39" s="397" t="s">
        <v>49</v>
      </c>
      <c r="B39" s="225" t="s">
        <v>56</v>
      </c>
      <c r="C39" s="388">
        <v>3800</v>
      </c>
      <c r="D39" s="396"/>
      <c r="E39" s="400"/>
      <c r="F39" s="390"/>
      <c r="G39" s="632">
        <f t="shared" si="7"/>
        <v>3800</v>
      </c>
      <c r="H39" s="632"/>
      <c r="I39" s="398">
        <f t="shared" si="8"/>
        <v>3800</v>
      </c>
    </row>
    <row r="40" spans="1:9" s="399" customFormat="1" ht="12.75">
      <c r="A40" s="397" t="s">
        <v>57</v>
      </c>
      <c r="B40" s="225" t="s">
        <v>58</v>
      </c>
      <c r="C40" s="388">
        <v>4445</v>
      </c>
      <c r="D40" s="396"/>
      <c r="E40" s="400"/>
      <c r="F40" s="390"/>
      <c r="G40" s="632">
        <f t="shared" si="7"/>
        <v>4445</v>
      </c>
      <c r="H40" s="632"/>
      <c r="I40" s="398">
        <f t="shared" si="8"/>
        <v>4445</v>
      </c>
    </row>
    <row r="41" spans="1:9" s="399" customFormat="1" ht="12.75">
      <c r="A41" s="397" t="s">
        <v>57</v>
      </c>
      <c r="B41" s="225" t="s">
        <v>59</v>
      </c>
      <c r="C41" s="388">
        <v>62108</v>
      </c>
      <c r="D41" s="396"/>
      <c r="E41" s="400"/>
      <c r="F41" s="390"/>
      <c r="G41" s="632">
        <f t="shared" si="7"/>
        <v>62108</v>
      </c>
      <c r="H41" s="632"/>
      <c r="I41" s="398">
        <f t="shared" si="8"/>
        <v>62108</v>
      </c>
    </row>
    <row r="42" spans="1:9" s="399" customFormat="1" ht="12.75">
      <c r="A42" s="397" t="s">
        <v>57</v>
      </c>
      <c r="B42" s="225" t="s">
        <v>60</v>
      </c>
      <c r="C42" s="388">
        <v>1525</v>
      </c>
      <c r="D42" s="396"/>
      <c r="E42" s="400"/>
      <c r="F42" s="390"/>
      <c r="G42" s="632">
        <f t="shared" si="7"/>
        <v>1525</v>
      </c>
      <c r="H42" s="632"/>
      <c r="I42" s="398">
        <f t="shared" si="8"/>
        <v>1525</v>
      </c>
    </row>
    <row r="43" spans="1:9" s="399" customFormat="1" ht="25.5">
      <c r="A43" s="397" t="s">
        <v>57</v>
      </c>
      <c r="B43" s="225" t="s">
        <v>61</v>
      </c>
      <c r="C43" s="388">
        <v>10000</v>
      </c>
      <c r="D43" s="396"/>
      <c r="E43" s="400"/>
      <c r="F43" s="390">
        <v>-2211</v>
      </c>
      <c r="G43" s="632">
        <f t="shared" si="7"/>
        <v>7789</v>
      </c>
      <c r="H43" s="632"/>
      <c r="I43" s="398">
        <f t="shared" si="8"/>
        <v>7789</v>
      </c>
    </row>
    <row r="44" spans="1:9" s="399" customFormat="1" ht="12.75">
      <c r="A44" s="397" t="s">
        <v>57</v>
      </c>
      <c r="B44" s="225" t="s">
        <v>62</v>
      </c>
      <c r="C44" s="388">
        <v>7264</v>
      </c>
      <c r="D44" s="396"/>
      <c r="E44" s="400"/>
      <c r="F44" s="390"/>
      <c r="G44" s="632">
        <f t="shared" si="7"/>
        <v>7264</v>
      </c>
      <c r="H44" s="632"/>
      <c r="I44" s="398">
        <f t="shared" si="8"/>
        <v>7264</v>
      </c>
    </row>
    <row r="45" spans="1:9" s="399" customFormat="1" ht="12.75">
      <c r="A45" s="397" t="s">
        <v>57</v>
      </c>
      <c r="B45" s="225" t="s">
        <v>63</v>
      </c>
      <c r="C45" s="388">
        <v>4445</v>
      </c>
      <c r="D45" s="396"/>
      <c r="E45" s="400"/>
      <c r="F45" s="390"/>
      <c r="G45" s="632">
        <f t="shared" si="7"/>
        <v>4445</v>
      </c>
      <c r="H45" s="632"/>
      <c r="I45" s="398">
        <f t="shared" si="8"/>
        <v>4445</v>
      </c>
    </row>
    <row r="46" spans="1:9" s="399" customFormat="1" ht="12.75">
      <c r="A46" s="397" t="s">
        <v>65</v>
      </c>
      <c r="B46" s="225" t="s">
        <v>66</v>
      </c>
      <c r="C46" s="388">
        <v>5000</v>
      </c>
      <c r="D46" s="396"/>
      <c r="E46" s="400"/>
      <c r="F46" s="390"/>
      <c r="G46" s="632">
        <f t="shared" si="7"/>
        <v>5000</v>
      </c>
      <c r="H46" s="632"/>
      <c r="I46" s="398">
        <f t="shared" si="8"/>
        <v>5000</v>
      </c>
    </row>
    <row r="47" spans="1:9" s="399" customFormat="1" ht="12.75">
      <c r="A47" s="397" t="s">
        <v>65</v>
      </c>
      <c r="B47" s="225" t="s">
        <v>67</v>
      </c>
      <c r="C47" s="388">
        <v>20000</v>
      </c>
      <c r="D47" s="396"/>
      <c r="E47" s="400"/>
      <c r="F47" s="390"/>
      <c r="G47" s="632">
        <f t="shared" si="7"/>
        <v>20000</v>
      </c>
      <c r="H47" s="632"/>
      <c r="I47" s="398">
        <f t="shared" si="8"/>
        <v>20000</v>
      </c>
    </row>
    <row r="48" spans="1:9" s="399" customFormat="1" ht="25.5">
      <c r="A48" s="397" t="s">
        <v>65</v>
      </c>
      <c r="B48" s="225" t="s">
        <v>68</v>
      </c>
      <c r="C48" s="388">
        <v>6000</v>
      </c>
      <c r="D48" s="396"/>
      <c r="E48" s="400"/>
      <c r="F48" s="390"/>
      <c r="G48" s="632">
        <f t="shared" si="7"/>
        <v>6000</v>
      </c>
      <c r="H48" s="632"/>
      <c r="I48" s="398">
        <f t="shared" si="8"/>
        <v>6000</v>
      </c>
    </row>
    <row r="49" spans="1:9" s="399" customFormat="1" ht="12.75">
      <c r="A49" s="397" t="s">
        <v>69</v>
      </c>
      <c r="B49" s="225" t="s">
        <v>70</v>
      </c>
      <c r="C49" s="388">
        <v>40000</v>
      </c>
      <c r="D49" s="396"/>
      <c r="E49" s="400"/>
      <c r="F49" s="390"/>
      <c r="G49" s="632">
        <f t="shared" si="7"/>
        <v>40000</v>
      </c>
      <c r="H49" s="632"/>
      <c r="I49" s="398">
        <f t="shared" si="8"/>
        <v>40000</v>
      </c>
    </row>
    <row r="50" spans="1:9" s="399" customFormat="1" ht="12.75">
      <c r="A50" s="397" t="s">
        <v>69</v>
      </c>
      <c r="B50" s="225" t="s">
        <v>814</v>
      </c>
      <c r="C50" s="388">
        <v>21200</v>
      </c>
      <c r="D50" s="396"/>
      <c r="E50" s="400"/>
      <c r="F50" s="390"/>
      <c r="G50" s="632">
        <f t="shared" si="7"/>
        <v>21200</v>
      </c>
      <c r="H50" s="632"/>
      <c r="I50" s="398">
        <f t="shared" si="8"/>
        <v>21200</v>
      </c>
    </row>
    <row r="51" spans="1:9" s="399" customFormat="1" ht="12.75">
      <c r="A51" s="397" t="s">
        <v>150</v>
      </c>
      <c r="B51" s="225" t="s">
        <v>71</v>
      </c>
      <c r="C51" s="388">
        <v>22000</v>
      </c>
      <c r="D51" s="396"/>
      <c r="E51" s="400"/>
      <c r="F51" s="390"/>
      <c r="G51" s="632">
        <f t="shared" si="7"/>
        <v>22000</v>
      </c>
      <c r="H51" s="632"/>
      <c r="I51" s="398">
        <f t="shared" si="8"/>
        <v>22000</v>
      </c>
    </row>
    <row r="52" spans="1:9" s="399" customFormat="1" ht="12.75">
      <c r="A52" s="397" t="s">
        <v>64</v>
      </c>
      <c r="B52" s="225" t="s">
        <v>74</v>
      </c>
      <c r="C52" s="388">
        <v>15320</v>
      </c>
      <c r="D52" s="396"/>
      <c r="E52" s="400"/>
      <c r="F52" s="390"/>
      <c r="G52" s="632">
        <f t="shared" si="7"/>
        <v>15320</v>
      </c>
      <c r="H52" s="632">
        <v>-5500</v>
      </c>
      <c r="I52" s="398">
        <f t="shared" si="8"/>
        <v>9820</v>
      </c>
    </row>
    <row r="53" spans="1:9" s="399" customFormat="1" ht="12.75">
      <c r="A53" s="397" t="s">
        <v>49</v>
      </c>
      <c r="B53" s="225" t="s">
        <v>77</v>
      </c>
      <c r="C53" s="388">
        <v>800</v>
      </c>
      <c r="D53" s="396"/>
      <c r="E53" s="400"/>
      <c r="F53" s="390"/>
      <c r="G53" s="632">
        <f t="shared" si="7"/>
        <v>800</v>
      </c>
      <c r="H53" s="632"/>
      <c r="I53" s="398">
        <f t="shared" si="8"/>
        <v>800</v>
      </c>
    </row>
    <row r="54" spans="1:9" s="399" customFormat="1" ht="12.75">
      <c r="A54" s="397" t="s">
        <v>17</v>
      </c>
      <c r="B54" s="225" t="s">
        <v>78</v>
      </c>
      <c r="C54" s="388">
        <v>1905</v>
      </c>
      <c r="D54" s="396"/>
      <c r="E54" s="400"/>
      <c r="F54" s="390"/>
      <c r="G54" s="632">
        <f t="shared" si="7"/>
        <v>1905</v>
      </c>
      <c r="H54" s="632"/>
      <c r="I54" s="398">
        <f t="shared" si="8"/>
        <v>1905</v>
      </c>
    </row>
    <row r="55" spans="1:9" s="399" customFormat="1" ht="12.75">
      <c r="A55" s="397" t="s">
        <v>69</v>
      </c>
      <c r="B55" s="225" t="s">
        <v>79</v>
      </c>
      <c r="C55" s="388">
        <v>5620</v>
      </c>
      <c r="D55" s="396"/>
      <c r="E55" s="400"/>
      <c r="F55" s="390"/>
      <c r="G55" s="632">
        <f t="shared" si="7"/>
        <v>5620</v>
      </c>
      <c r="H55" s="632"/>
      <c r="I55" s="398">
        <f t="shared" si="8"/>
        <v>5620</v>
      </c>
    </row>
    <row r="56" spans="1:9" s="399" customFormat="1" ht="12.75">
      <c r="A56" s="397"/>
      <c r="B56" s="225" t="s">
        <v>835</v>
      </c>
      <c r="C56" s="388"/>
      <c r="D56" s="396"/>
      <c r="E56" s="400"/>
      <c r="F56" s="390">
        <v>54</v>
      </c>
      <c r="G56" s="632">
        <f t="shared" si="7"/>
        <v>54</v>
      </c>
      <c r="H56" s="632"/>
      <c r="I56" s="398">
        <f t="shared" si="8"/>
        <v>54</v>
      </c>
    </row>
    <row r="57" spans="1:9" s="399" customFormat="1" ht="12.75">
      <c r="A57" s="397"/>
      <c r="B57" s="225" t="s">
        <v>836</v>
      </c>
      <c r="C57" s="388"/>
      <c r="D57" s="396"/>
      <c r="E57" s="400"/>
      <c r="F57" s="390">
        <v>2182</v>
      </c>
      <c r="G57" s="632">
        <f t="shared" si="7"/>
        <v>2182</v>
      </c>
      <c r="H57" s="632"/>
      <c r="I57" s="398">
        <f t="shared" si="8"/>
        <v>2182</v>
      </c>
    </row>
    <row r="58" spans="1:9" s="399" customFormat="1" ht="12.75">
      <c r="A58" s="397"/>
      <c r="B58" s="225" t="s">
        <v>928</v>
      </c>
      <c r="C58" s="388"/>
      <c r="D58" s="396"/>
      <c r="E58" s="400"/>
      <c r="F58" s="390"/>
      <c r="G58" s="632"/>
      <c r="H58" s="632">
        <v>94</v>
      </c>
      <c r="I58" s="398">
        <f t="shared" si="8"/>
        <v>94</v>
      </c>
    </row>
    <row r="59" spans="1:9" s="399" customFormat="1" ht="12.75">
      <c r="A59" s="397"/>
      <c r="B59" s="225" t="s">
        <v>929</v>
      </c>
      <c r="C59" s="388"/>
      <c r="D59" s="396"/>
      <c r="E59" s="400"/>
      <c r="F59" s="390"/>
      <c r="G59" s="632"/>
      <c r="H59" s="632">
        <f>57+12270</f>
        <v>12327</v>
      </c>
      <c r="I59" s="398">
        <f t="shared" si="8"/>
        <v>12327</v>
      </c>
    </row>
    <row r="60" spans="1:9" s="399" customFormat="1" ht="12.75">
      <c r="A60" s="397"/>
      <c r="B60" s="225" t="s">
        <v>930</v>
      </c>
      <c r="C60" s="388"/>
      <c r="D60" s="396"/>
      <c r="E60" s="400"/>
      <c r="F60" s="390"/>
      <c r="G60" s="632"/>
      <c r="H60" s="632">
        <v>345</v>
      </c>
      <c r="I60" s="398">
        <f t="shared" si="8"/>
        <v>345</v>
      </c>
    </row>
    <row r="61" spans="1:9" s="399" customFormat="1" ht="12.75">
      <c r="A61" s="397"/>
      <c r="B61" s="225" t="s">
        <v>931</v>
      </c>
      <c r="C61" s="388"/>
      <c r="D61" s="396"/>
      <c r="E61" s="400"/>
      <c r="F61" s="390"/>
      <c r="G61" s="632"/>
      <c r="H61" s="632">
        <v>556</v>
      </c>
      <c r="I61" s="398">
        <f t="shared" si="8"/>
        <v>556</v>
      </c>
    </row>
    <row r="62" spans="1:9" s="399" customFormat="1" ht="12.75">
      <c r="A62" s="397"/>
      <c r="B62" s="225" t="s">
        <v>932</v>
      </c>
      <c r="C62" s="388"/>
      <c r="D62" s="396"/>
      <c r="E62" s="400"/>
      <c r="F62" s="390"/>
      <c r="G62" s="632"/>
      <c r="H62" s="632">
        <v>70</v>
      </c>
      <c r="I62" s="398">
        <f t="shared" si="8"/>
        <v>70</v>
      </c>
    </row>
    <row r="63" spans="1:9" s="399" customFormat="1" ht="12.75">
      <c r="A63" s="397"/>
      <c r="B63" s="225" t="s">
        <v>933</v>
      </c>
      <c r="C63" s="388"/>
      <c r="D63" s="396"/>
      <c r="E63" s="400"/>
      <c r="F63" s="390"/>
      <c r="G63" s="632"/>
      <c r="H63" s="632">
        <v>368</v>
      </c>
      <c r="I63" s="398">
        <f t="shared" si="8"/>
        <v>368</v>
      </c>
    </row>
    <row r="64" spans="1:9" s="399" customFormat="1" ht="12.75">
      <c r="A64" s="397"/>
      <c r="B64" s="225" t="s">
        <v>934</v>
      </c>
      <c r="C64" s="388"/>
      <c r="D64" s="396"/>
      <c r="E64" s="400"/>
      <c r="F64" s="390"/>
      <c r="G64" s="632"/>
      <c r="H64" s="632">
        <v>572</v>
      </c>
      <c r="I64" s="398">
        <f t="shared" si="8"/>
        <v>572</v>
      </c>
    </row>
    <row r="65" spans="1:9" s="399" customFormat="1" ht="12.75">
      <c r="A65" s="397"/>
      <c r="B65" s="225" t="s">
        <v>935</v>
      </c>
      <c r="C65" s="388"/>
      <c r="D65" s="396"/>
      <c r="E65" s="400"/>
      <c r="F65" s="390"/>
      <c r="G65" s="632"/>
      <c r="H65" s="632">
        <v>197</v>
      </c>
      <c r="I65" s="398">
        <f t="shared" si="8"/>
        <v>197</v>
      </c>
    </row>
    <row r="66" spans="1:9" s="399" customFormat="1" ht="12.75">
      <c r="A66" s="397"/>
      <c r="B66" s="225" t="s">
        <v>936</v>
      </c>
      <c r="C66" s="388"/>
      <c r="D66" s="396"/>
      <c r="E66" s="400"/>
      <c r="F66" s="390"/>
      <c r="G66" s="632"/>
      <c r="H66" s="632">
        <v>445</v>
      </c>
      <c r="I66" s="398">
        <f t="shared" si="8"/>
        <v>445</v>
      </c>
    </row>
    <row r="67" spans="1:9" s="399" customFormat="1" ht="12.75">
      <c r="A67" s="397"/>
      <c r="B67" s="225" t="s">
        <v>937</v>
      </c>
      <c r="C67" s="388"/>
      <c r="D67" s="396"/>
      <c r="E67" s="400"/>
      <c r="F67" s="390"/>
      <c r="G67" s="632"/>
      <c r="H67" s="632">
        <v>5500</v>
      </c>
      <c r="I67" s="398">
        <f t="shared" si="8"/>
        <v>5500</v>
      </c>
    </row>
    <row r="68" spans="1:9" s="399" customFormat="1" ht="12.75">
      <c r="A68" s="397"/>
      <c r="B68" s="225" t="s">
        <v>938</v>
      </c>
      <c r="C68" s="388"/>
      <c r="D68" s="396"/>
      <c r="E68" s="400"/>
      <c r="F68" s="390"/>
      <c r="G68" s="632"/>
      <c r="H68" s="632">
        <v>10000</v>
      </c>
      <c r="I68" s="398">
        <f t="shared" si="8"/>
        <v>10000</v>
      </c>
    </row>
    <row r="69" spans="1:9" s="399" customFormat="1" ht="12.75">
      <c r="A69" s="397"/>
      <c r="B69" s="225" t="s">
        <v>939</v>
      </c>
      <c r="C69" s="388"/>
      <c r="D69" s="396"/>
      <c r="E69" s="400"/>
      <c r="F69" s="390"/>
      <c r="G69" s="632"/>
      <c r="H69" s="632">
        <v>480</v>
      </c>
      <c r="I69" s="398">
        <f t="shared" si="8"/>
        <v>480</v>
      </c>
    </row>
    <row r="70" spans="1:9" s="399" customFormat="1" ht="12.75">
      <c r="A70" s="397"/>
      <c r="B70" s="225"/>
      <c r="C70" s="388"/>
      <c r="D70" s="396"/>
      <c r="E70" s="400"/>
      <c r="F70" s="390"/>
      <c r="G70" s="630"/>
      <c r="H70" s="630"/>
      <c r="I70" s="391"/>
    </row>
    <row r="71" spans="1:9" s="399" customFormat="1" ht="12.75">
      <c r="A71" s="397"/>
      <c r="B71" s="392" t="s">
        <v>12</v>
      </c>
      <c r="C71" s="393">
        <f>SUM(C85,C73)</f>
        <v>31834</v>
      </c>
      <c r="D71" s="393">
        <f>SUM(D85,D73)</f>
        <v>0</v>
      </c>
      <c r="E71" s="393">
        <f>SUM(E85,E73)</f>
        <v>0</v>
      </c>
      <c r="F71" s="394">
        <f>SUM(F85,F73)</f>
        <v>0</v>
      </c>
      <c r="G71" s="631">
        <f>SUM(G85,G73)</f>
        <v>32481</v>
      </c>
      <c r="H71" s="631">
        <f>SUM(H85,H73,H88)</f>
        <v>-6182</v>
      </c>
      <c r="I71" s="395">
        <f>SUM(I85,I73,I88)</f>
        <v>26299</v>
      </c>
    </row>
    <row r="72" spans="1:9" s="399" customFormat="1" ht="12.75">
      <c r="A72" s="397"/>
      <c r="B72" s="392"/>
      <c r="C72" s="393"/>
      <c r="D72" s="396"/>
      <c r="E72" s="400"/>
      <c r="F72" s="394"/>
      <c r="G72" s="630"/>
      <c r="H72" s="630"/>
      <c r="I72" s="391"/>
    </row>
    <row r="73" spans="1:9" s="399" customFormat="1" ht="13.5">
      <c r="A73" s="397"/>
      <c r="B73" s="401" t="s">
        <v>666</v>
      </c>
      <c r="C73" s="402">
        <f aca="true" t="shared" si="9" ref="C73:H73">SUM(C74:C82)</f>
        <v>31643</v>
      </c>
      <c r="D73" s="402">
        <f t="shared" si="9"/>
        <v>0</v>
      </c>
      <c r="E73" s="402">
        <f t="shared" si="9"/>
        <v>0</v>
      </c>
      <c r="F73" s="403">
        <f t="shared" si="9"/>
        <v>0</v>
      </c>
      <c r="G73" s="633">
        <f>SUM(G74:G83)</f>
        <v>32290</v>
      </c>
      <c r="H73" s="633">
        <f t="shared" si="9"/>
        <v>-6752</v>
      </c>
      <c r="I73" s="848">
        <f>SUM(I74:I83)</f>
        <v>25538</v>
      </c>
    </row>
    <row r="74" spans="1:9" s="399" customFormat="1" ht="12.75">
      <c r="A74" s="397" t="s">
        <v>150</v>
      </c>
      <c r="B74" s="225" t="s">
        <v>41</v>
      </c>
      <c r="C74" s="388">
        <v>226</v>
      </c>
      <c r="D74" s="396"/>
      <c r="E74" s="400"/>
      <c r="F74" s="390"/>
      <c r="G74" s="632">
        <f>C74+F74</f>
        <v>226</v>
      </c>
      <c r="H74" s="632"/>
      <c r="I74" s="398">
        <f>G74+H74</f>
        <v>226</v>
      </c>
    </row>
    <row r="75" spans="1:9" s="399" customFormat="1" ht="12.75">
      <c r="A75" s="397" t="s">
        <v>17</v>
      </c>
      <c r="B75" s="225" t="s">
        <v>42</v>
      </c>
      <c r="C75" s="388">
        <v>1270</v>
      </c>
      <c r="D75" s="396"/>
      <c r="E75" s="400"/>
      <c r="F75" s="390"/>
      <c r="G75" s="632">
        <f aca="true" t="shared" si="10" ref="G75:G82">C75+F75</f>
        <v>1270</v>
      </c>
      <c r="H75" s="632"/>
      <c r="I75" s="398">
        <f aca="true" t="shared" si="11" ref="I75:I82">G75+H75</f>
        <v>1270</v>
      </c>
    </row>
    <row r="76" spans="1:9" s="399" customFormat="1" ht="12.75">
      <c r="A76" s="397" t="s">
        <v>17</v>
      </c>
      <c r="B76" s="225" t="s">
        <v>43</v>
      </c>
      <c r="C76" s="388">
        <v>762</v>
      </c>
      <c r="D76" s="396"/>
      <c r="E76" s="400"/>
      <c r="F76" s="390"/>
      <c r="G76" s="632">
        <f t="shared" si="10"/>
        <v>762</v>
      </c>
      <c r="H76" s="632"/>
      <c r="I76" s="398">
        <f t="shared" si="11"/>
        <v>762</v>
      </c>
    </row>
    <row r="77" spans="1:9" s="399" customFormat="1" ht="12.75">
      <c r="A77" s="397" t="s">
        <v>17</v>
      </c>
      <c r="B77" s="225" t="s">
        <v>633</v>
      </c>
      <c r="C77" s="388">
        <v>10000</v>
      </c>
      <c r="D77" s="396"/>
      <c r="E77" s="400"/>
      <c r="F77" s="390"/>
      <c r="G77" s="632">
        <f t="shared" si="10"/>
        <v>10000</v>
      </c>
      <c r="H77" s="632"/>
      <c r="I77" s="398">
        <f t="shared" si="11"/>
        <v>10000</v>
      </c>
    </row>
    <row r="78" spans="1:9" s="399" customFormat="1" ht="12.75">
      <c r="A78" s="397" t="s">
        <v>17</v>
      </c>
      <c r="B78" s="225" t="s">
        <v>44</v>
      </c>
      <c r="C78" s="388">
        <v>3500</v>
      </c>
      <c r="D78" s="396"/>
      <c r="E78" s="400"/>
      <c r="F78" s="390"/>
      <c r="G78" s="632">
        <f t="shared" si="10"/>
        <v>3500</v>
      </c>
      <c r="H78" s="632">
        <v>-474</v>
      </c>
      <c r="I78" s="398">
        <f t="shared" si="11"/>
        <v>3026</v>
      </c>
    </row>
    <row r="79" spans="1:9" s="399" customFormat="1" ht="12.75">
      <c r="A79" s="397" t="s">
        <v>151</v>
      </c>
      <c r="B79" s="225" t="s">
        <v>45</v>
      </c>
      <c r="C79" s="388">
        <v>50</v>
      </c>
      <c r="D79" s="396"/>
      <c r="E79" s="400"/>
      <c r="F79" s="390"/>
      <c r="G79" s="632">
        <f t="shared" si="10"/>
        <v>50</v>
      </c>
      <c r="H79" s="632"/>
      <c r="I79" s="398">
        <f t="shared" si="11"/>
        <v>50</v>
      </c>
    </row>
    <row r="80" spans="1:9" s="399" customFormat="1" ht="12.75">
      <c r="A80" s="397" t="s">
        <v>151</v>
      </c>
      <c r="B80" s="225" t="s">
        <v>46</v>
      </c>
      <c r="C80" s="388">
        <v>300</v>
      </c>
      <c r="D80" s="396"/>
      <c r="E80" s="400"/>
      <c r="F80" s="390"/>
      <c r="G80" s="632">
        <f t="shared" si="10"/>
        <v>300</v>
      </c>
      <c r="H80" s="632"/>
      <c r="I80" s="398">
        <f t="shared" si="11"/>
        <v>300</v>
      </c>
    </row>
    <row r="81" spans="1:9" s="399" customFormat="1" ht="12.75">
      <c r="A81" s="397" t="s">
        <v>151</v>
      </c>
      <c r="B81" s="225" t="s">
        <v>47</v>
      </c>
      <c r="C81" s="388">
        <v>600</v>
      </c>
      <c r="D81" s="396"/>
      <c r="E81" s="400"/>
      <c r="F81" s="390"/>
      <c r="G81" s="632">
        <f t="shared" si="10"/>
        <v>600</v>
      </c>
      <c r="H81" s="632"/>
      <c r="I81" s="398">
        <f t="shared" si="11"/>
        <v>600</v>
      </c>
    </row>
    <row r="82" spans="1:9" s="399" customFormat="1" ht="12.75">
      <c r="A82" s="397" t="s">
        <v>17</v>
      </c>
      <c r="B82" s="225" t="s">
        <v>415</v>
      </c>
      <c r="C82" s="388">
        <v>14935</v>
      </c>
      <c r="D82" s="396"/>
      <c r="E82" s="400"/>
      <c r="F82" s="390"/>
      <c r="G82" s="632">
        <f t="shared" si="10"/>
        <v>14935</v>
      </c>
      <c r="H82" s="632">
        <v>-6278</v>
      </c>
      <c r="I82" s="398">
        <f t="shared" si="11"/>
        <v>8657</v>
      </c>
    </row>
    <row r="83" spans="1:9" s="399" customFormat="1" ht="12.75">
      <c r="A83" s="397"/>
      <c r="B83" s="225" t="s">
        <v>940</v>
      </c>
      <c r="C83" s="388"/>
      <c r="D83" s="396"/>
      <c r="E83" s="400"/>
      <c r="F83" s="390"/>
      <c r="G83" s="632">
        <v>647</v>
      </c>
      <c r="H83" s="632"/>
      <c r="I83" s="398">
        <v>647</v>
      </c>
    </row>
    <row r="84" spans="1:9" s="399" customFormat="1" ht="12.75">
      <c r="A84" s="397"/>
      <c r="B84" s="225"/>
      <c r="C84" s="388"/>
      <c r="D84" s="396"/>
      <c r="E84" s="400"/>
      <c r="F84" s="390"/>
      <c r="G84" s="630"/>
      <c r="H84" s="630"/>
      <c r="I84" s="391"/>
    </row>
    <row r="85" spans="1:9" s="405" customFormat="1" ht="13.5">
      <c r="A85" s="404"/>
      <c r="B85" s="401" t="s">
        <v>668</v>
      </c>
      <c r="C85" s="402">
        <f aca="true" t="shared" si="12" ref="C85:I85">SUM(C86)</f>
        <v>191</v>
      </c>
      <c r="D85" s="402">
        <f t="shared" si="12"/>
        <v>0</v>
      </c>
      <c r="E85" s="402">
        <f t="shared" si="12"/>
        <v>0</v>
      </c>
      <c r="F85" s="403">
        <f t="shared" si="12"/>
        <v>0</v>
      </c>
      <c r="G85" s="633">
        <f t="shared" si="12"/>
        <v>191</v>
      </c>
      <c r="H85" s="633">
        <f t="shared" si="12"/>
        <v>0</v>
      </c>
      <c r="I85" s="848">
        <f t="shared" si="12"/>
        <v>191</v>
      </c>
    </row>
    <row r="86" spans="1:9" s="399" customFormat="1" ht="12.75">
      <c r="A86" s="397"/>
      <c r="B86" s="225" t="s">
        <v>669</v>
      </c>
      <c r="C86" s="388">
        <v>191</v>
      </c>
      <c r="D86" s="396"/>
      <c r="E86" s="400"/>
      <c r="F86" s="390"/>
      <c r="G86" s="632">
        <f>C86+F86</f>
        <v>191</v>
      </c>
      <c r="H86" s="632"/>
      <c r="I86" s="398">
        <f>G86+H86</f>
        <v>191</v>
      </c>
    </row>
    <row r="87" spans="1:9" s="399" customFormat="1" ht="12.75">
      <c r="A87" s="397"/>
      <c r="B87" s="225"/>
      <c r="C87" s="388"/>
      <c r="D87" s="396"/>
      <c r="E87" s="400"/>
      <c r="F87" s="390"/>
      <c r="G87" s="632"/>
      <c r="H87" s="632"/>
      <c r="I87" s="398"/>
    </row>
    <row r="88" spans="1:9" s="405" customFormat="1" ht="13.5">
      <c r="A88" s="404"/>
      <c r="B88" s="401" t="s">
        <v>667</v>
      </c>
      <c r="C88" s="402"/>
      <c r="D88" s="402"/>
      <c r="E88" s="402"/>
      <c r="F88" s="403"/>
      <c r="G88" s="633"/>
      <c r="H88" s="633">
        <f>SUM(H89)</f>
        <v>570</v>
      </c>
      <c r="I88" s="848">
        <f>SUM(I89)</f>
        <v>570</v>
      </c>
    </row>
    <row r="89" spans="1:9" s="399" customFormat="1" ht="12.75">
      <c r="A89" s="397"/>
      <c r="B89" s="225" t="s">
        <v>669</v>
      </c>
      <c r="C89" s="388"/>
      <c r="D89" s="396"/>
      <c r="E89" s="400"/>
      <c r="F89" s="390"/>
      <c r="G89" s="632"/>
      <c r="H89" s="632">
        <v>570</v>
      </c>
      <c r="I89" s="398">
        <f>G89+H89</f>
        <v>570</v>
      </c>
    </row>
    <row r="90" spans="1:9" s="399" customFormat="1" ht="12.75">
      <c r="A90" s="397"/>
      <c r="B90" s="225"/>
      <c r="C90" s="388"/>
      <c r="D90" s="396"/>
      <c r="E90" s="400"/>
      <c r="F90" s="390"/>
      <c r="G90" s="630"/>
      <c r="H90" s="630"/>
      <c r="I90" s="391"/>
    </row>
    <row r="91" spans="2:9" ht="12.75">
      <c r="B91" s="392" t="s">
        <v>13</v>
      </c>
      <c r="C91" s="393">
        <f>SUM(C92:C99)</f>
        <v>12903</v>
      </c>
      <c r="D91" s="393">
        <f>SUM(D92:D99)</f>
        <v>0</v>
      </c>
      <c r="E91" s="393">
        <f>SUM(E92:E99)</f>
        <v>0</v>
      </c>
      <c r="F91" s="394">
        <f>SUM(F92:F106)</f>
        <v>26361</v>
      </c>
      <c r="G91" s="631">
        <f>SUM(G92:G107)</f>
        <v>39909</v>
      </c>
      <c r="H91" s="631">
        <f>SUM(H92:H107)</f>
        <v>5344</v>
      </c>
      <c r="I91" s="395">
        <f>SUM(I92:I107)</f>
        <v>45253</v>
      </c>
    </row>
    <row r="92" spans="1:9" s="399" customFormat="1" ht="12.75">
      <c r="A92" s="397"/>
      <c r="B92" s="225" t="s">
        <v>650</v>
      </c>
      <c r="C92" s="388">
        <v>830</v>
      </c>
      <c r="D92" s="396"/>
      <c r="E92" s="400"/>
      <c r="F92" s="390"/>
      <c r="G92" s="632">
        <f>C92+F92</f>
        <v>830</v>
      </c>
      <c r="H92" s="632"/>
      <c r="I92" s="398">
        <f>G92+H92</f>
        <v>830</v>
      </c>
    </row>
    <row r="93" spans="1:9" s="399" customFormat="1" ht="12.75">
      <c r="A93" s="397"/>
      <c r="B93" s="225" t="s">
        <v>941</v>
      </c>
      <c r="C93" s="388"/>
      <c r="D93" s="396"/>
      <c r="E93" s="400"/>
      <c r="F93" s="390"/>
      <c r="G93" s="632"/>
      <c r="H93" s="632">
        <v>12</v>
      </c>
      <c r="I93" s="398">
        <f>G93+H93</f>
        <v>12</v>
      </c>
    </row>
    <row r="94" spans="1:9" s="399" customFormat="1" ht="12.75">
      <c r="A94" s="397"/>
      <c r="B94" s="225" t="s">
        <v>624</v>
      </c>
      <c r="C94" s="388">
        <v>2000</v>
      </c>
      <c r="D94" s="396"/>
      <c r="E94" s="400"/>
      <c r="F94" s="390"/>
      <c r="G94" s="632">
        <f aca="true" t="shared" si="13" ref="G94:G106">C94+F94</f>
        <v>2000</v>
      </c>
      <c r="H94" s="632"/>
      <c r="I94" s="398">
        <f aca="true" t="shared" si="14" ref="I94:I107">G94+H94</f>
        <v>2000</v>
      </c>
    </row>
    <row r="95" spans="1:9" s="399" customFormat="1" ht="12.75">
      <c r="A95" s="397"/>
      <c r="B95" s="225" t="s">
        <v>625</v>
      </c>
      <c r="C95" s="388">
        <v>760</v>
      </c>
      <c r="D95" s="396"/>
      <c r="E95" s="400"/>
      <c r="F95" s="390"/>
      <c r="G95" s="632">
        <f t="shared" si="13"/>
        <v>760</v>
      </c>
      <c r="H95" s="632"/>
      <c r="I95" s="398">
        <f t="shared" si="14"/>
        <v>760</v>
      </c>
    </row>
    <row r="96" spans="1:9" s="399" customFormat="1" ht="12.75">
      <c r="A96" s="397"/>
      <c r="B96" s="225" t="s">
        <v>654</v>
      </c>
      <c r="C96" s="388">
        <v>900</v>
      </c>
      <c r="D96" s="396"/>
      <c r="E96" s="400"/>
      <c r="F96" s="390"/>
      <c r="G96" s="632">
        <f t="shared" si="13"/>
        <v>900</v>
      </c>
      <c r="H96" s="632">
        <v>100</v>
      </c>
      <c r="I96" s="398">
        <f t="shared" si="14"/>
        <v>1000</v>
      </c>
    </row>
    <row r="97" spans="1:9" s="399" customFormat="1" ht="25.5">
      <c r="A97" s="397"/>
      <c r="B97" s="225" t="s">
        <v>649</v>
      </c>
      <c r="C97" s="388">
        <v>1293</v>
      </c>
      <c r="D97" s="396"/>
      <c r="E97" s="400"/>
      <c r="F97" s="390">
        <f>800+651</f>
        <v>1451</v>
      </c>
      <c r="G97" s="632">
        <f t="shared" si="13"/>
        <v>2744</v>
      </c>
      <c r="H97" s="632"/>
      <c r="I97" s="398">
        <f t="shared" si="14"/>
        <v>2744</v>
      </c>
    </row>
    <row r="98" spans="1:9" s="399" customFormat="1" ht="12.75">
      <c r="A98" s="397"/>
      <c r="B98" s="225" t="s">
        <v>837</v>
      </c>
      <c r="C98" s="388">
        <v>6120</v>
      </c>
      <c r="D98" s="396"/>
      <c r="E98" s="400"/>
      <c r="F98" s="390">
        <v>200</v>
      </c>
      <c r="G98" s="632">
        <f t="shared" si="13"/>
        <v>6320</v>
      </c>
      <c r="H98" s="632"/>
      <c r="I98" s="398">
        <f t="shared" si="14"/>
        <v>6320</v>
      </c>
    </row>
    <row r="99" spans="1:9" s="399" customFormat="1" ht="12.75">
      <c r="A99" s="397"/>
      <c r="B99" s="225" t="s">
        <v>651</v>
      </c>
      <c r="C99" s="388">
        <v>1000</v>
      </c>
      <c r="D99" s="396"/>
      <c r="E99" s="400"/>
      <c r="F99" s="390"/>
      <c r="G99" s="632">
        <f t="shared" si="13"/>
        <v>1000</v>
      </c>
      <c r="H99" s="632"/>
      <c r="I99" s="398">
        <f t="shared" si="14"/>
        <v>1000</v>
      </c>
    </row>
    <row r="100" spans="1:9" s="399" customFormat="1" ht="12.75">
      <c r="A100" s="397"/>
      <c r="B100" s="225" t="s">
        <v>838</v>
      </c>
      <c r="C100" s="388"/>
      <c r="D100" s="396"/>
      <c r="E100" s="400"/>
      <c r="F100" s="390">
        <v>313</v>
      </c>
      <c r="G100" s="632">
        <f t="shared" si="13"/>
        <v>313</v>
      </c>
      <c r="H100" s="632"/>
      <c r="I100" s="398">
        <f t="shared" si="14"/>
        <v>313</v>
      </c>
    </row>
    <row r="101" spans="1:9" s="399" customFormat="1" ht="12.75">
      <c r="A101" s="397"/>
      <c r="B101" s="225" t="s">
        <v>839</v>
      </c>
      <c r="C101" s="388"/>
      <c r="D101" s="396"/>
      <c r="E101" s="400"/>
      <c r="F101" s="390">
        <v>454</v>
      </c>
      <c r="G101" s="632">
        <f t="shared" si="13"/>
        <v>454</v>
      </c>
      <c r="H101" s="632">
        <v>640</v>
      </c>
      <c r="I101" s="398">
        <f t="shared" si="14"/>
        <v>1094</v>
      </c>
    </row>
    <row r="102" spans="1:9" s="399" customFormat="1" ht="12.75">
      <c r="A102" s="397"/>
      <c r="B102" s="225" t="s">
        <v>942</v>
      </c>
      <c r="C102" s="388"/>
      <c r="D102" s="396"/>
      <c r="E102" s="400"/>
      <c r="F102" s="390"/>
      <c r="G102" s="632"/>
      <c r="H102" s="632">
        <v>305</v>
      </c>
      <c r="I102" s="398">
        <f t="shared" si="14"/>
        <v>305</v>
      </c>
    </row>
    <row r="103" spans="1:9" s="399" customFormat="1" ht="12.75">
      <c r="A103" s="397"/>
      <c r="B103" s="225" t="s">
        <v>943</v>
      </c>
      <c r="C103" s="388"/>
      <c r="D103" s="396"/>
      <c r="E103" s="400"/>
      <c r="F103" s="390"/>
      <c r="G103" s="632"/>
      <c r="H103" s="632">
        <v>180</v>
      </c>
      <c r="I103" s="398">
        <f t="shared" si="14"/>
        <v>180</v>
      </c>
    </row>
    <row r="104" spans="1:9" s="399" customFormat="1" ht="12.75">
      <c r="A104" s="397"/>
      <c r="B104" s="225" t="s">
        <v>944</v>
      </c>
      <c r="C104" s="388"/>
      <c r="D104" s="396"/>
      <c r="E104" s="400"/>
      <c r="F104" s="390"/>
      <c r="G104" s="632"/>
      <c r="H104" s="632">
        <v>109</v>
      </c>
      <c r="I104" s="398">
        <f t="shared" si="14"/>
        <v>109</v>
      </c>
    </row>
    <row r="105" spans="1:9" s="399" customFormat="1" ht="12.75">
      <c r="A105" s="397"/>
      <c r="B105" s="225" t="s">
        <v>840</v>
      </c>
      <c r="C105" s="388"/>
      <c r="D105" s="396"/>
      <c r="E105" s="400"/>
      <c r="F105" s="390">
        <v>200</v>
      </c>
      <c r="G105" s="632">
        <f t="shared" si="13"/>
        <v>200</v>
      </c>
      <c r="H105" s="632">
        <f>198+200</f>
        <v>398</v>
      </c>
      <c r="I105" s="398">
        <f t="shared" si="14"/>
        <v>598</v>
      </c>
    </row>
    <row r="106" spans="1:9" s="399" customFormat="1" ht="12.75">
      <c r="A106" s="397"/>
      <c r="B106" s="225" t="s">
        <v>841</v>
      </c>
      <c r="C106" s="388"/>
      <c r="D106" s="396"/>
      <c r="E106" s="400"/>
      <c r="F106" s="390">
        <f>8382+1961+13400</f>
        <v>23743</v>
      </c>
      <c r="G106" s="632">
        <f t="shared" si="13"/>
        <v>23743</v>
      </c>
      <c r="H106" s="632">
        <f>900+2700</f>
        <v>3600</v>
      </c>
      <c r="I106" s="398">
        <f t="shared" si="14"/>
        <v>27343</v>
      </c>
    </row>
    <row r="107" spans="1:9" s="399" customFormat="1" ht="12.75">
      <c r="A107" s="397"/>
      <c r="B107" s="225" t="s">
        <v>894</v>
      </c>
      <c r="C107" s="388"/>
      <c r="D107" s="396"/>
      <c r="E107" s="400"/>
      <c r="F107" s="390"/>
      <c r="G107" s="632">
        <v>645</v>
      </c>
      <c r="H107" s="632"/>
      <c r="I107" s="398">
        <f t="shared" si="14"/>
        <v>645</v>
      </c>
    </row>
    <row r="108" spans="1:9" s="399" customFormat="1" ht="12.75">
      <c r="A108" s="397"/>
      <c r="B108" s="392"/>
      <c r="C108" s="393"/>
      <c r="D108" s="396"/>
      <c r="E108" s="400"/>
      <c r="F108" s="394"/>
      <c r="G108" s="630"/>
      <c r="H108" s="630"/>
      <c r="I108" s="391"/>
    </row>
    <row r="109" spans="1:9" s="387" customFormat="1" ht="12.75">
      <c r="A109" s="381"/>
      <c r="B109" s="392" t="s">
        <v>14</v>
      </c>
      <c r="C109" s="393">
        <f aca="true" t="shared" si="15" ref="C109:I109">SUM(C110)</f>
        <v>8382</v>
      </c>
      <c r="D109" s="393">
        <f t="shared" si="15"/>
        <v>0</v>
      </c>
      <c r="E109" s="393">
        <f t="shared" si="15"/>
        <v>0</v>
      </c>
      <c r="F109" s="394">
        <f t="shared" si="15"/>
        <v>-8382</v>
      </c>
      <c r="G109" s="631">
        <f t="shared" si="15"/>
        <v>0</v>
      </c>
      <c r="H109" s="631">
        <f t="shared" si="15"/>
        <v>0</v>
      </c>
      <c r="I109" s="395">
        <f t="shared" si="15"/>
        <v>0</v>
      </c>
    </row>
    <row r="110" spans="1:9" s="387" customFormat="1" ht="12.75">
      <c r="A110" s="381"/>
      <c r="B110" s="225" t="s">
        <v>655</v>
      </c>
      <c r="C110" s="388">
        <v>8382</v>
      </c>
      <c r="D110" s="396"/>
      <c r="E110" s="406"/>
      <c r="F110" s="390">
        <v>-8382</v>
      </c>
      <c r="G110" s="632">
        <f>C110+F110</f>
        <v>0</v>
      </c>
      <c r="H110" s="632"/>
      <c r="I110" s="395">
        <f>G110+H110</f>
        <v>0</v>
      </c>
    </row>
    <row r="111" spans="1:9" s="387" customFormat="1" ht="12.75">
      <c r="A111" s="381"/>
      <c r="B111" s="392"/>
      <c r="C111" s="393"/>
      <c r="D111" s="396"/>
      <c r="E111" s="406"/>
      <c r="F111" s="394"/>
      <c r="G111" s="634"/>
      <c r="H111" s="634"/>
      <c r="I111" s="849"/>
    </row>
    <row r="112" spans="1:9" s="387" customFormat="1" ht="13.5" thickBot="1">
      <c r="A112" s="381"/>
      <c r="B112" s="407" t="s">
        <v>15</v>
      </c>
      <c r="C112" s="408">
        <f aca="true" t="shared" si="16" ref="C112:I112">SUM(C6,C91,C109,C71)</f>
        <v>2245365</v>
      </c>
      <c r="D112" s="408">
        <f t="shared" si="16"/>
        <v>1570612</v>
      </c>
      <c r="E112" s="408">
        <f t="shared" si="16"/>
        <v>355391</v>
      </c>
      <c r="F112" s="409">
        <f t="shared" si="16"/>
        <v>-74707</v>
      </c>
      <c r="G112" s="635">
        <f t="shared" si="16"/>
        <v>2171950</v>
      </c>
      <c r="H112" s="635">
        <f t="shared" si="16"/>
        <v>61513</v>
      </c>
      <c r="I112" s="410">
        <f t="shared" si="16"/>
        <v>2233463</v>
      </c>
    </row>
    <row r="113" spans="1:9" s="413" customFormat="1" ht="12.75">
      <c r="A113" s="411"/>
      <c r="B113" s="377"/>
      <c r="C113" s="378"/>
      <c r="D113" s="412"/>
      <c r="F113" s="379"/>
      <c r="G113" s="414"/>
      <c r="H113" s="414"/>
      <c r="I113" s="414"/>
    </row>
    <row r="114" spans="2:4" ht="12.75">
      <c r="B114" s="415"/>
      <c r="D114" s="412"/>
    </row>
    <row r="115" spans="1:6" s="380" customFormat="1" ht="12.75" hidden="1">
      <c r="A115" s="416" t="s">
        <v>17</v>
      </c>
      <c r="B115" s="417">
        <f aca="true" t="shared" si="17" ref="B115:B121">SUMIF($A$8:$C$55,A115,$C$8:$C$55)</f>
        <v>41243</v>
      </c>
      <c r="C115" s="418"/>
      <c r="F115" s="419"/>
    </row>
    <row r="116" spans="1:6" s="380" customFormat="1" ht="12.75" hidden="1">
      <c r="A116" s="416" t="s">
        <v>49</v>
      </c>
      <c r="B116" s="417">
        <f t="shared" si="17"/>
        <v>1926076</v>
      </c>
      <c r="C116" s="418"/>
      <c r="F116" s="419"/>
    </row>
    <row r="117" spans="1:6" s="380" customFormat="1" ht="12.75" hidden="1">
      <c r="A117" s="416" t="s">
        <v>57</v>
      </c>
      <c r="B117" s="417">
        <f t="shared" si="17"/>
        <v>89787</v>
      </c>
      <c r="C117" s="418"/>
      <c r="F117" s="419"/>
    </row>
    <row r="118" spans="1:6" s="380" customFormat="1" ht="12.75" hidden="1">
      <c r="A118" s="416" t="s">
        <v>64</v>
      </c>
      <c r="B118" s="417">
        <f t="shared" si="17"/>
        <v>15320</v>
      </c>
      <c r="C118" s="418"/>
      <c r="F118" s="419"/>
    </row>
    <row r="119" spans="1:6" s="380" customFormat="1" ht="12.75" hidden="1">
      <c r="A119" s="416" t="s">
        <v>65</v>
      </c>
      <c r="B119" s="417">
        <f t="shared" si="17"/>
        <v>31000</v>
      </c>
      <c r="C119" s="418"/>
      <c r="F119" s="419"/>
    </row>
    <row r="120" spans="1:6" ht="12.75" hidden="1">
      <c r="A120" s="416" t="s">
        <v>69</v>
      </c>
      <c r="B120" s="417">
        <f t="shared" si="17"/>
        <v>66820</v>
      </c>
      <c r="C120" s="418"/>
      <c r="D120" s="380"/>
      <c r="E120" s="380"/>
      <c r="F120" s="419"/>
    </row>
    <row r="121" spans="1:6" ht="12.75" hidden="1">
      <c r="A121" s="416" t="s">
        <v>150</v>
      </c>
      <c r="B121" s="417">
        <f t="shared" si="17"/>
        <v>22000</v>
      </c>
      <c r="C121" s="418"/>
      <c r="D121" s="380"/>
      <c r="E121" s="380"/>
      <c r="F121" s="419"/>
    </row>
    <row r="122" spans="1:6" ht="12.75" hidden="1">
      <c r="A122" s="416"/>
      <c r="B122" s="417">
        <f>SUM(B115:B121)</f>
        <v>2192246</v>
      </c>
      <c r="C122" s="418"/>
      <c r="D122" s="380"/>
      <c r="E122" s="380"/>
      <c r="F122" s="419"/>
    </row>
    <row r="123" spans="1:6" ht="12.75">
      <c r="A123" s="416"/>
      <c r="B123" s="420"/>
      <c r="C123" s="418"/>
      <c r="D123" s="380"/>
      <c r="E123" s="380"/>
      <c r="F123" s="419"/>
    </row>
    <row r="124" spans="1:6" ht="12.75">
      <c r="A124" s="416"/>
      <c r="B124" s="420"/>
      <c r="C124" s="418"/>
      <c r="D124" s="380"/>
      <c r="E124" s="380"/>
      <c r="F124" s="419"/>
    </row>
    <row r="125" spans="1:6" ht="12.75">
      <c r="A125" s="416"/>
      <c r="B125" s="420"/>
      <c r="C125" s="418"/>
      <c r="D125" s="380"/>
      <c r="E125" s="380"/>
      <c r="F125" s="419"/>
    </row>
    <row r="126" spans="1:6" ht="12.75">
      <c r="A126" s="416"/>
      <c r="B126" s="420"/>
      <c r="C126" s="418"/>
      <c r="D126" s="380"/>
      <c r="E126" s="380"/>
      <c r="F126" s="419"/>
    </row>
    <row r="127" spans="1:6" ht="12.75">
      <c r="A127" s="416"/>
      <c r="B127" s="420"/>
      <c r="C127" s="418"/>
      <c r="D127" s="380"/>
      <c r="E127" s="380"/>
      <c r="F127" s="419"/>
    </row>
    <row r="128" spans="1:6" ht="12.75">
      <c r="A128" s="416"/>
      <c r="B128" s="420"/>
      <c r="C128" s="418"/>
      <c r="D128" s="380"/>
      <c r="E128" s="380"/>
      <c r="F128" s="419"/>
    </row>
    <row r="129" spans="1:6" ht="12.75">
      <c r="A129" s="416"/>
      <c r="B129" s="420"/>
      <c r="C129" s="418"/>
      <c r="D129" s="380"/>
      <c r="E129" s="380"/>
      <c r="F129" s="419"/>
    </row>
    <row r="130" spans="1:6" ht="12.75">
      <c r="A130" s="416"/>
      <c r="B130" s="420"/>
      <c r="C130" s="418"/>
      <c r="D130" s="380"/>
      <c r="E130" s="380"/>
      <c r="F130" s="419"/>
    </row>
    <row r="131" spans="1:6" ht="12.75">
      <c r="A131" s="416"/>
      <c r="B131" s="420"/>
      <c r="C131" s="418"/>
      <c r="D131" s="380"/>
      <c r="E131" s="380"/>
      <c r="F131" s="419"/>
    </row>
    <row r="132" spans="1:6" ht="12.75">
      <c r="A132" s="416"/>
      <c r="B132" s="420"/>
      <c r="C132" s="418"/>
      <c r="D132" s="380"/>
      <c r="E132" s="380"/>
      <c r="F132" s="419"/>
    </row>
    <row r="133" spans="1:6" ht="12.75">
      <c r="A133" s="416"/>
      <c r="B133" s="420"/>
      <c r="C133" s="418"/>
      <c r="D133" s="380"/>
      <c r="E133" s="380"/>
      <c r="F133" s="419"/>
    </row>
    <row r="134" spans="1:6" ht="12.75">
      <c r="A134" s="416"/>
      <c r="B134" s="420"/>
      <c r="C134" s="418"/>
      <c r="D134" s="380"/>
      <c r="E134" s="380"/>
      <c r="F134" s="419"/>
    </row>
    <row r="135" spans="1:6" ht="12.75">
      <c r="A135" s="416"/>
      <c r="B135" s="420"/>
      <c r="C135" s="418"/>
      <c r="D135" s="380"/>
      <c r="E135" s="380"/>
      <c r="F135" s="419"/>
    </row>
    <row r="136" spans="1:6" ht="12.75">
      <c r="A136" s="416"/>
      <c r="B136" s="420"/>
      <c r="C136" s="418"/>
      <c r="D136" s="380"/>
      <c r="E136" s="380"/>
      <c r="F136" s="419"/>
    </row>
    <row r="137" spans="1:6" ht="12.75">
      <c r="A137" s="416"/>
      <c r="B137" s="420"/>
      <c r="C137" s="418"/>
      <c r="D137" s="380"/>
      <c r="E137" s="380"/>
      <c r="F137" s="419"/>
    </row>
    <row r="138" spans="1:6" ht="12.75">
      <c r="A138" s="416"/>
      <c r="B138" s="420"/>
      <c r="C138" s="418"/>
      <c r="D138" s="380"/>
      <c r="E138" s="380"/>
      <c r="F138" s="419"/>
    </row>
    <row r="139" spans="1:6" ht="12.75">
      <c r="A139" s="416"/>
      <c r="B139" s="420"/>
      <c r="C139" s="418"/>
      <c r="D139" s="380"/>
      <c r="E139" s="380"/>
      <c r="F139" s="419"/>
    </row>
    <row r="140" spans="1:6" ht="12.75">
      <c r="A140" s="416"/>
      <c r="B140" s="420"/>
      <c r="C140" s="418"/>
      <c r="D140" s="380"/>
      <c r="E140" s="380"/>
      <c r="F140" s="419"/>
    </row>
    <row r="141" spans="1:6" ht="12.75">
      <c r="A141" s="416"/>
      <c r="B141" s="420"/>
      <c r="C141" s="418"/>
      <c r="D141" s="380"/>
      <c r="E141" s="380"/>
      <c r="F141" s="419"/>
    </row>
    <row r="142" spans="1:6" ht="12.75">
      <c r="A142" s="416"/>
      <c r="B142" s="420"/>
      <c r="C142" s="418"/>
      <c r="D142" s="380"/>
      <c r="E142" s="380"/>
      <c r="F142" s="419"/>
    </row>
    <row r="143" spans="1:6" ht="12.75">
      <c r="A143" s="416"/>
      <c r="B143" s="420"/>
      <c r="C143" s="418"/>
      <c r="D143" s="380"/>
      <c r="E143" s="380"/>
      <c r="F143" s="419"/>
    </row>
    <row r="144" spans="1:6" ht="12.75">
      <c r="A144" s="416"/>
      <c r="B144" s="420"/>
      <c r="C144" s="418"/>
      <c r="D144" s="380"/>
      <c r="E144" s="380"/>
      <c r="F144" s="419"/>
    </row>
    <row r="145" spans="1:6" ht="12.75">
      <c r="A145" s="416"/>
      <c r="B145" s="420"/>
      <c r="C145" s="418"/>
      <c r="D145" s="380"/>
      <c r="E145" s="380"/>
      <c r="F145" s="419"/>
    </row>
    <row r="146" spans="1:6" ht="12.75">
      <c r="A146" s="416"/>
      <c r="B146" s="420"/>
      <c r="C146" s="418"/>
      <c r="D146" s="380"/>
      <c r="E146" s="380"/>
      <c r="F146" s="419"/>
    </row>
    <row r="147" spans="1:6" ht="12.75">
      <c r="A147" s="416"/>
      <c r="B147" s="420"/>
      <c r="C147" s="418"/>
      <c r="D147" s="380"/>
      <c r="E147" s="380"/>
      <c r="F147" s="419"/>
    </row>
    <row r="148" spans="1:6" ht="12.75">
      <c r="A148" s="416"/>
      <c r="B148" s="420"/>
      <c r="C148" s="418"/>
      <c r="D148" s="380"/>
      <c r="E148" s="380"/>
      <c r="F148" s="419"/>
    </row>
    <row r="149" spans="1:6" ht="12.75">
      <c r="A149" s="416"/>
      <c r="B149" s="420"/>
      <c r="C149" s="418"/>
      <c r="D149" s="380"/>
      <c r="E149" s="380"/>
      <c r="F149" s="419"/>
    </row>
    <row r="150" spans="1:6" ht="12.75">
      <c r="A150" s="416"/>
      <c r="B150" s="420"/>
      <c r="C150" s="418"/>
      <c r="D150" s="380"/>
      <c r="E150" s="380"/>
      <c r="F150" s="419"/>
    </row>
    <row r="151" spans="1:6" ht="12.75">
      <c r="A151" s="416"/>
      <c r="B151" s="420"/>
      <c r="C151" s="418"/>
      <c r="D151" s="380"/>
      <c r="E151" s="380"/>
      <c r="F151" s="419"/>
    </row>
    <row r="152" spans="1:6" ht="12.75">
      <c r="A152" s="416"/>
      <c r="B152" s="420"/>
      <c r="C152" s="418"/>
      <c r="D152" s="380"/>
      <c r="E152" s="380"/>
      <c r="F152" s="419"/>
    </row>
    <row r="153" spans="1:6" ht="12.75">
      <c r="A153" s="416"/>
      <c r="B153" s="420"/>
      <c r="C153" s="418"/>
      <c r="D153" s="380"/>
      <c r="E153" s="380"/>
      <c r="F153" s="419"/>
    </row>
    <row r="154" spans="1:6" ht="12.75">
      <c r="A154" s="416"/>
      <c r="B154" s="420"/>
      <c r="C154" s="418"/>
      <c r="D154" s="380"/>
      <c r="E154" s="380"/>
      <c r="F154" s="419"/>
    </row>
    <row r="155" spans="1:6" ht="12.75">
      <c r="A155" s="416"/>
      <c r="B155" s="420"/>
      <c r="C155" s="418"/>
      <c r="D155" s="380"/>
      <c r="E155" s="380"/>
      <c r="F155" s="419"/>
    </row>
    <row r="156" spans="1:5" ht="12.75">
      <c r="A156" s="416"/>
      <c r="D156" s="380"/>
      <c r="E156" s="380"/>
    </row>
  </sheetData>
  <sheetProtection/>
  <mergeCells count="2">
    <mergeCell ref="B1:I1"/>
    <mergeCell ref="B2:I2"/>
  </mergeCell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74" r:id="rId1"/>
  <headerFooter alignWithMargins="0">
    <oddHeader>&amp;L8. melléklet a 21/2015.(X.2.)  önkormányzati rendelethez
8. melléklet az 1/2015.(I.30.) önkormányzati rendelethez</oddHeader>
  </headerFooter>
  <rowBreaks count="1" manualBreakCount="1">
    <brk id="6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zomborimonika</cp:lastModifiedBy>
  <cp:lastPrinted>2015-10-01T06:03:17Z</cp:lastPrinted>
  <dcterms:created xsi:type="dcterms:W3CDTF">2014-01-10T08:24:40Z</dcterms:created>
  <dcterms:modified xsi:type="dcterms:W3CDTF">2015-10-01T06:03:21Z</dcterms:modified>
  <cp:category/>
  <cp:version/>
  <cp:contentType/>
  <cp:contentStatus/>
</cp:coreProperties>
</file>