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96" activeTab="15"/>
  </bookViews>
  <sheets>
    <sheet name="1.sz. melléklet" sheetId="1" r:id="rId1"/>
    <sheet name="2. sz. melléklet" sheetId="2" r:id="rId2"/>
    <sheet name="3. sz. melléklet" sheetId="3" r:id="rId3"/>
    <sheet name="4. sz. melléklet" sheetId="4" r:id="rId4"/>
    <sheet name="5.1 sz. melléklet" sheetId="5" r:id="rId5"/>
    <sheet name="5.2. sz. melléklet" sheetId="6" r:id="rId6"/>
    <sheet name="6. sz. melléklet" sheetId="7" r:id="rId7"/>
    <sheet name="7. sz. melléklet" sheetId="8" r:id="rId8"/>
    <sheet name="8. sz. melléklet" sheetId="9" r:id="rId9"/>
    <sheet name="9. sz. melléklet" sheetId="10" r:id="rId10"/>
    <sheet name="9.sz.melléklet (2)" sheetId="11" r:id="rId11"/>
    <sheet name="10. sz. melléklet" sheetId="12" r:id="rId12"/>
    <sheet name="11. sz. melléklet" sheetId="13" r:id="rId13"/>
    <sheet name="12. sz. melléklet" sheetId="14" r:id="rId14"/>
    <sheet name="13. sz. melléklet" sheetId="15" r:id="rId15"/>
    <sheet name="15. sz. melléklet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xlnm.Print_Titles" localSheetId="14">'13. sz. melléklet'!$5:$6</definedName>
    <definedName name="_xlnm.Print_Area" localSheetId="15">'15. sz. melléklet'!$A$1:$D$36</definedName>
    <definedName name="_xlnm.Print_Area" localSheetId="1">'2. sz. melléklet'!$A$1:$H$66</definedName>
    <definedName name="_xlnm.Print_Area" localSheetId="2">'3. sz. melléklet'!$A$1:$S$57</definedName>
    <definedName name="_xlnm.Print_Area" localSheetId="3">'4. sz. melléklet'!$A$1:$U$44</definedName>
    <definedName name="_xlnm.Print_Area" localSheetId="4">'5.1 sz. melléklet'!$A$1:$N$251</definedName>
    <definedName name="_xlnm.Print_Titles" localSheetId="4">'5.1 sz. melléklet'!$6:$8</definedName>
    <definedName name="_xlnm.Print_Titles" localSheetId="6">('6. sz. melléklet'!$A:$B,'6. sz. melléklet'!$2:$3)</definedName>
    <definedName name="Excel_BuiltIn__FilterDatabase_5">'[1]4. sz. melléklet'!#REF!</definedName>
    <definedName name="Excel_BuiltIn__FilterDatabase_51">'[1]4. sz. melléklet'!#REF!</definedName>
    <definedName name="Excel_BuiltIn__FilterDatabase_52">#REF!</definedName>
    <definedName name="Excel_BuiltIn__FilterDatabase_53">'5.1 sz. melléklet'!#REF!</definedName>
    <definedName name="Excel_BuiltIn__FilterDatabase_54">'5.2. sz. melléklet'!#REF!</definedName>
    <definedName name="Excel_BuiltIn__FilterDatabase_55">'[1]4. sz. melléklet'!#REF!</definedName>
    <definedName name="Excel_BuiltIn__FilterDatabase_56">'[1]4. sz. melléklet'!#REF!</definedName>
    <definedName name="Excel_BuiltIn__FilterDatabase_57">#REF!</definedName>
    <definedName name="Excel_BuiltIn__FilterDatabase_5_1">'[3]4. sz. melléklet'!#REF!</definedName>
    <definedName name="Excel_BuiltIn__FilterDatabase_5_11">'[4]4. sz. melléklet'!#REF!</definedName>
    <definedName name="Excel_BuiltIn__FilterDatabase_5_12">'[3]4. sz. melléklet'!#REF!</definedName>
    <definedName name="Excel_BuiltIn__FilterDatabase_5_13">'[3]4. sz. melléklet'!#REF!</definedName>
    <definedName name="Excel_BuiltIn__FilterDatabase_5_14">'[3]4. sz. melléklet'!#REF!</definedName>
    <definedName name="Excel_BuiltIn__FilterDatabase_5_11">'[5]4. sz. melléklet'!#REF!</definedName>
    <definedName name="Excel_BuiltIn__FilterDatabase_5_12">'[5]4. sz. melléklet'!#REF!</definedName>
    <definedName name="Excel_BuiltIn__FilterDatabase_5_13">#REF!</definedName>
    <definedName name="Excel_BuiltIn__FilterDatabase_5_131">#REF!</definedName>
    <definedName name="Excel_BuiltIn__FilterDatabase_5_132">#REF!</definedName>
    <definedName name="Excel_BuiltIn__FilterDatabase_5_133">#REF!</definedName>
    <definedName name="Excel_BuiltIn__FilterDatabase_5_15">'[6]4. sz. melléklet'!#REF!</definedName>
    <definedName name="Excel_BuiltIn__FilterDatabase_5_17">#REF!</definedName>
    <definedName name="Excel_BuiltIn__FilterDatabase_5_171">#REF!</definedName>
    <definedName name="Excel_BuiltIn__FilterDatabase_5_172">#REF!</definedName>
    <definedName name="Excel_BuiltIn__FilterDatabase_5_173">#REF!</definedName>
    <definedName name="Excel_BuiltIn__FilterDatabase_5_5">'[7]4.A sz. melléklet'!#REF!</definedName>
    <definedName name="Excel_BuiltIn__FilterDatabase_5_6">'[7]4.B-C. sz. melléklet'!#REF!</definedName>
    <definedName name="Excel_BuiltIn__FilterDatabase_5_8">'[5]4. sz. melléklet'!#REF!</definedName>
    <definedName name="Excel_BuiltIn__FilterDatabase_5_9">'[5]4. sz. melléklet'!#REF!</definedName>
    <definedName name="Excel_BuiltIn_Print_Area_1">'13. sz. melléklet'!#REF!</definedName>
    <definedName name="Excel_BuiltIn_Print_Area_11">#REF!</definedName>
    <definedName name="Excel_BuiltIn_Print_Area_12">#REF!</definedName>
    <definedName name="Excel_BuiltIn_Print_Area_13">#REF!</definedName>
    <definedName name="Excel_BuiltIn_Print_Area_1_15">#REF!</definedName>
    <definedName name="Excel_BuiltIn_Print_Area_1_151">#REF!</definedName>
    <definedName name="Excel_BuiltIn_Print_Area_1_152">#REF!</definedName>
    <definedName name="Excel_BuiltIn_Print_Area_1_153">#REF!</definedName>
    <definedName name="Excel_BuiltIn_Print_Area_1_21">'[7]18.'!#REF!</definedName>
    <definedName name="Excel_BuiltIn_Print_Area_1_22">'[7]19.'!#REF!</definedName>
    <definedName name="Excel_BuiltIn_Print_Area_2">#REF!</definedName>
    <definedName name="Excel_BuiltIn_Print_Area_21">#REF!</definedName>
    <definedName name="Excel_BuiltIn_Print_Area_22">#REF!</definedName>
    <definedName name="Excel_BuiltIn_Print_Area_23">#REF!</definedName>
    <definedName name="Excel_BuiltIn_Print_Area_24">#REF!</definedName>
    <definedName name="Excel_BuiltIn_Print_Area_25">#REF!</definedName>
    <definedName name="Excel_BuiltIn_Print_Area_2_1">#REF!</definedName>
    <definedName name="Excel_BuiltIn_Print_Area_2_11">#REF!</definedName>
    <definedName name="Excel_BuiltIn_Print_Area_2_12">#REF!</definedName>
    <definedName name="Excel_BuiltIn_Print_Area_2_13">#REF!</definedName>
    <definedName name="Excel_BuiltIn_Print_Area_2_15">#REF!</definedName>
    <definedName name="Excel_BuiltIn_Print_Area_2_151">#REF!</definedName>
    <definedName name="Excel_BuiltIn_Print_Area_2_152">#REF!</definedName>
    <definedName name="Excel_BuiltIn_Print_Area_2_153">#REF!</definedName>
    <definedName name="Excel_BuiltIn_Print_Area_2_5">#REF!</definedName>
    <definedName name="Excel_BuiltIn_Print_Area_2_51">#REF!</definedName>
    <definedName name="Excel_BuiltIn_Print_Area_2_52">#REF!</definedName>
    <definedName name="Excel_BuiltIn_Print_Area_2_53">#REF!</definedName>
    <definedName name="Excel_BuiltIn_Print_Area_2_6">#REF!</definedName>
    <definedName name="Excel_BuiltIn_Print_Area_2_61">#REF!</definedName>
    <definedName name="Excel_BuiltIn_Print_Area_2_62">#REF!</definedName>
    <definedName name="Excel_BuiltIn_Print_Area_2_63">#REF!</definedName>
    <definedName name="Excel_BuiltIn_Print_Titles_6">'[7]4.B-C. sz. melléklet'!#REF!</definedName>
  </definedNames>
  <calcPr fullCalcOnLoad="1"/>
</workbook>
</file>

<file path=xl/sharedStrings.xml><?xml version="1.0" encoding="utf-8"?>
<sst xmlns="http://schemas.openxmlformats.org/spreadsheetml/2006/main" count="1399" uniqueCount="674">
  <si>
    <t xml:space="preserve"> Tata Város Önkormányzatának 2012. évi közgazdasági mérlege (E Ft-ban)</t>
  </si>
  <si>
    <t>Bevételi előirányzat</t>
  </si>
  <si>
    <t>Kiadási előirányzat</t>
  </si>
  <si>
    <t>Eredeti</t>
  </si>
  <si>
    <t>Mód. (V.30.)</t>
  </si>
  <si>
    <t>Mód. (VIII.30.)</t>
  </si>
  <si>
    <t xml:space="preserve">Eredeti </t>
  </si>
  <si>
    <t>Hatósági szolgáltatási díj és intézményi működési bevétel</t>
  </si>
  <si>
    <t>Személyi juttatások</t>
  </si>
  <si>
    <t>Önkormányzatok sajátos működési bevételi</t>
  </si>
  <si>
    <t>Helyi adók</t>
  </si>
  <si>
    <t>Munkaadókat terhelő járulékok</t>
  </si>
  <si>
    <t>Átengedett központi adók (gépjárműadó, átengedett SZJA, termőföld bérbeadásából származó SZJA)</t>
  </si>
  <si>
    <t>Bírságok</t>
  </si>
  <si>
    <t>Dologi és egyéb folyó kiadások</t>
  </si>
  <si>
    <t>Talajterhelési díj</t>
  </si>
  <si>
    <t>Dologi kiadások</t>
  </si>
  <si>
    <t>Bérleti díjak</t>
  </si>
  <si>
    <t>Kamat kiadások</t>
  </si>
  <si>
    <t>Lakbér</t>
  </si>
  <si>
    <t>Egyéb működési kiadások</t>
  </si>
  <si>
    <t>Működési támogatások</t>
  </si>
  <si>
    <t>Támogatás értékű működési kiadások és működési célú pénzeszközátadás</t>
  </si>
  <si>
    <t>Normatív és kötött felhasználású támogatások</t>
  </si>
  <si>
    <t>Önkormányzat által folyósított társadalom- és szociálpolitikai juttatások</t>
  </si>
  <si>
    <t xml:space="preserve">Egyes szociális feladatok támogatása, ingyenes </t>
  </si>
  <si>
    <t>Ellátottak pénzbeli juttatása</t>
  </si>
  <si>
    <t>Szociális továbbképzés, szakvizsga,bölcsödei étkeztetés</t>
  </si>
  <si>
    <t>Központosított előirányzatokból</t>
  </si>
  <si>
    <t>Beruházási kiadások</t>
  </si>
  <si>
    <t>Egyéb, működési bevételek</t>
  </si>
  <si>
    <t>Támogatás értékű működési bevételek</t>
  </si>
  <si>
    <t>Felújítási kiadások</t>
  </si>
  <si>
    <t>Támogatás értékű működési bevétel TB-től</t>
  </si>
  <si>
    <t>Működési célú pénzeszközátvétel</t>
  </si>
  <si>
    <t>Támogatás értékű felhalmozási kiadások és felhalmozási célú pénzeszközátadások</t>
  </si>
  <si>
    <t>Felhalmozási és tőke jellegű bevételek</t>
  </si>
  <si>
    <t>Működési tartalék</t>
  </si>
  <si>
    <t>Tárgyi eszköz értékesítés</t>
  </si>
  <si>
    <t>Általános tartalék</t>
  </si>
  <si>
    <t>Föld értékesítés</t>
  </si>
  <si>
    <t>Céltartalék</t>
  </si>
  <si>
    <t>Egyéb ingatlan értékesítés</t>
  </si>
  <si>
    <t>Működési céltartalék, normatíva elszámolás miatt elkülönített</t>
  </si>
  <si>
    <t>Üzemeltetés, bérbeadás bevétele</t>
  </si>
  <si>
    <t>Felhalmozási tartalék</t>
  </si>
  <si>
    <t>Lakásértékesítés</t>
  </si>
  <si>
    <t>Felhalmozási tartalék egyéb feladatokra és kötvénytartalék</t>
  </si>
  <si>
    <t>Üzletrész értékesítés bevétele</t>
  </si>
  <si>
    <t>Tartalékolt felhalmozási kiadások</t>
  </si>
  <si>
    <t>Felhalmozási kamatbevételek</t>
  </si>
  <si>
    <t>Garancia és kezességvállalás</t>
  </si>
  <si>
    <t>Felhalmozási támogatások</t>
  </si>
  <si>
    <t>Fejlesztési célú támogatások (címzett, cél, vis maior)</t>
  </si>
  <si>
    <t>Támogatási kölcsönök nyújtása, törlesztése</t>
  </si>
  <si>
    <t>Egyéb felhalmozási bevételek</t>
  </si>
  <si>
    <t>Lakáscélra</t>
  </si>
  <si>
    <t xml:space="preserve"> - Támogatás értékű felhalmozási bevételek</t>
  </si>
  <si>
    <t>Egyéb kölcsön</t>
  </si>
  <si>
    <t xml:space="preserve"> - Tartalékolt felhalmozási kiadásokhoz kapcsolódó támogatás értékű felhalmozási bevétel</t>
  </si>
  <si>
    <t xml:space="preserve"> - Felhalmozási célú pénzeszköz átvétel</t>
  </si>
  <si>
    <t>Pénzmaradvány átadás</t>
  </si>
  <si>
    <t xml:space="preserve">Pénzmaradvány átvétel </t>
  </si>
  <si>
    <t>-működési célra</t>
  </si>
  <si>
    <t>Támogatási kölcsönök visszatérülése, igénybevétele</t>
  </si>
  <si>
    <t>-felhalmozási célra</t>
  </si>
  <si>
    <t>Költségvetési bevételek összesen:</t>
  </si>
  <si>
    <t>Költségvetési kiadások összesen:</t>
  </si>
  <si>
    <t>Költségvetési egyenleg: -1 311 276 E Ft</t>
  </si>
  <si>
    <t>Hiány és a finanszírozási kiadások fedezetének finanszírozása:</t>
  </si>
  <si>
    <t xml:space="preserve"> - Belső finanszírozás, pénzmaradvány </t>
  </si>
  <si>
    <t>Hiteltörlesztés - hosszú lejáratú</t>
  </si>
  <si>
    <t xml:space="preserve"> - Külső finanszírozás kötvény kibocsátás, hitel felvétel </t>
  </si>
  <si>
    <t>Folyamatban lévő projektekhez szükséges hitelfelvétel</t>
  </si>
  <si>
    <t>2012-ben felmerülő új beruházási és felújítási feladatokhoz szükséges hitelfelvétel</t>
  </si>
  <si>
    <t>Finanszírozási bevételek összesen:</t>
  </si>
  <si>
    <t>Finanszírozási kiadások összesen:</t>
  </si>
  <si>
    <t>BEVÉTELEK MINDÖSSZESEN</t>
  </si>
  <si>
    <t>KIADÁSOK MINDÖSSZESEN</t>
  </si>
  <si>
    <t>2012. évi működési célú bevételek és kiadások mérlege (E Ft-ban)</t>
  </si>
  <si>
    <t>Hatósági szolgáltatási díj</t>
  </si>
  <si>
    <t>Személyi juttatás</t>
  </si>
  <si>
    <t>Működési bevétel</t>
  </si>
  <si>
    <t>Járulékok</t>
  </si>
  <si>
    <t>Sajátos működési bevétel</t>
  </si>
  <si>
    <t>Dologi kiadás (beruházási hitelkamat és ÁFA nélkül)</t>
  </si>
  <si>
    <t>Működési támogatás</t>
  </si>
  <si>
    <t>Pénzeszköz átadás, támogatás</t>
  </si>
  <si>
    <t>Egyéb működési bevételek</t>
  </si>
  <si>
    <t>Szociális támogatás műk.</t>
  </si>
  <si>
    <t>Kölcsön visszatérülés, kölcsön bevétel</t>
  </si>
  <si>
    <t>Előző évi pénzmaradvány átvétel</t>
  </si>
  <si>
    <t>Működési céltartalék</t>
  </si>
  <si>
    <t xml:space="preserve">Garancia és kezességvállalás </t>
  </si>
  <si>
    <t xml:space="preserve"> - Tatai Távhő Kft.-nek</t>
  </si>
  <si>
    <t xml:space="preserve"> - Városkapu Zrt-nek</t>
  </si>
  <si>
    <t>Kölcsönnyújtás, kölcsönvisszafizetés</t>
  </si>
  <si>
    <t xml:space="preserve"> - Tatai Városfejlesztő Kft.-nek</t>
  </si>
  <si>
    <t>- Víz-Zene-Virág Fesztivál Egyesület</t>
  </si>
  <si>
    <t>- Fényes-fürdő Kft.</t>
  </si>
  <si>
    <t>-Tatai Kenderke Népcántegyesület</t>
  </si>
  <si>
    <t>-Tatai TÁVHŐ Szolgáltató Kft.</t>
  </si>
  <si>
    <t>Pénzmaradvány átadás működési célra</t>
  </si>
  <si>
    <t>Egyenleg: -90 428</t>
  </si>
  <si>
    <t>Hiány és a finanszírozási kiadások fedezetének finansz.</t>
  </si>
  <si>
    <t xml:space="preserve"> - Belső forrás, pénzmaradvány </t>
  </si>
  <si>
    <t xml:space="preserve"> - Belső forrás, pénzmaradvány kötvényből a kötvénnyel kapcsolatos kiadásokra </t>
  </si>
  <si>
    <t>Mindösszesen:</t>
  </si>
  <si>
    <t>2012. évi fejlesztési célú bevételek és kiadások mérlege (E Ft-ban)</t>
  </si>
  <si>
    <t>Mód.(V.30.)</t>
  </si>
  <si>
    <t>Beruházás</t>
  </si>
  <si>
    <t>ÁFA bevétel</t>
  </si>
  <si>
    <t>Felújítás</t>
  </si>
  <si>
    <t>Felhalmozási támogatás</t>
  </si>
  <si>
    <t>Támogatás értékű felhalmozási kiadás és pénzeszközátadás</t>
  </si>
  <si>
    <t>Felhalmozási célú központosított támogatás</t>
  </si>
  <si>
    <t>Tartalékolt felhalmozási kiadásokhoz kapcsolódó támogatás értékű felhalmozási bevétel</t>
  </si>
  <si>
    <t>Felhalmozási célú pénzeszközátvétel</t>
  </si>
  <si>
    <t>Beruházási hitel kamat</t>
  </si>
  <si>
    <t>Kölcsön visszatérülések</t>
  </si>
  <si>
    <t>Kölcsönnyújtás</t>
  </si>
  <si>
    <t xml:space="preserve"> - Lakás célú</t>
  </si>
  <si>
    <t xml:space="preserve"> - lakáscélú</t>
  </si>
  <si>
    <t xml:space="preserve"> - Munkáltatói</t>
  </si>
  <si>
    <t xml:space="preserve"> - munkáltatói</t>
  </si>
  <si>
    <t>Adóbevételekből átcsoportosítás</t>
  </si>
  <si>
    <t>Felhalmozási céltartalék (Önkormányzati feladatokra)</t>
  </si>
  <si>
    <t xml:space="preserve"> - Építményadóból</t>
  </si>
  <si>
    <t>Felhalmozási céltartalék (IGH feladatokra)</t>
  </si>
  <si>
    <t xml:space="preserve"> - Iparűzési adóból</t>
  </si>
  <si>
    <t>Fizetendő ÁFA</t>
  </si>
  <si>
    <t>Lakbérbevétel átcsoportosítása</t>
  </si>
  <si>
    <t>Kötvény kamata</t>
  </si>
  <si>
    <t xml:space="preserve"> - Távhő Kft.-nek</t>
  </si>
  <si>
    <t xml:space="preserve"> - Tata-Tópart Viziközmű Társulat hitele és kamat</t>
  </si>
  <si>
    <t>Kötvény és hiteltörlesztés árfolyamkülönbözete</t>
  </si>
  <si>
    <t>Pénzmaradvány átadás felhalmozási célra</t>
  </si>
  <si>
    <t>Egyenleg: -1 220 848</t>
  </si>
  <si>
    <t xml:space="preserve"> - Belső finanszírozás, pénzmaradvány (Eu-s pályázatok előlegei, kötvényforrás maradványa)</t>
  </si>
  <si>
    <t>Finanszírozási kiadás beruházási hitel- és kötvény törlesztés</t>
  </si>
  <si>
    <t>Mindösszesen bevételek:</t>
  </si>
  <si>
    <t>Mindösszesen kiadások:</t>
  </si>
  <si>
    <t xml:space="preserve">                                                                                                            Tata Város Önkormányzata és az általa irányított költségvetési szervek 2012. évi bevételei forrásonként ( E Ft-ban)</t>
  </si>
  <si>
    <t>Bevételek</t>
  </si>
  <si>
    <t>Önkormányzat</t>
  </si>
  <si>
    <t>Önkormányzati Hivatal</t>
  </si>
  <si>
    <t>Tata Város Közterület-felügyelete</t>
  </si>
  <si>
    <t>Intézmények Gazdasági Hivatala és a hozzá tartozó költségvetési szervek</t>
  </si>
  <si>
    <t>Árpád-házi Szent Erzsébet Szakkórház és Rendelőintézet</t>
  </si>
  <si>
    <t>Összesen</t>
  </si>
  <si>
    <t>Önkormányzat működési bevétele</t>
  </si>
  <si>
    <t>Intézményi működési bevétel</t>
  </si>
  <si>
    <t>Egyéb működési bevétel (faértékesítés, temető fenntartás, rendezvényszervezés, üdülés, intézményi térítési díjak stb.)</t>
  </si>
  <si>
    <t>Áfa bevétel</t>
  </si>
  <si>
    <t>Kamat bevétel</t>
  </si>
  <si>
    <t xml:space="preserve"> - Építményadó</t>
  </si>
  <si>
    <t xml:space="preserve"> - Telekadó</t>
  </si>
  <si>
    <t xml:space="preserve"> - Idegenforgalmi adó</t>
  </si>
  <si>
    <t xml:space="preserve"> - Iparűzési adó</t>
  </si>
  <si>
    <t xml:space="preserve"> - Késedelmi pótlék</t>
  </si>
  <si>
    <t xml:space="preserve"> - Egyéb beszedési szla (pénzbírság, helyszíni bírság)</t>
  </si>
  <si>
    <t>Átengedett központi adók</t>
  </si>
  <si>
    <t xml:space="preserve"> - Átengedett SZJA</t>
  </si>
  <si>
    <t xml:space="preserve"> - Gépjárműadó</t>
  </si>
  <si>
    <t xml:space="preserve"> - Termőföld bérbeadásból SZJA</t>
  </si>
  <si>
    <t>Bírságok (közterület 3 000)</t>
  </si>
  <si>
    <t>Bérleti díj</t>
  </si>
  <si>
    <t>Működési támogatások, kiegészítések</t>
  </si>
  <si>
    <t>Normatíva és kötött felhasználású támogatás</t>
  </si>
  <si>
    <t>Egyes szociális feladatok támogatás</t>
  </si>
  <si>
    <t>Szociális továbbképzés és szakvizsga, ingyenes bölcsödei étkeztetés</t>
  </si>
  <si>
    <t>Felhalmozási és tőke jellegű bevétel</t>
  </si>
  <si>
    <t>Földterület értékesítés</t>
  </si>
  <si>
    <t>Egyéb ingatlanértékesítés</t>
  </si>
  <si>
    <t>Lakásértékesítés (részletek)</t>
  </si>
  <si>
    <t>Felhalmozási kamat bevétel</t>
  </si>
  <si>
    <t>Fejlesztési célú támogatások - központosított támogatások</t>
  </si>
  <si>
    <t xml:space="preserve"> - Felhalmozási célú pénzeszközátvétel</t>
  </si>
  <si>
    <t>-felhalmozásra</t>
  </si>
  <si>
    <t>- működésre</t>
  </si>
  <si>
    <t>-kötvényre</t>
  </si>
  <si>
    <t>Képződött pénzmaradvány</t>
  </si>
  <si>
    <t>Kötvénykibocsátás, hitelfelvétel</t>
  </si>
  <si>
    <t xml:space="preserve">Tata Város Önkormányzata és az általa irányított költségvetési szervek 2012. évi költségvetési kiadásai </t>
  </si>
  <si>
    <t>( kiemelt előirányzatok szerinti részletezésben ) E Ft-ban</t>
  </si>
  <si>
    <t>Kiadások</t>
  </si>
  <si>
    <t>Tata Város Közterület-felügyelte</t>
  </si>
  <si>
    <t>Munkaadót terhelő járulékok és szociális hozzájárulási adó</t>
  </si>
  <si>
    <t>Dologi és dologi jellegű kiadások</t>
  </si>
  <si>
    <t>Ebből kamatkiadások</t>
  </si>
  <si>
    <t>Egyéb működési kiadás</t>
  </si>
  <si>
    <t>Támogatás értékű működési kiadások és működési célú pénzeszköz átadás</t>
  </si>
  <si>
    <t>Beruházás ( ÁFA-val )</t>
  </si>
  <si>
    <t>Felújítás ( ÁFA-val )</t>
  </si>
  <si>
    <t>Felhalmozási támogatás értékű kiadás és pénzeszközátadás</t>
  </si>
  <si>
    <t>Működési céltartalék és a normatíva elszámolás miatti elkülönített céltartalék</t>
  </si>
  <si>
    <t>Felhalmozási céltartalék kötvénytartalékkal</t>
  </si>
  <si>
    <t>Felhalmozási céltartalék az IGH-hoz tarttozó intézmények beruházási és felújítási feladataira</t>
  </si>
  <si>
    <t>Tartalékolt beruházási kiadások</t>
  </si>
  <si>
    <t>Tartalékolt felújítási kiadások</t>
  </si>
  <si>
    <t>Tartalékolt támogatás értékű felhalmozási kiadások és felhalmozási célú pénzeszköz átadás</t>
  </si>
  <si>
    <t>Támogatási kölcsönök</t>
  </si>
  <si>
    <t>Kölcsön nyújtása lakáscélra:</t>
  </si>
  <si>
    <t xml:space="preserve"> - lakossági</t>
  </si>
  <si>
    <t xml:space="preserve"> - Tatai Városfejlesztő Kft-nek</t>
  </si>
  <si>
    <t xml:space="preserve"> - Víz-Zene-Virág Fesztivál Egyesület</t>
  </si>
  <si>
    <t xml:space="preserve"> - Tata Fénye-fürdő Kft. részére</t>
  </si>
  <si>
    <t>-Tatai Kenderke Néptáncegyesület</t>
  </si>
  <si>
    <t>-Tatai Távhőszolgáltató Kft.</t>
  </si>
  <si>
    <t>Garancia és kezességvállalás (TÁVHŐ és Városkapu)</t>
  </si>
  <si>
    <t>Működési</t>
  </si>
  <si>
    <t>Felhalmozási</t>
  </si>
  <si>
    <t>Hitel- és kötvénytörlesztés (fejlesztési célú)</t>
  </si>
  <si>
    <t>Hiteltörlesztés</t>
  </si>
  <si>
    <t>Kötvénytörlesztés</t>
  </si>
  <si>
    <t>-működési</t>
  </si>
  <si>
    <t>-felhalmozási</t>
  </si>
  <si>
    <t>Tata Város Önkormányzat 2012. évi költségvetési terve (szakfeladatok és kiemelt előirányzatok szerinti bontásban) ( E Ft-ban)</t>
  </si>
  <si>
    <t>E. Ft-ban</t>
  </si>
  <si>
    <t>Megnevezés</t>
  </si>
  <si>
    <t>Bevétel</t>
  </si>
  <si>
    <t>Kiadás</t>
  </si>
  <si>
    <t>Működési kiadások</t>
  </si>
  <si>
    <t>Felhalmozási kiadások</t>
  </si>
  <si>
    <t>Hiteltörl. Kölcsön</t>
  </si>
  <si>
    <t>Tartalékok</t>
  </si>
  <si>
    <t xml:space="preserve">Személyi juttatások </t>
  </si>
  <si>
    <t>M.adókat terh. jár.</t>
  </si>
  <si>
    <t xml:space="preserve">Dologi egyéb folyó </t>
  </si>
  <si>
    <t>Pénzeszk. Átadás</t>
  </si>
  <si>
    <t>Önk.által foly. ellátás</t>
  </si>
  <si>
    <t>020000</t>
  </si>
  <si>
    <t>Erdőgazdálkodás</t>
  </si>
  <si>
    <t>Víztermelés-kezelés ellátás</t>
  </si>
  <si>
    <t>Szennyvíz gyűjtése, tisztítása, elhelyezése</t>
  </si>
  <si>
    <t>Települési hulladék gyűjtése, szállítása</t>
  </si>
  <si>
    <t>Lakó- és nem lakóépület építése</t>
  </si>
  <si>
    <t>Út, autópálya építése</t>
  </si>
  <si>
    <t>Városi közúti személyszállítás</t>
  </si>
  <si>
    <t>Helyi utak fenntartása</t>
  </si>
  <si>
    <t>Könyvkiadás</t>
  </si>
  <si>
    <t>Egyéb kiadói tevékenység (lapkiadás)</t>
  </si>
  <si>
    <t>Lakóingatlan bérbeadása</t>
  </si>
  <si>
    <t>Nem lakóingatlan bérbeadása</t>
  </si>
  <si>
    <t>Állategészségügyi ellátás</t>
  </si>
  <si>
    <t>Zöldterület kezelés (parkfenntartás)</t>
  </si>
  <si>
    <t>Zöldterület kezelés (játszótér)</t>
  </si>
  <si>
    <t>Önkormányzati jogalkotás</t>
  </si>
  <si>
    <t>Önkormányzati jogalkotás (Pénzmaradvány)</t>
  </si>
  <si>
    <t>Adó, illeték kiszabása, beszedése, adóellenőrzés</t>
  </si>
  <si>
    <t>Önkormányzati vagyonnal való gazdálkodással kapcsolatos feladatok</t>
  </si>
  <si>
    <t>Nemzeti ünnepek programjai</t>
  </si>
  <si>
    <t>Kiemelt önkormányzati rendezvények (Minimarathon)</t>
  </si>
  <si>
    <t>Kiemelt önkormányzati rendezvények (Városi ünnepek)</t>
  </si>
  <si>
    <t xml:space="preserve">Kiemelt önkormányzati rendezvények </t>
  </si>
  <si>
    <t>Környezet- és természetvédelem helyi igazgatása és szabályozása</t>
  </si>
  <si>
    <t>Kis- és középvállalkozások támogatása</t>
  </si>
  <si>
    <t>Közvilágítás</t>
  </si>
  <si>
    <t>Város- és községgazdálkodás (Közbeszerzés)</t>
  </si>
  <si>
    <t>Város- és községgazdálkodás (VKG)</t>
  </si>
  <si>
    <t>Város- és községgazdálkodás (Építés- és területfejlesztés)</t>
  </si>
  <si>
    <t>Önkormányzatok elszámolása (normatíva)</t>
  </si>
  <si>
    <t>Központi költségvetési befizetések</t>
  </si>
  <si>
    <t>Finanszírozási műveletek</t>
  </si>
  <si>
    <t>Működési- és felhalmozási tartalék</t>
  </si>
  <si>
    <t>Önkormányzatok nemzetközi kapcsolatai "HUSK"</t>
  </si>
  <si>
    <t>Önkormányzatok nemzetközi kapcsolatai (Testvérvárosi feladatok)</t>
  </si>
  <si>
    <t>Önkormányzatok nemzetközi kapcsolatai (Intraktív generációk)</t>
  </si>
  <si>
    <t>Közterület rendjének fenntartása (Polgárőrség, Rendőrség)</t>
  </si>
  <si>
    <t>Tűzoltás, műszaki mentés, katasztrófa elhárítás (Polgári védelem)</t>
  </si>
  <si>
    <t>Lakosság felkészítése, tájékoztatás, riasztás</t>
  </si>
  <si>
    <t>Óvodai nevelés, ellátás</t>
  </si>
  <si>
    <t>Alapfokú oktatás intézményeinek támogatása</t>
  </si>
  <si>
    <t>Alapfokú oktatás (Tanulmányi ösztöndíjak)</t>
  </si>
  <si>
    <t>Sport, szabadidős képzés (Tanuszoda)</t>
  </si>
  <si>
    <t>Pedagógiai szakmai szolgáltatás</t>
  </si>
  <si>
    <t>Egészségügyi intézmények programjainak támogatása</t>
  </si>
  <si>
    <t>Járóbeteg ellátás, fogorvosi ellátás támogatása</t>
  </si>
  <si>
    <t>Bentlakásos szociális ellátások intézményi programjainak támogatása</t>
  </si>
  <si>
    <t>Bentlakás nélküli szociális ellátás támogatása</t>
  </si>
  <si>
    <t>Aktívkorúak ellátása</t>
  </si>
  <si>
    <t>Időskorúak járadéka</t>
  </si>
  <si>
    <t>Lakásfenntartási támogatás (normatív)</t>
  </si>
  <si>
    <t>Lakásfenntartási támogatás (helyi)</t>
  </si>
  <si>
    <t>Ápolási díj (alanyi jogon)</t>
  </si>
  <si>
    <t>Ápolási díj (méltányossági alapon)</t>
  </si>
  <si>
    <t>Rendszeres gyermekvédelmi pénzbeli ellátás</t>
  </si>
  <si>
    <t>Óvodáztatási támogatás</t>
  </si>
  <si>
    <t>Átmeneti segély</t>
  </si>
  <si>
    <t>Temetési segély</t>
  </si>
  <si>
    <t>Rendkívüli gyermekvédelmi ellátás</t>
  </si>
  <si>
    <t>Egyéb önkormányzati eseti ellátás (szociális ösztöndíj)</t>
  </si>
  <si>
    <t>Egyéb önkormányzati eseti pénbeni ellátások (életkezdési támogatás)</t>
  </si>
  <si>
    <t>Adósságkezelési szolgáltatás</t>
  </si>
  <si>
    <t>Közgyógyellátás</t>
  </si>
  <si>
    <t>Köztemetés</t>
  </si>
  <si>
    <t>Bölcsődei ellátás</t>
  </si>
  <si>
    <t>Jelzőrendszeres házi segítségnyújtás</t>
  </si>
  <si>
    <t>Támogató szolgáltatás</t>
  </si>
  <si>
    <t>Közösségi szolgáltatás</t>
  </si>
  <si>
    <t>Önkormányzat által nyújtott lakástámogatás</t>
  </si>
  <si>
    <t>Mozgáskorlátozottak közlekedési támogatása</t>
  </si>
  <si>
    <t>Önkormányzat ifjúsági kezdeményezések és programok (Gyermekbarát város)</t>
  </si>
  <si>
    <t>Rövid időtartamú közfoglalkoztatás</t>
  </si>
  <si>
    <t>Bérpótló juttatásra jogosultak hosszabb időtartamú közfoglalkoztatása</t>
  </si>
  <si>
    <t>Közművelődési tevékenységek és támogatásuk</t>
  </si>
  <si>
    <t>Utánpótlás-nevelési tevékenység támogatása (Sportiskola)</t>
  </si>
  <si>
    <t>Máshová nem sorolható egyéb sporttámogatás</t>
  </si>
  <si>
    <t>Szabadidős park, fürdő és strandszolgáltatás</t>
  </si>
  <si>
    <t>Közösségi társadalmi tevékenység (TDM)</t>
  </si>
  <si>
    <t>Köztemető fenntartás és működtetés</t>
  </si>
  <si>
    <t>Önkormányzati Hivatal 2012. évi költségvetési terve (szakfeladatok és kiemelt előirányzatok szerinti bontásban) ( E Ft-ban)</t>
  </si>
  <si>
    <t>552001</t>
  </si>
  <si>
    <t>Üdülői szálláshely szolgáltatás</t>
  </si>
  <si>
    <t>Kölcsönzés, lízing</t>
  </si>
  <si>
    <t>Adminisztratív kieg. szolgáltatás</t>
  </si>
  <si>
    <t>Önkormányzati jogalkotás ( képviselők)</t>
  </si>
  <si>
    <t>Önkormányzatok és társulások általános végrehajtó tevékenysége</t>
  </si>
  <si>
    <t>Önkormányzati vagyonnal való gazdálkodással kapcsolatos feladatok (saját ingatlan)</t>
  </si>
  <si>
    <t>Város- és községgazdálkodás</t>
  </si>
  <si>
    <t>Egyéb önk. Eseti ellátások (Gyámhivatal)</t>
  </si>
  <si>
    <t>Munkáltatók által nyújtott lakástámogatások</t>
  </si>
  <si>
    <t>Mód. (V..30.)</t>
  </si>
  <si>
    <t>Máshova nem sorolható személyi szolgáltatás (Anyakönyv)</t>
  </si>
  <si>
    <t>Tata Város Közterület-felügyelete 2012. évi költségvetési terve (szakfeladatok és kiemelt előirányzatok szerinti bontásban) ( E Ft-ban)</t>
  </si>
  <si>
    <t>Pénzeszk. átadás és kezesség váll.</t>
  </si>
  <si>
    <t>Közterület rendjének fenntartása (Közterület Felügyelet)</t>
  </si>
  <si>
    <t>Mód. (VIII.29.)</t>
  </si>
  <si>
    <t xml:space="preserve"> </t>
  </si>
  <si>
    <t>Intézmények Gazdasági Hivatalához tartozó önállóan működő intézmények 2012. évi költségvetése (E Ft-ban)</t>
  </si>
  <si>
    <t>Intézmények Gazdasági Hivatalához tartozó részben önálló intézmények 2012. évi költségvetése (E Ft-ban)</t>
  </si>
  <si>
    <t>Költségvetési alcím megnevezése</t>
  </si>
  <si>
    <t>Egyéb saját bevétel</t>
  </si>
  <si>
    <t>Egyéb saját bevételből ellátottak étkezési térítési díj bevétele</t>
  </si>
  <si>
    <t>ÁFA</t>
  </si>
  <si>
    <t>Kapott fenntartói kölcsön</t>
  </si>
  <si>
    <t>Átvett pénzeszközök</t>
  </si>
  <si>
    <t>Támogatásértékű bevétel</t>
  </si>
  <si>
    <t>Tárgyi eszköz, immat. javak értékesítése</t>
  </si>
  <si>
    <t>Pénzmaradvány</t>
  </si>
  <si>
    <t>Bevételek összesen</t>
  </si>
  <si>
    <t>Kiadások összesen</t>
  </si>
  <si>
    <t>működési célra</t>
  </si>
  <si>
    <t>felhalmozási célra</t>
  </si>
  <si>
    <t>pénzforalom nélküli</t>
  </si>
  <si>
    <t>előző évi átvétele</t>
  </si>
  <si>
    <t>M.adókat terhelő jár.</t>
  </si>
  <si>
    <t>Dologi</t>
  </si>
  <si>
    <t>Dologiból ellátottakra vonatkozó élelmiszer beszerzés és vásárolt élelmezés</t>
  </si>
  <si>
    <t>Pénzbeli juttatás</t>
  </si>
  <si>
    <t>Fentartótói Kölcsön visszafizeté</t>
  </si>
  <si>
    <t>össz</t>
  </si>
  <si>
    <t>2012.V.hó</t>
  </si>
  <si>
    <t>2012. évi beruházási kiadások feladatonként (ÁFA-val)</t>
  </si>
  <si>
    <t xml:space="preserve">E Ft-ban </t>
  </si>
  <si>
    <t>Pályázatok és azokhoz kapcsolódó feladatok</t>
  </si>
  <si>
    <t>Angolpark rehabilitációja KDOP-2.1.1/B-2f-2009-0002 610/2011.(XII.15.) Tata Kt. határozat</t>
  </si>
  <si>
    <t>Tatabánya-Vértesszőlős-Tata településeket összekötő közlekedési célú kerékpárút építése az Általér mentén KÖZOP–3.2.0/c-08-2010-0003 117/2010.(IV.28./) sz. határozat</t>
  </si>
  <si>
    <t>Gondoskodó kistérség – Szociális alapszolgáltatások minőségi fejlesztése a tatai kistérségben KDOP–5.2.2/A-09-2009-0006 116/2010. (IV.28.)</t>
  </si>
  <si>
    <t>Öreg-tavi Ökoturisztikai Központ kialakítása a csatlakozó kerékpárutak felújításával Tatán és a tematikus aktív turisztikai fejlesztések a kistérségben KDOP–2.1.1/B–09-2010-0002 448/2011. (IX. 29.) Tata Kt. határozat 573/2011. (XII.15.) Tata Kt. határozat</t>
  </si>
  <si>
    <t>Gondoskodó kistérség pályázat KDOP-2009-5.2.2/A - a pályázat elszámolásának technikai fedezetéül pénzmaradványból</t>
  </si>
  <si>
    <t>Új úti Bölcsőde kapacitásbővítése és minőségi fejlesztése KDOP-5.2.2/B-09-2009-0004 - a pályázat elszámolásának technikai fedezetéül pénzmaradványból</t>
  </si>
  <si>
    <t>Önkormányzati intézményekbe Napelemes rendszer telepítése KEOP – 4.2.0/A 86/2012. (III.29.) Tata Kt. határozat</t>
  </si>
  <si>
    <t>Kossuth tér városközpont értékmegőrző rehabilitációja KDOP–3.1.1/A–09-1f-2010-0001 156/2012. (IV.26.) Tata Kt. határozat, 295/2012. (VII. 27.) Tata Kt. határozat 4 699 E Ft kötvényből</t>
  </si>
  <si>
    <t>Kőkúti Ált. Iskolába multifunkcionális sportpálya építéséhez szükséges pályázati önerő 175/2012. (IV.26.) Tata Kt. határozat</t>
  </si>
  <si>
    <t>Képviselő-testületi határozattal elfogadott feladatok</t>
  </si>
  <si>
    <t>A 1880/3 hrsz.-ú és a 1880/6 hrsz.-ú ingatlanok (Piac tér) kisajátításához 100/2012.( III.29.) Tata Kt. határozat</t>
  </si>
  <si>
    <t>Kocsi úti Ipartelep szervizút közvilágításának kiépítése 161/2012. (IV.26.) Tata Kt. határozat</t>
  </si>
  <si>
    <t>1421/3 hrsz-ú ingatlan megvásárlása a THAC-tól 98/2012. (III.29.) Tata Kt. határozat</t>
  </si>
  <si>
    <t>Zsigmond u. 15. ingatlan vételárának II. részlete 108/2012. (III.29.) Tata Kt. határozat</t>
  </si>
  <si>
    <t>Almási u. 43. szám alatti ingatlanba külön víz- és villany mérési pontok kialakítása 226/2012. (V. 31.) Tata Kt. határozat</t>
  </si>
  <si>
    <t>Információval a határon át című HUSK/1001/2.5.2/0019 című pályázatra 249/2012. (VI. 28.) Tata Kt. határozat</t>
  </si>
  <si>
    <t>Tatai Fényes Fürdőn az üzemeleteési szerződés szerinti beruházási munkákra 251/2012. (VI. 28.) Tata Kt. határozat</t>
  </si>
  <si>
    <t>Újhegyi buszforduló kialakításához a 2155/27 hrsz.-ú ingatlanból 129 m2 nagyságú terület megvételéhez 252/2012. (VI. 28.) Tata Kt. határozat</t>
  </si>
  <si>
    <t>Természetes vizes élőhely kialakítása a tatai Réti 8-as tó  rehabilitációjával KEOP–7.3.1.2/09-11-2011-0023 296/2012. (VII. 27.) Tata Kt. határozat - kötvényforrásból</t>
  </si>
  <si>
    <t>Frankel Leo utcában található 2145/17 hrsz-ú ingatlan megvásárlása 299/2012. (VII. 27.) Tata Kt. határozat - kötvényből</t>
  </si>
  <si>
    <t>Egyéb 2012. évi igények</t>
  </si>
  <si>
    <t>Mentőállomásra ajtó, ajtócsere miatt megsérült burkolat cseréje</t>
  </si>
  <si>
    <t xml:space="preserve">10241/2 hrsz.-ú ingatlanból 18m2 nagyságú terület megvétele (Kollár Gyula és Kollár Rózsa) </t>
  </si>
  <si>
    <t>Digitális alaptérkép II. részlet</t>
  </si>
  <si>
    <t>Közvilágítási hálózat felmérés műszaki tanulmány terve</t>
  </si>
  <si>
    <t>Deák F. u. korszerűsítésének tervezési költségeire - Általános tartalékból</t>
  </si>
  <si>
    <t>Eszközök beszerzésére</t>
  </si>
  <si>
    <t>Vécsey u. 648/1 és 648 hrsz ingatlan vízbekötése</t>
  </si>
  <si>
    <t>Kisfaludy u. gyalogos- és kerékpárút terve</t>
  </si>
  <si>
    <t>Polgármesteri Hivatal</t>
  </si>
  <si>
    <t>Földvásárlás 1421 hrsz; 1403 hrsz; 1416 hrsz</t>
  </si>
  <si>
    <t>Műszerbeszerzésre</t>
  </si>
  <si>
    <t>Szociális Alapellátó Intézmény - gépkocsi, számítástechnikai eszközök, Deák Ferenc utcai épület útómunkálataira</t>
  </si>
  <si>
    <t>Geszti Óvoda</t>
  </si>
  <si>
    <t>Kőkúti Általános Iskola - TÁMOP-3.17-11/2 pályázat</t>
  </si>
  <si>
    <t>Vaszary J. Általános Iskola Jázmin úti Tagintézménye - Kazán beszerzés</t>
  </si>
  <si>
    <t>Intézmények Gazdasági Hivatala - számítógép beszerzés</t>
  </si>
  <si>
    <t>Móricz Zs. Városi Könyvtár - Számítógép beszerzés</t>
  </si>
  <si>
    <t>Mindösszesen</t>
  </si>
  <si>
    <t>2012. évi tartalékolt beruházási kiadások feladatonként (ÁFA-val)</t>
  </si>
  <si>
    <t>Angolpark projekthez kapcsolódóan Baji úti és Sport utcai útkorszerűsítés kivitelezése</t>
  </si>
  <si>
    <t>Angolpark projekt végrehajtásával kapcsolatban MNV Zrt. részére a Kiskastély vagyonkezelői jogával kapcsolatos óvadék fizetése</t>
  </si>
  <si>
    <t>Által-ér Völgyi kerékpárút projekthez kapcsolódóan belterületi közvilágítás bővítés II. ütem</t>
  </si>
  <si>
    <t>Kossuth tér városközpont értékmegőrző rehabilitációja KDOP–3.1.1/A–09-1f-2010-0001 277/2010. (VIII.18.) sz. határozat</t>
  </si>
  <si>
    <t>A Kossuth tér pályázathoz kapcsolódik (de nem része a pályázatnak) a Bláthy O. u. összekötő út építése</t>
  </si>
  <si>
    <t>Deák F. u. szélesítése KDOP-4.2.1/B-2011</t>
  </si>
  <si>
    <t xml:space="preserve">Települési vízrendezés fejlesztése Tatán, a József A. utcában KDOP – 4.1.1/E-2011. </t>
  </si>
  <si>
    <t>Víz, hulladék és megújuló energia rendszerek és technológiák fejlesztése, Újhegyi vízfolyás HUSK/1101/2.1.1</t>
  </si>
  <si>
    <t>Kőfaragó-ház fejlsztési projekt Turisztikai vonzerők felújítása, közös termékek és kapcsolódó desztináció-menedzsment szervek fejlesztése, infrastruktúra felállítása HUSK/1101/1.3.1</t>
  </si>
  <si>
    <t>Megújuló energia projekt, helyszín: Kőkúti Általános Iskola HUSK/1101/2.1.1</t>
  </si>
  <si>
    <t>Baji út és a kertváros kerékpáros forgalmának komplex rendezése KDOP-4.2.2-11</t>
  </si>
  <si>
    <t>Intermodális közösségi közlekedési központ létrehozása Tatán KÖZOP–5.5.0-09-11-2011-0010 239/2011.(V.25.) sz. határozat</t>
  </si>
  <si>
    <t>Médiával az együttműködésért HUSK</t>
  </si>
  <si>
    <t>Természetes vizes élőhely kialakítása a tatai Réti 8-as tó  rehabilitációjával KEOP–7.3.1.2/09-11-2011-0023</t>
  </si>
  <si>
    <t xml:space="preserve">Önkormányzati intézményekbe Napelemes rendszer telepítése KEOP – 4.2.0/A </t>
  </si>
  <si>
    <t>Fürdő u. 2. ingatlanra engedélyezési és kiviteli terv készítése 565/2011. (XII.1.) Tata Kt. határozat</t>
  </si>
  <si>
    <t>Fellner J. u. 2 ingatlan telekalakítási munkáira 545/2011. (XII.1.) Tata Kt. határozat</t>
  </si>
  <si>
    <t>Váralja u. 28. ingatlan vásárlása (546/2011. (XII.1.) Tata Kt.határozat</t>
  </si>
  <si>
    <t>Szerződéssel terhelt feladatok</t>
  </si>
  <si>
    <t>Zsigmond u. 15. ingatlan vételárának II. részlete</t>
  </si>
  <si>
    <t>Fényes fürdőn fejlesztések</t>
  </si>
  <si>
    <t>Piarista Rendházra felmérési tervdokumentáció készítése</t>
  </si>
  <si>
    <t>Pályázatok előkészítéséhez</t>
  </si>
  <si>
    <t>Szemere u.- Aradi u. csapadékvíz elvezetés</t>
  </si>
  <si>
    <t>Koltói u.- Környei u. csapadékvíz elvezetés</t>
  </si>
  <si>
    <t>Újhegyi úti vízfolyás rekonstrukció felső szakasz mederburkolás</t>
  </si>
  <si>
    <t>V-VI. dűlő vízelvezető burkolt árok készítés</t>
  </si>
  <si>
    <t xml:space="preserve">Nagy L.u- Tavasz u. vízelvezetés( nyitott árok)  </t>
  </si>
  <si>
    <t>Naszályi úti műtárgyak átépítése a Rügy utcánál</t>
  </si>
  <si>
    <t xml:space="preserve">Új úti átereszek átépítése </t>
  </si>
  <si>
    <t>Diófa utcai csapadék átvezetése a főút alatt</t>
  </si>
  <si>
    <t>Piac tér kiszolgáló út II. ütem</t>
  </si>
  <si>
    <t>Piac téri kisajátítás (1880/3 és 1880/ hrsz.)</t>
  </si>
  <si>
    <t>Kossuth tér 5. előtti gyalogos átkelő</t>
  </si>
  <si>
    <t>A Polgármesteri Hivatal Bláthy O. utcai közúti kapcsolatának és belső parkolójának tervezése</t>
  </si>
  <si>
    <t>Egyéb tervezések</t>
  </si>
  <si>
    <t>Beruházásokhoz kapcsolódó engedélyezési és hatósági díjak</t>
  </si>
  <si>
    <t>Tata, Agostyán Kert u. kisajátítás</t>
  </si>
  <si>
    <t>Újhegy VI. és VII. dűlőben kisajátítás, újhegyi buszfordulóhoz területszerzés</t>
  </si>
  <si>
    <t xml:space="preserve">THAC ingatlanvásárlás </t>
  </si>
  <si>
    <t>Számítástechnikai eszközök beszerzésére</t>
  </si>
  <si>
    <t>Polgármesteri Hivatalban az informatikai szoba átalakítása</t>
  </si>
  <si>
    <t>Erkel F. u. közvilágítás fejlesztése</t>
  </si>
  <si>
    <t>Gyalogos átkelők szabványosítása a Május 1 úton</t>
  </si>
  <si>
    <t>Kossuth tér kiváltási terv</t>
  </si>
  <si>
    <t>Közvilágítási hálózat felmérése, dokumentáció</t>
  </si>
  <si>
    <t>Kazánbeszerzés távhőrendszerhez (Spar bővítését, hiányzó alapteljesítményt biztosítja)</t>
  </si>
  <si>
    <t>Szelektív hulladékgyűjtő konténer csere</t>
  </si>
  <si>
    <t>Visszatérő forrásokkal kapcsolatos beruházási feladatok</t>
  </si>
  <si>
    <t>Energianövények telepítése 40 ha-on</t>
  </si>
  <si>
    <t>Zsidó iskola kútjának vízelvezetési munkái</t>
  </si>
  <si>
    <t>Közterület-felügyeletnek gépkocsi beszerzés</t>
  </si>
  <si>
    <t>2012. évi felújítási kiadások célonként (ÁFA-val)</t>
  </si>
  <si>
    <t>E Ft-ban</t>
  </si>
  <si>
    <t>Mód. ( V.30.)</t>
  </si>
  <si>
    <t>Önkormányzati bérlakások felújítása</t>
  </si>
  <si>
    <t>Eötvös Gimnázium felújítás tervei és pályázat előkészítés 342/2011. (VIII.9.) Tata Kt. határozat</t>
  </si>
  <si>
    <t>Művelődési Ház  felújítás tervei és pályázat előkészítés 342/2011. (VIII.9.) Tata Kt. határozat</t>
  </si>
  <si>
    <t>Szennyvíz csatorna közmű felújítása</t>
  </si>
  <si>
    <t>Balatonszepezdi 1400 hrsz-ú ingatlan felújítására 140/2012. (IV.26.) Tata Kt. határozat</t>
  </si>
  <si>
    <t>Rákóczi u. 9. szám alatti ingatlan raktárépület tetőszerkezetének felújítása 141/2012. (IV.26.) Tata Kt. határozat</t>
  </si>
  <si>
    <t>Eötvös József Gimnázium és Kollégium fűtési rendszerének felújítása 254/2012. (VI. 28.) Tata Kt. határozat</t>
  </si>
  <si>
    <t>Eötvös József Gimnázium sportcsarnokának tetőfelújítása 297/2012. (VII. 27.) Tata Kt. határozat</t>
  </si>
  <si>
    <t>Csillagsziget Bölcsőde</t>
  </si>
  <si>
    <t>Vaszary J- Általános Iskola - Tetőfelújítás, tornacsarnok tetőfelújítás</t>
  </si>
  <si>
    <t>2012. évi tartalékolt felújítási kiadások feladatonként (ÁFA-val)</t>
  </si>
  <si>
    <t>Vaszary Villa állagmegóvó munkáira 297/2010 (IX.1) sz. határozat</t>
  </si>
  <si>
    <t>Ady E. u. 15., Fenyő tér 1., Rákóczi u. 9. tetőjavítás 524/2011. (XII.1.) Tata Kt. határozat</t>
  </si>
  <si>
    <t>Fényes-fürdőn eszközök felújítása 528/2011 (XII.1.) Tata Kt. határozat</t>
  </si>
  <si>
    <t>Önkormányzati nem lakáscélú helységek felújítása</t>
  </si>
  <si>
    <t>Rákóczi u. 9. felújítása</t>
  </si>
  <si>
    <t>Fürdő u. 2. ingatlanon az életveszély elhárítására vonatkozó munkálatok</t>
  </si>
  <si>
    <t>Sport u. 34. ingatlanban művészettörténeti kutatás</t>
  </si>
  <si>
    <t>Játszóterek felújítás (bekerítés, új eszközök)</t>
  </si>
  <si>
    <t>Fáklya úti öltöző - WC blokk cseréje</t>
  </si>
  <si>
    <t>Fényes-fürdőn katonai medence felújítása</t>
  </si>
  <si>
    <t>Ravatalozó felújítása a Kocsi úti temetőben</t>
  </si>
  <si>
    <t>Ravatalozó előtér Környei úti temetőben</t>
  </si>
  <si>
    <t>Tata Város Önkormányzata által folyósított 2012. évi ellátások alakulásának részletezése</t>
  </si>
  <si>
    <t>(E Ft-ban)</t>
  </si>
  <si>
    <t>Lehívható központi támogatás Eredeti</t>
  </si>
  <si>
    <t>Lehívható központi támogatás Mód. (V.30.)</t>
  </si>
  <si>
    <t>Lehívható központi támogatás Mód. (VIII.30.)</t>
  </si>
  <si>
    <t>Foglalkoztatást helyettesítő támogatás</t>
  </si>
  <si>
    <t>Tartósan munkanélküliek rendszeres szociális segélye</t>
  </si>
  <si>
    <t>Rendszeres szociális segély (egészségkárosodottak részére)</t>
  </si>
  <si>
    <t>Lakásfenntartási támogatás (helyi megállapítás)</t>
  </si>
  <si>
    <t>Adósságkezelési szolgáltatással kapcsolatos támogatás</t>
  </si>
  <si>
    <t>Ápolási díj (normatív)</t>
  </si>
  <si>
    <t>Ápolási díj (helyi megállapítás)</t>
  </si>
  <si>
    <t>Rendszeres gyermekvédelmi támogatás (normatív)</t>
  </si>
  <si>
    <t>Rendkívüli gyermekvédelmi támogatás (helyi megállapítás)</t>
  </si>
  <si>
    <t>Tatai fiatalok életkezdési támogatásához</t>
  </si>
  <si>
    <t>Közlekedési támogatás tanulóknak</t>
  </si>
  <si>
    <t>Gyermektartásdíj megelőlegezése</t>
  </si>
  <si>
    <t>Lakáshitel törlesztések támogatása</t>
  </si>
  <si>
    <t>Otthonteremtési támogatás</t>
  </si>
  <si>
    <t>Tanulóbérlet</t>
  </si>
  <si>
    <t>Rászorultságtól függő pénzbeli szociális, gyermekvédelmi ellátások összesen</t>
  </si>
  <si>
    <t>Önkormányzati saját hatáskörben adott természetbeni ellátás (HPV védőoltás)</t>
  </si>
  <si>
    <t>Természetben nyújtott átmeneti segély</t>
  </si>
  <si>
    <t>Természetben nyújtott ellátások összesen</t>
  </si>
  <si>
    <t>Önkormányzatok által folyósított szociális, gyermekvédelmi ellátások összesen:</t>
  </si>
  <si>
    <t xml:space="preserve">Ápolási díj járulék 24 % </t>
  </si>
  <si>
    <t xml:space="preserve"> - normatív</t>
  </si>
  <si>
    <t xml:space="preserve"> - méltányosság </t>
  </si>
  <si>
    <t>Tata Város Polgármesteri Hivatala által folyósított 2012. évi ellátások alakulásának részletezése</t>
  </si>
  <si>
    <t>Pénzeszközátadások, támogatások 2012. évi előirányzata (E Ft-ban)</t>
  </si>
  <si>
    <t>Működési célú pénzeszközátadások és támogatások az Önkormányzatnál:</t>
  </si>
  <si>
    <t>Tatai Városgazda Nonprofit Kft.-nek bérre és működésre</t>
  </si>
  <si>
    <t>Tatai Városgazda Nonprofit Kft.-nek a Kuny Domokos Múzeum zöldfelületeinek gondozása</t>
  </si>
  <si>
    <t>Tatai Városkapu Nonprofit Zrt. támogatása közhasznú megállapodás és egyéb megállapodás alapján</t>
  </si>
  <si>
    <t>Tatai Városkapu Zrt. vezérigazgatójának 2012. évi prémiumfeladataira</t>
  </si>
  <si>
    <t>Tatai Televízió Közalapítvány támogatása</t>
  </si>
  <si>
    <t>Árpád-házi Szent Erzsébet Szakkórház és Rendelőintézet bérkompenzáció címén támogatás</t>
  </si>
  <si>
    <t>TAC-nak pénzeszközátadás 1421/3 hrsz-ú ingatlan vásárlás miatt</t>
  </si>
  <si>
    <t>TDM szervezet működtetésére 270/2009. (VIII.12.)</t>
  </si>
  <si>
    <t>Juniorka alapítványi Óvoda támogatása a közoktatási megállapodás alapján</t>
  </si>
  <si>
    <t>Juniorka alapítványi Bölcsőde támogatása a közoktatási megállapodás alapján</t>
  </si>
  <si>
    <t>Bursa Hungarica és Mecénás Közalapítvány támogatása 444/2011. (IX.29.) Tata Kt. határozat</t>
  </si>
  <si>
    <t>Kenderke Néptánc Egyesület</t>
  </si>
  <si>
    <t>Concerto Nonprofit Kft.alapfokú művészetoktatási támogatása</t>
  </si>
  <si>
    <t>Oktatási és kulturális alap</t>
  </si>
  <si>
    <t>Szociális, Egészségvédelmi  és Sportalap</t>
  </si>
  <si>
    <t>Környezetvédelmi alap</t>
  </si>
  <si>
    <t>Kőkúti Sasok Diáksport Egyesület támogatása</t>
  </si>
  <si>
    <t>Magyar Máltai Szeretetszolgálat Tatai Csoportjának</t>
  </si>
  <si>
    <t>Magyar Vöröskereszt Tatai Szervezetének</t>
  </si>
  <si>
    <t>Háziorvosok támogatása</t>
  </si>
  <si>
    <t>5. sz. fogászati alapellátási körzet helyettesítésére</t>
  </si>
  <si>
    <t>HU-SK 09/01 projekt támogatás visszafizetés</t>
  </si>
  <si>
    <t>TAC áthúzódó támogatása 309/2011 (VI.29.) 511/2011 (XI.16.) 222/2012. (V.31.) 265/2012. (VI.28.) Tata Kt. határozatok</t>
  </si>
  <si>
    <t>Polgárőrségnek</t>
  </si>
  <si>
    <t>Tatai Távhő Kft. veszteségének rendezésére</t>
  </si>
  <si>
    <t>Hódy Sport Egyesületnek</t>
  </si>
  <si>
    <t>Vívó SE</t>
  </si>
  <si>
    <t>Tatai Sport Egyesületnek</t>
  </si>
  <si>
    <t>Közép-Duna Vidéke Hulladékgazdálkodási Önkormányzati Társulás tagdíja</t>
  </si>
  <si>
    <t>Hajnalcsillag Református Óvoda támogatása (jubileumi jutalmakra)</t>
  </si>
  <si>
    <t>Bliss Alapítvány támogatása</t>
  </si>
  <si>
    <t>Csángó Kulturális Egyesületnek, kötelezettségvállalással terhelt, 2011. évi támogatás</t>
  </si>
  <si>
    <t>Víz, Zene, Virág Fesztivál Egyesület támogatása</t>
  </si>
  <si>
    <t>Rendőrségnek</t>
  </si>
  <si>
    <t>Általános tartalékból:</t>
  </si>
  <si>
    <t>Városi Nyugdíjasklub támogatása</t>
  </si>
  <si>
    <t>Agostyáni Kulturális Egyesület támogatása</t>
  </si>
  <si>
    <t>Mozgáskorlátozottak Egyesületének Sorstársak Klub működéséhez</t>
  </si>
  <si>
    <t>KEM Sportszövetség internetes kiadvány működéséhez</t>
  </si>
  <si>
    <t>Szomódi Fogathajtó Versenyhez</t>
  </si>
  <si>
    <t>Lengyel Nemzetiségi Önkormányzatnak</t>
  </si>
  <si>
    <t>Pusztinai Házért Egyesületnek</t>
  </si>
  <si>
    <t>Tata Tóvárosi Sportegyesület - Tatai Regatta megrendezéséhez</t>
  </si>
  <si>
    <t>Magyar Vöröskeresztnek</t>
  </si>
  <si>
    <t>TAC-nak Hernádi László versenyzéséhez</t>
  </si>
  <si>
    <t>Magyar Zsidó Hitközségnek - temető kerítésének javítása</t>
  </si>
  <si>
    <t>Történelmi Igazságtételi Bizottságnak a 2012. évi ünnepségeken való részvétel költségeire</t>
  </si>
  <si>
    <t>Eötvös J. Gimnáziumnak a Mezei futó Világbajnokságon való részvételre</t>
  </si>
  <si>
    <t>KEM Kézilabda Szövetségnek a kézilabda utánpótlás találkozó költségeire</t>
  </si>
  <si>
    <t>Összesen:</t>
  </si>
  <si>
    <t>Felhalmozási célú pénzeszközátadások és támogatások az Önkormányzatnál:</t>
  </si>
  <si>
    <t>Vissza nem térítendő kamatmentes támogatás</t>
  </si>
  <si>
    <t>Értékvédelmi alap ÖR 19/2011 (V.30.)</t>
  </si>
  <si>
    <t>Városkapu Zrt-nek a Kőkúti Általános Iskola multifunkciónális sportpálya létesítésével kapcsolatos támogatás</t>
  </si>
  <si>
    <t>Eötvös J. Gimnázium dísztermének felújításához 197/2012. (V.31.) Tata Kt. határozata</t>
  </si>
  <si>
    <t>TAC támogatás 221/2012. (V.31.) Tata Kt. határozata</t>
  </si>
  <si>
    <t>Tatai Kistérségi Többcélú Társulásnak a Fényes fasori Idősek Otthona bővítéséhez</t>
  </si>
  <si>
    <t>Panel Programra 231/2008 (VIII.28.), 346/2009 (IX.30.), 498/2009 (XII.22.)</t>
  </si>
  <si>
    <t>ZBR pályázatra</t>
  </si>
  <si>
    <t>Közlekedésbiztonsági pályázat – tervezések önrész útpénztárnak</t>
  </si>
  <si>
    <t>Közlekedésbiztonsági pályázat – kisköltségű beavatkozás kivitelezés, önrész útpénztárnak</t>
  </si>
  <si>
    <t>Vértes Volán Zrt. részére szerződés alapján   (353/2010.(XI.24.) határozat</t>
  </si>
  <si>
    <t>Agostyáni templom felújítására</t>
  </si>
  <si>
    <t>Lakossági közműfejlesztés</t>
  </si>
  <si>
    <t>Pénzeszközátadások, támogatások 2012. évi tartalékolt előirányzata (E Ft-ban)</t>
  </si>
  <si>
    <t>Öko programra 230/2008 (VIII.28.), 346/2009 (IX.30.), 109/2010 (XII.15.)</t>
  </si>
  <si>
    <t>NEP pályázatra 14/2008 (III.28.)</t>
  </si>
  <si>
    <t>Városkapu Zrt. Kossuth tér városközpont értékmegőrző rehabilitációja című pályázat konzorciumi partneri önereje</t>
  </si>
  <si>
    <t>Tata Város Önkormányzatának</t>
  </si>
  <si>
    <t>támogatásértékű bevételei és államháztartáson kívülről átvett pénzeszközeinek</t>
  </si>
  <si>
    <t>2012. évi alakulása (E Ft-ban)</t>
  </si>
  <si>
    <t>Munkaügyi Központtól közfoglalkoztatásra</t>
  </si>
  <si>
    <t>Támogatószolgáltatás</t>
  </si>
  <si>
    <t>Közösségi ellátás</t>
  </si>
  <si>
    <t>Tardos Önkormányzattól általános iskola működésére</t>
  </si>
  <si>
    <t>Rendszeres gyermekvédelmi támogatás</t>
  </si>
  <si>
    <t>Támogatás értékű felhalmozási célú bevételek</t>
  </si>
  <si>
    <t>Intézmények energiaracionalizálása KEOP-5.1.0-2008-0037</t>
  </si>
  <si>
    <t>Új u.-i Bölcsőde bővítése projekt KDOP-5.2.2/B-09-2009-0004</t>
  </si>
  <si>
    <t>Angolpark rehabilitációja KDOP-2.1.1/B-2f-2009-0002</t>
  </si>
  <si>
    <t>Gondoskodó Kistérség KDOP-5.2.2/A-09-2009-0006</t>
  </si>
  <si>
    <t>Tatabánya-Vértesszőlős-Tata településeket összekötő közlekedési célú kerékpárút építése az Általér mentén KÖZOP–3.2.0/c-08-2010-0003</t>
  </si>
  <si>
    <t>Öreg-tavi Ökoturisztikai Központ kialakítása a csatlakozó kerékpárutak felújításával Tatán és a tematikus aktív turisztikai fejlesztések a kistérségben KDOP–2.1.1/B–09-2010-0002</t>
  </si>
  <si>
    <t>TIOP-1.1.1-07/1-2008-12525 Informatikia infrastuktúra fejlesztés</t>
  </si>
  <si>
    <t>Működési célra átvett pénzeszközök államháztartáson kívülről</t>
  </si>
  <si>
    <t>HU-SK 0901/1.7.1/0074 Testvérvárosi pályázat</t>
  </si>
  <si>
    <t>Talentum Angol-Magyar Két Tanítási Nyelvű Általános Iskola, Gimnázium és Művészeti Szakiskolától a fűtésmegtakarításból származó összeg átadása</t>
  </si>
  <si>
    <t>285/2012.(VI.28.)Tata Kt.hat. 2012.évi városi kitüntestéshez járó pénzjutalom</t>
  </si>
  <si>
    <t>Felhalmozási célra átvett pénzeszközök államháztartáson kívülről</t>
  </si>
  <si>
    <t>Befejezett viziközmű társulatoktól átvett</t>
  </si>
  <si>
    <t>Magnum Kft-től Városfejlesztési megállapodás alapján</t>
  </si>
  <si>
    <t>Tata Város Önkormányzat</t>
  </si>
  <si>
    <t>tartalékolt felhalmozási kiadásokhoz kapcsolódó támogatásértékű bevételeinek</t>
  </si>
  <si>
    <t>Kossuth tér városközpont értékmegőrző rehabilitációja KDOP–3.1.1/A–09-1f-2010-0001</t>
  </si>
  <si>
    <t xml:space="preserve">Baji út és a kertváros kerékpáros forgalmának komplex rendezése </t>
  </si>
  <si>
    <t>Intermodális közösségi közlekedési központ létrehozása Tatán KÖZOP–5.5.0-09-11-2011-0010</t>
  </si>
  <si>
    <t>Önkormányzati Hivatalának</t>
  </si>
  <si>
    <t>Tatai Kistérségi Többcélú Társulástól</t>
  </si>
  <si>
    <t>Önkormányzati költségvetési szervek engedélyezett létszáma</t>
  </si>
  <si>
    <t>Költségvetési szervek megnevezése</t>
  </si>
  <si>
    <t>Engedélyezett álláshelyekszám (fő)</t>
  </si>
  <si>
    <t>Fürdő utcai Óvoda</t>
  </si>
  <si>
    <t>Szivárvány Óvoda</t>
  </si>
  <si>
    <t>Bartók B. úti Óvoda</t>
  </si>
  <si>
    <t>Kertvárosi Óvoda</t>
  </si>
  <si>
    <t>Kincseskert Óvoda</t>
  </si>
  <si>
    <t>Bergengócia Óvoda</t>
  </si>
  <si>
    <t>Kőkúti Általános Iskola</t>
  </si>
  <si>
    <t>Fazekas u. Tagintézmény</t>
  </si>
  <si>
    <t>Vaszary János Általános Iskola</t>
  </si>
  <si>
    <t>Vaszary János Általános Iskola - Jázmin tagintézmény</t>
  </si>
  <si>
    <t>Vaszary János Általános Iskola - Tardos tagintézmény</t>
  </si>
  <si>
    <t>Menner B. Zeneiskola</t>
  </si>
  <si>
    <t>Móricz Zsigmond Könyvtár</t>
  </si>
  <si>
    <t>Szociális Alapellátó Intézmény</t>
  </si>
  <si>
    <t xml:space="preserve">Intézmények Gazdasági Hivatala </t>
  </si>
  <si>
    <t>Intézmények Gazdasági Hivatala összesen</t>
  </si>
  <si>
    <t>Városi Önkormányzat Intézmények összesen:</t>
  </si>
  <si>
    <t>Önkormányzati Hivatal:</t>
  </si>
  <si>
    <t xml:space="preserve"> - köztisztviselők, ügyintézők</t>
  </si>
  <si>
    <t xml:space="preserve"> - választott tisztségviselő</t>
  </si>
  <si>
    <t>Önkormányzati Hivatal összesen:</t>
  </si>
  <si>
    <t xml:space="preserve"> - Közterület-felügyelet (önállóan működő)</t>
  </si>
  <si>
    <t>Közterület-felügyelet összesen:</t>
  </si>
  <si>
    <t>Önkormányzati közfoglalkoztatottak éves létszám-erőirányzata</t>
  </si>
  <si>
    <t>Eredeti átlag létszám</t>
  </si>
  <si>
    <t>Átlag létszám Mód. (V.30.)</t>
  </si>
  <si>
    <t>Átlag létszám Mód. (VIII.30.)</t>
  </si>
  <si>
    <t>Hosszabb időtartamú közfogalalkoztatás</t>
  </si>
  <si>
    <t xml:space="preserve">Hitel igénybevételének felhalmozási célonkénti részletezése E Ft-ban </t>
  </si>
  <si>
    <t>Kiadás Eredeti</t>
  </si>
  <si>
    <t>Kiadás Mód. (V.30.)</t>
  </si>
  <si>
    <t>Kiadás Mód. (VIII.30.)</t>
  </si>
  <si>
    <t>A felhalmozási kiadások forrásai</t>
  </si>
  <si>
    <t>Hiány finanszírozására hitelfelvétel összege Eredeti</t>
  </si>
  <si>
    <t>Hiány finanszírozására hitelfelvétel összege Mód. (V.30.)</t>
  </si>
  <si>
    <t>Hiány finanszírozására hitelfelvétel összege Mód. (VIII.30.)</t>
  </si>
  <si>
    <t>Támogatás értékű felhalmozási célú bevétel Eredeti</t>
  </si>
  <si>
    <t>Támogatás értékű felhalmozási célú bevétel Mód. (V.30.)</t>
  </si>
  <si>
    <t>Támogatás értékű felhalmozási célú bevétel Mód. (VIII.30.)</t>
  </si>
  <si>
    <t>Hiány Eredeti</t>
  </si>
  <si>
    <t>Hiány Mód. (V.30.)</t>
  </si>
  <si>
    <t>Hiány Mód. (VIII.30.)</t>
  </si>
  <si>
    <t>BERUHÁZÁSI FELADATOK ÖSSZESEN</t>
  </si>
  <si>
    <t>Egyéb tevezések</t>
  </si>
  <si>
    <t>FELÚJÍTÁSI FELADATOK ÖSSZESEN</t>
  </si>
  <si>
    <t>FELHALMOZÁSI CÉLÚ PÉNZESZKÖZÁTADÁSOK ÉS TÁMOGATÁSOK ÖSSZESEN</t>
  </si>
  <si>
    <t>MINDÖSSZESEN</t>
  </si>
  <si>
    <t xml:space="preserve"> Kötvénykibocsátásból rendelkezésre álló fejlesztési forrás felhasználás (E Ft-ban)</t>
  </si>
  <si>
    <t>2012. év</t>
  </si>
  <si>
    <t>2008. évben kibocsátott kötvény</t>
  </si>
  <si>
    <t>Kötvénykibocsátásból bevétel:</t>
  </si>
  <si>
    <t xml:space="preserve">Előző évi pénzmaradvány </t>
  </si>
  <si>
    <t>Pénzügyi befektetés kamata (kötvény)</t>
  </si>
  <si>
    <t>Támogatásértékű felhalmozási célú bevételek:</t>
  </si>
  <si>
    <t xml:space="preserve"> - Gondoskodó Kistérség KDOP-5.2.2/A-09-2009-0006</t>
  </si>
  <si>
    <t xml:space="preserve"> - Intézmények energiaracionalizálása KEOP-5.1.0-2008-0037</t>
  </si>
  <si>
    <t xml:space="preserve"> - Új úti Bölcsőde bővítése projekt KDOP-5.2.2/B-09-2009-0004</t>
  </si>
  <si>
    <t>Bevételek összesen:</t>
  </si>
  <si>
    <t>Kötvénykibocsátásból tervezett kiadások</t>
  </si>
  <si>
    <t>Kötvény után fizetendő kamat (57.068 E Ft összeg része)</t>
  </si>
  <si>
    <t>Megbízási szerződés szerint fizetendő díj (Budapest Priv-Invest Kft-nek)</t>
  </si>
  <si>
    <t>Beruházási hitel és kötvény törlesztés</t>
  </si>
  <si>
    <t>Beruházási feladatok:</t>
  </si>
  <si>
    <t>„Tata,Kossuth tér városközpont értékmegőrző rehabilitációja pályázat önereje 295/2012.(VII.27.)hat.</t>
  </si>
  <si>
    <t xml:space="preserve">A „tatai Réti 8-as sz. halastó természetes vízi élőhely rehabilitációja pályázat önereje 296/2012.(VII.27.) </t>
  </si>
  <si>
    <t>Tata,Frankel Leo utcában a 2145/17.hrsz-ú 155 m2 nagyságú ingatlan megvásárlásához 299/2012.(VII.27)</t>
  </si>
  <si>
    <t>Felhasználás összege a 2012. évi költségvetésben:</t>
  </si>
  <si>
    <t>Kötvényforrás tartaléka: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</si>
</sst>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@"/>
    <numFmt numFmtId="167" formatCode="#,##0;\-#,##0"/>
    <numFmt numFmtId="168" formatCode="0"/>
    <numFmt numFmtId="169" formatCode="0.00"/>
    <numFmt numFmtId="170" formatCode="0.0"/>
  </numFmts>
  <fonts count="39">
    <font>
      <sz val="10"/>
      <name val="Arial CE"/>
      <family val="2"/>
    </font>
    <font>
      <sz val="10"/>
      <name val="Arial"/>
      <family val="0"/>
    </font>
    <font>
      <sz val="10"/>
      <name val="MS Sans Serif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i/>
      <sz val="11"/>
      <name val="Times New Roman CE"/>
      <family val="1"/>
    </font>
    <font>
      <b/>
      <u val="single"/>
      <sz val="11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0"/>
      <name val="Times New Roman"/>
      <family val="1"/>
    </font>
    <font>
      <b/>
      <i/>
      <sz val="10"/>
      <name val="Times New Roman CE"/>
      <family val="1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9"/>
      <name val="Times New Roman CE"/>
      <family val="1"/>
    </font>
    <font>
      <b/>
      <i/>
      <sz val="9"/>
      <name val="Times New Roman CE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b/>
      <u val="single"/>
      <sz val="10"/>
      <name val="Arial"/>
      <family val="2"/>
    </font>
    <font>
      <b/>
      <sz val="12"/>
      <name val="Times New Roman CE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</cellStyleXfs>
  <cellXfs count="754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0" fillId="0" borderId="0" xfId="0" applyFont="1" applyAlignment="1">
      <alignment/>
    </xf>
    <xf numFmtId="164" fontId="3" fillId="0" borderId="1" xfId="0" applyFont="1" applyBorder="1" applyAlignment="1">
      <alignment/>
    </xf>
    <xf numFmtId="165" fontId="3" fillId="0" borderId="1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165" fontId="3" fillId="0" borderId="0" xfId="0" applyNumberFormat="1" applyFont="1" applyAlignment="1">
      <alignment/>
    </xf>
    <xf numFmtId="164" fontId="4" fillId="0" borderId="2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4" fillId="0" borderId="3" xfId="0" applyFont="1" applyBorder="1" applyAlignment="1">
      <alignment horizontal="center"/>
    </xf>
    <xf numFmtId="164" fontId="4" fillId="0" borderId="4" xfId="0" applyFont="1" applyBorder="1" applyAlignment="1">
      <alignment horizontal="center"/>
    </xf>
    <xf numFmtId="164" fontId="4" fillId="0" borderId="5" xfId="0" applyFont="1" applyBorder="1" applyAlignment="1">
      <alignment horizontal="center" vertical="center" wrapText="1"/>
    </xf>
    <xf numFmtId="164" fontId="4" fillId="0" borderId="6" xfId="0" applyFont="1" applyBorder="1" applyAlignment="1">
      <alignment horizontal="center" vertical="center" wrapText="1"/>
    </xf>
    <xf numFmtId="164" fontId="4" fillId="0" borderId="7" xfId="0" applyFont="1" applyBorder="1" applyAlignment="1">
      <alignment horizontal="center" vertical="center" wrapText="1"/>
    </xf>
    <xf numFmtId="164" fontId="4" fillId="0" borderId="8" xfId="0" applyFont="1" applyBorder="1" applyAlignment="1">
      <alignment horizontal="center"/>
    </xf>
    <xf numFmtId="164" fontId="4" fillId="0" borderId="6" xfId="0" applyFont="1" applyBorder="1" applyAlignment="1">
      <alignment horizontal="center"/>
    </xf>
    <xf numFmtId="164" fontId="4" fillId="0" borderId="9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4" fillId="0" borderId="10" xfId="0" applyFont="1" applyBorder="1" applyAlignment="1">
      <alignment/>
    </xf>
    <xf numFmtId="164" fontId="4" fillId="0" borderId="11" xfId="0" applyFont="1" applyBorder="1" applyAlignment="1">
      <alignment/>
    </xf>
    <xf numFmtId="165" fontId="4" fillId="0" borderId="11" xfId="0" applyNumberFormat="1" applyFont="1" applyBorder="1" applyAlignment="1">
      <alignment/>
    </xf>
    <xf numFmtId="165" fontId="4" fillId="0" borderId="12" xfId="0" applyNumberFormat="1" applyFont="1" applyBorder="1" applyAlignment="1">
      <alignment/>
    </xf>
    <xf numFmtId="165" fontId="4" fillId="0" borderId="13" xfId="0" applyNumberFormat="1" applyFont="1" applyBorder="1" applyAlignment="1">
      <alignment/>
    </xf>
    <xf numFmtId="164" fontId="3" fillId="0" borderId="11" xfId="0" applyFont="1" applyBorder="1" applyAlignment="1">
      <alignment/>
    </xf>
    <xf numFmtId="165" fontId="4" fillId="0" borderId="11" xfId="0" applyNumberFormat="1" applyFont="1" applyBorder="1" applyAlignment="1">
      <alignment/>
    </xf>
    <xf numFmtId="165" fontId="4" fillId="0" borderId="12" xfId="0" applyNumberFormat="1" applyFont="1" applyBorder="1" applyAlignment="1">
      <alignment/>
    </xf>
    <xf numFmtId="165" fontId="4" fillId="0" borderId="13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0" borderId="12" xfId="0" applyNumberFormat="1" applyFont="1" applyBorder="1" applyAlignment="1">
      <alignment/>
    </xf>
    <xf numFmtId="165" fontId="3" fillId="0" borderId="13" xfId="0" applyNumberFormat="1" applyFont="1" applyBorder="1" applyAlignment="1">
      <alignment/>
    </xf>
    <xf numFmtId="164" fontId="4" fillId="0" borderId="14" xfId="0" applyFont="1" applyBorder="1" applyAlignment="1">
      <alignment/>
    </xf>
    <xf numFmtId="164" fontId="4" fillId="0" borderId="15" xfId="0" applyFont="1" applyBorder="1" applyAlignment="1">
      <alignment/>
    </xf>
    <xf numFmtId="165" fontId="4" fillId="0" borderId="15" xfId="0" applyNumberFormat="1" applyFont="1" applyBorder="1" applyAlignment="1">
      <alignment/>
    </xf>
    <xf numFmtId="165" fontId="3" fillId="0" borderId="15" xfId="0" applyNumberFormat="1" applyFont="1" applyBorder="1" applyAlignment="1">
      <alignment/>
    </xf>
    <xf numFmtId="165" fontId="3" fillId="0" borderId="16" xfId="0" applyNumberFormat="1" applyFont="1" applyBorder="1" applyAlignment="1">
      <alignment/>
    </xf>
    <xf numFmtId="165" fontId="3" fillId="0" borderId="17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166" fontId="3" fillId="0" borderId="15" xfId="0" applyNumberFormat="1" applyFont="1" applyBorder="1" applyAlignment="1">
      <alignment/>
    </xf>
    <xf numFmtId="165" fontId="3" fillId="0" borderId="15" xfId="0" applyNumberFormat="1" applyFont="1" applyBorder="1" applyAlignment="1">
      <alignment/>
    </xf>
    <xf numFmtId="165" fontId="3" fillId="0" borderId="16" xfId="0" applyNumberFormat="1" applyFont="1" applyBorder="1" applyAlignment="1">
      <alignment/>
    </xf>
    <xf numFmtId="165" fontId="3" fillId="0" borderId="17" xfId="0" applyNumberFormat="1" applyFont="1" applyBorder="1" applyAlignment="1">
      <alignment/>
    </xf>
    <xf numFmtId="164" fontId="3" fillId="0" borderId="15" xfId="0" applyFont="1" applyBorder="1" applyAlignment="1">
      <alignment/>
    </xf>
    <xf numFmtId="165" fontId="4" fillId="0" borderId="15" xfId="0" applyNumberFormat="1" applyFont="1" applyBorder="1" applyAlignment="1">
      <alignment/>
    </xf>
    <xf numFmtId="165" fontId="4" fillId="0" borderId="16" xfId="0" applyNumberFormat="1" applyFont="1" applyBorder="1" applyAlignment="1">
      <alignment/>
    </xf>
    <xf numFmtId="165" fontId="4" fillId="0" borderId="17" xfId="0" applyNumberFormat="1" applyFont="1" applyBorder="1" applyAlignment="1">
      <alignment/>
    </xf>
    <xf numFmtId="164" fontId="4" fillId="0" borderId="14" xfId="0" applyFont="1" applyBorder="1" applyAlignment="1">
      <alignment/>
    </xf>
    <xf numFmtId="164" fontId="3" fillId="0" borderId="15" xfId="0" applyFont="1" applyBorder="1" applyAlignment="1">
      <alignment wrapText="1"/>
    </xf>
    <xf numFmtId="164" fontId="3" fillId="0" borderId="15" xfId="0" applyFont="1" applyBorder="1" applyAlignment="1">
      <alignment/>
    </xf>
    <xf numFmtId="164" fontId="3" fillId="0" borderId="14" xfId="0" applyFont="1" applyBorder="1" applyAlignment="1">
      <alignment/>
    </xf>
    <xf numFmtId="164" fontId="3" fillId="0" borderId="14" xfId="0" applyFont="1" applyBorder="1" applyAlignment="1">
      <alignment/>
    </xf>
    <xf numFmtId="164" fontId="4" fillId="0" borderId="15" xfId="0" applyFont="1" applyBorder="1" applyAlignment="1">
      <alignment/>
    </xf>
    <xf numFmtId="165" fontId="4" fillId="0" borderId="16" xfId="0" applyNumberFormat="1" applyFont="1" applyBorder="1" applyAlignment="1">
      <alignment/>
    </xf>
    <xf numFmtId="165" fontId="4" fillId="0" borderId="17" xfId="0" applyNumberFormat="1" applyFont="1" applyBorder="1" applyAlignment="1">
      <alignment/>
    </xf>
    <xf numFmtId="164" fontId="3" fillId="0" borderId="14" xfId="0" applyFont="1" applyBorder="1" applyAlignment="1">
      <alignment vertical="center"/>
    </xf>
    <xf numFmtId="164" fontId="3" fillId="0" borderId="15" xfId="0" applyFont="1" applyBorder="1" applyAlignment="1">
      <alignment vertical="center"/>
    </xf>
    <xf numFmtId="164" fontId="3" fillId="0" borderId="14" xfId="0" applyFont="1" applyBorder="1" applyAlignment="1">
      <alignment horizontal="left"/>
    </xf>
    <xf numFmtId="164" fontId="3" fillId="0" borderId="15" xfId="0" applyFont="1" applyBorder="1" applyAlignment="1">
      <alignment horizontal="left"/>
    </xf>
    <xf numFmtId="164" fontId="4" fillId="0" borderId="14" xfId="0" applyFont="1" applyBorder="1" applyAlignment="1">
      <alignment horizontal="left"/>
    </xf>
    <xf numFmtId="164" fontId="4" fillId="0" borderId="15" xfId="0" applyFont="1" applyBorder="1" applyAlignment="1">
      <alignment horizontal="left"/>
    </xf>
    <xf numFmtId="164" fontId="4" fillId="0" borderId="14" xfId="0" applyFont="1" applyBorder="1" applyAlignment="1">
      <alignment horizontal="left" wrapText="1"/>
    </xf>
    <xf numFmtId="164" fontId="3" fillId="0" borderId="16" xfId="0" applyFont="1" applyBorder="1" applyAlignment="1">
      <alignment/>
    </xf>
    <xf numFmtId="164" fontId="3" fillId="0" borderId="17" xfId="0" applyFont="1" applyBorder="1" applyAlignment="1">
      <alignment/>
    </xf>
    <xf numFmtId="166" fontId="3" fillId="0" borderId="15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4" fontId="5" fillId="0" borderId="15" xfId="0" applyFont="1" applyBorder="1" applyAlignment="1">
      <alignment/>
    </xf>
    <xf numFmtId="164" fontId="3" fillId="0" borderId="15" xfId="0" applyFont="1" applyBorder="1" applyAlignment="1">
      <alignment horizontal="left" wrapText="1"/>
    </xf>
    <xf numFmtId="165" fontId="5" fillId="0" borderId="0" xfId="0" applyNumberFormat="1" applyFont="1" applyBorder="1" applyAlignment="1">
      <alignment/>
    </xf>
    <xf numFmtId="164" fontId="5" fillId="0" borderId="15" xfId="0" applyFont="1" applyBorder="1" applyAlignment="1">
      <alignment/>
    </xf>
    <xf numFmtId="165" fontId="5" fillId="0" borderId="15" xfId="0" applyNumberFormat="1" applyFont="1" applyBorder="1" applyAlignment="1">
      <alignment/>
    </xf>
    <xf numFmtId="165" fontId="5" fillId="0" borderId="16" xfId="0" applyNumberFormat="1" applyFont="1" applyBorder="1" applyAlignment="1">
      <alignment/>
    </xf>
    <xf numFmtId="165" fontId="5" fillId="0" borderId="17" xfId="0" applyNumberFormat="1" applyFont="1" applyBorder="1" applyAlignment="1">
      <alignment/>
    </xf>
    <xf numFmtId="164" fontId="5" fillId="0" borderId="15" xfId="0" applyFont="1" applyBorder="1" applyAlignment="1">
      <alignment wrapText="1"/>
    </xf>
    <xf numFmtId="166" fontId="4" fillId="0" borderId="14" xfId="0" applyNumberFormat="1" applyFont="1" applyBorder="1" applyAlignment="1">
      <alignment/>
    </xf>
    <xf numFmtId="164" fontId="3" fillId="0" borderId="14" xfId="0" applyFont="1" applyBorder="1" applyAlignment="1">
      <alignment horizontal="center"/>
    </xf>
    <xf numFmtId="164" fontId="3" fillId="0" borderId="15" xfId="0" applyFont="1" applyBorder="1" applyAlignment="1">
      <alignment horizontal="center"/>
    </xf>
    <xf numFmtId="166" fontId="3" fillId="0" borderId="14" xfId="0" applyNumberFormat="1" applyFont="1" applyBorder="1" applyAlignment="1">
      <alignment horizontal="left" wrapText="1"/>
    </xf>
    <xf numFmtId="166" fontId="5" fillId="0" borderId="15" xfId="0" applyNumberFormat="1" applyFont="1" applyBorder="1" applyAlignment="1">
      <alignment horizontal="left" wrapText="1"/>
    </xf>
    <xf numFmtId="166" fontId="3" fillId="0" borderId="15" xfId="0" applyNumberFormat="1" applyFont="1" applyBorder="1" applyAlignment="1">
      <alignment horizontal="left" wrapText="1"/>
    </xf>
    <xf numFmtId="164" fontId="4" fillId="0" borderId="18" xfId="0" applyFont="1" applyBorder="1" applyAlignment="1">
      <alignment/>
    </xf>
    <xf numFmtId="165" fontId="4" fillId="0" borderId="9" xfId="0" applyNumberFormat="1" applyFont="1" applyBorder="1" applyAlignment="1">
      <alignment/>
    </xf>
    <xf numFmtId="165" fontId="4" fillId="0" borderId="18" xfId="0" applyNumberFormat="1" applyFont="1" applyBorder="1" applyAlignment="1">
      <alignment/>
    </xf>
    <xf numFmtId="164" fontId="3" fillId="0" borderId="9" xfId="0" applyFont="1" applyBorder="1" applyAlignment="1">
      <alignment/>
    </xf>
    <xf numFmtId="165" fontId="4" fillId="0" borderId="9" xfId="0" applyNumberFormat="1" applyFont="1" applyBorder="1" applyAlignment="1">
      <alignment/>
    </xf>
    <xf numFmtId="165" fontId="4" fillId="0" borderId="7" xfId="0" applyNumberFormat="1" applyFont="1" applyBorder="1" applyAlignment="1">
      <alignment/>
    </xf>
    <xf numFmtId="164" fontId="3" fillId="0" borderId="0" xfId="25" applyFont="1">
      <alignment/>
      <protection/>
    </xf>
    <xf numFmtId="164" fontId="4" fillId="0" borderId="0" xfId="25" applyFont="1" applyAlignment="1">
      <alignment horizontal="left"/>
      <protection/>
    </xf>
    <xf numFmtId="164" fontId="3" fillId="0" borderId="0" xfId="25" applyFont="1" applyAlignment="1">
      <alignment horizontal="left"/>
      <protection/>
    </xf>
    <xf numFmtId="164" fontId="3" fillId="0" borderId="0" xfId="25" applyFont="1" applyAlignment="1">
      <alignment/>
      <protection/>
    </xf>
    <xf numFmtId="164" fontId="6" fillId="0" borderId="0" xfId="25" applyFont="1" applyBorder="1" applyAlignment="1">
      <alignment horizontal="center"/>
      <protection/>
    </xf>
    <xf numFmtId="164" fontId="4" fillId="0" borderId="0" xfId="25" applyFont="1">
      <alignment/>
      <protection/>
    </xf>
    <xf numFmtId="164" fontId="7" fillId="0" borderId="0" xfId="25" applyFont="1">
      <alignment/>
      <protection/>
    </xf>
    <xf numFmtId="164" fontId="6" fillId="0" borderId="2" xfId="25" applyFont="1" applyBorder="1" applyAlignment="1">
      <alignment horizontal="center"/>
      <protection/>
    </xf>
    <xf numFmtId="164" fontId="6" fillId="0" borderId="19" xfId="25" applyFont="1" applyBorder="1" applyAlignment="1">
      <alignment horizontal="center"/>
      <protection/>
    </xf>
    <xf numFmtId="164" fontId="6" fillId="0" borderId="19" xfId="25" applyFont="1" applyBorder="1" applyAlignment="1">
      <alignment horizontal="center" vertical="center"/>
      <protection/>
    </xf>
    <xf numFmtId="164" fontId="6" fillId="0" borderId="19" xfId="0" applyFont="1" applyBorder="1" applyAlignment="1">
      <alignment horizontal="center" vertical="center" wrapText="1"/>
    </xf>
    <xf numFmtId="164" fontId="6" fillId="0" borderId="7" xfId="0" applyFont="1" applyBorder="1" applyAlignment="1">
      <alignment horizontal="center" vertical="center" wrapText="1"/>
    </xf>
    <xf numFmtId="164" fontId="7" fillId="0" borderId="20" xfId="25" applyFont="1" applyBorder="1">
      <alignment/>
      <protection/>
    </xf>
    <xf numFmtId="165" fontId="7" fillId="0" borderId="20" xfId="25" applyNumberFormat="1" applyFont="1" applyBorder="1">
      <alignment/>
      <protection/>
    </xf>
    <xf numFmtId="164" fontId="7" fillId="0" borderId="20" xfId="25" applyFont="1" applyBorder="1" applyAlignment="1">
      <alignment horizontal="left"/>
      <protection/>
    </xf>
    <xf numFmtId="165" fontId="7" fillId="0" borderId="21" xfId="25" applyNumberFormat="1" applyFont="1" applyBorder="1">
      <alignment/>
      <protection/>
    </xf>
    <xf numFmtId="164" fontId="7" fillId="0" borderId="22" xfId="25" applyFont="1" applyBorder="1">
      <alignment/>
      <protection/>
    </xf>
    <xf numFmtId="165" fontId="7" fillId="0" borderId="22" xfId="25" applyNumberFormat="1" applyFont="1" applyBorder="1">
      <alignment/>
      <protection/>
    </xf>
    <xf numFmtId="164" fontId="7" fillId="0" borderId="23" xfId="25" applyFont="1" applyBorder="1">
      <alignment/>
      <protection/>
    </xf>
    <xf numFmtId="165" fontId="7" fillId="0" borderId="23" xfId="25" applyNumberFormat="1" applyFont="1" applyBorder="1">
      <alignment/>
      <protection/>
    </xf>
    <xf numFmtId="164" fontId="7" fillId="0" borderId="22" xfId="25" applyFont="1" applyBorder="1" applyAlignment="1">
      <alignment/>
      <protection/>
    </xf>
    <xf numFmtId="164" fontId="8" fillId="0" borderId="23" xfId="25" applyFont="1" applyBorder="1">
      <alignment/>
      <protection/>
    </xf>
    <xf numFmtId="165" fontId="8" fillId="0" borderId="23" xfId="25" applyNumberFormat="1" applyFont="1" applyBorder="1">
      <alignment/>
      <protection/>
    </xf>
    <xf numFmtId="164" fontId="7" fillId="0" borderId="22" xfId="0" applyFont="1" applyBorder="1" applyAlignment="1">
      <alignment/>
    </xf>
    <xf numFmtId="164" fontId="3" fillId="0" borderId="23" xfId="25" applyFont="1" applyBorder="1">
      <alignment/>
      <protection/>
    </xf>
    <xf numFmtId="164" fontId="7" fillId="0" borderId="22" xfId="0" applyFont="1" applyBorder="1" applyAlignment="1">
      <alignment shrinkToFit="1"/>
    </xf>
    <xf numFmtId="164" fontId="8" fillId="0" borderId="22" xfId="0" applyFont="1" applyBorder="1" applyAlignment="1">
      <alignment shrinkToFit="1"/>
    </xf>
    <xf numFmtId="165" fontId="8" fillId="0" borderId="22" xfId="25" applyNumberFormat="1" applyFont="1" applyBorder="1">
      <alignment/>
      <protection/>
    </xf>
    <xf numFmtId="164" fontId="8" fillId="0" borderId="22" xfId="25" applyFont="1" applyBorder="1">
      <alignment/>
      <protection/>
    </xf>
    <xf numFmtId="166" fontId="7" fillId="0" borderId="22" xfId="25" applyNumberFormat="1" applyFont="1" applyBorder="1">
      <alignment/>
      <protection/>
    </xf>
    <xf numFmtId="165" fontId="8" fillId="0" borderId="16" xfId="25" applyNumberFormat="1" applyFont="1" applyBorder="1">
      <alignment/>
      <protection/>
    </xf>
    <xf numFmtId="164" fontId="7" fillId="0" borderId="24" xfId="25" applyFont="1" applyBorder="1">
      <alignment/>
      <protection/>
    </xf>
    <xf numFmtId="165" fontId="8" fillId="0" borderId="24" xfId="25" applyNumberFormat="1" applyFont="1" applyBorder="1">
      <alignment/>
      <protection/>
    </xf>
    <xf numFmtId="165" fontId="8" fillId="0" borderId="25" xfId="25" applyNumberFormat="1" applyFont="1" applyBorder="1">
      <alignment/>
      <protection/>
    </xf>
    <xf numFmtId="165" fontId="8" fillId="0" borderId="26" xfId="25" applyNumberFormat="1" applyFont="1" applyBorder="1">
      <alignment/>
      <protection/>
    </xf>
    <xf numFmtId="166" fontId="7" fillId="0" borderId="27" xfId="25" applyNumberFormat="1" applyFont="1" applyBorder="1">
      <alignment/>
      <protection/>
    </xf>
    <xf numFmtId="165" fontId="7" fillId="0" borderId="26" xfId="25" applyNumberFormat="1" applyFont="1" applyBorder="1">
      <alignment/>
      <protection/>
    </xf>
    <xf numFmtId="165" fontId="7" fillId="0" borderId="27" xfId="25" applyNumberFormat="1" applyFont="1" applyBorder="1">
      <alignment/>
      <protection/>
    </xf>
    <xf numFmtId="164" fontId="7" fillId="0" borderId="28" xfId="25" applyFont="1" applyBorder="1">
      <alignment/>
      <protection/>
    </xf>
    <xf numFmtId="165" fontId="8" fillId="0" borderId="8" xfId="25" applyNumberFormat="1" applyFont="1" applyBorder="1">
      <alignment/>
      <protection/>
    </xf>
    <xf numFmtId="165" fontId="8" fillId="0" borderId="19" xfId="25" applyNumberFormat="1" applyFont="1" applyBorder="1">
      <alignment/>
      <protection/>
    </xf>
    <xf numFmtId="164" fontId="7" fillId="0" borderId="29" xfId="25" applyFont="1" applyBorder="1">
      <alignment/>
      <protection/>
    </xf>
    <xf numFmtId="164" fontId="7" fillId="0" borderId="19" xfId="25" applyFont="1" applyBorder="1">
      <alignment/>
      <protection/>
    </xf>
    <xf numFmtId="165" fontId="7" fillId="0" borderId="29" xfId="25" applyNumberFormat="1" applyFont="1" applyBorder="1">
      <alignment/>
      <protection/>
    </xf>
    <xf numFmtId="164" fontId="6" fillId="0" borderId="30" xfId="25" applyFont="1" applyBorder="1">
      <alignment/>
      <protection/>
    </xf>
    <xf numFmtId="165" fontId="6" fillId="0" borderId="30" xfId="25" applyNumberFormat="1" applyFont="1" applyBorder="1">
      <alignment/>
      <protection/>
    </xf>
    <xf numFmtId="165" fontId="6" fillId="0" borderId="31" xfId="25" applyNumberFormat="1" applyFont="1" applyBorder="1">
      <alignment/>
      <protection/>
    </xf>
    <xf numFmtId="164" fontId="6" fillId="0" borderId="31" xfId="25" applyFont="1" applyBorder="1">
      <alignment/>
      <protection/>
    </xf>
    <xf numFmtId="165" fontId="4" fillId="0" borderId="0" xfId="25" applyNumberFormat="1" applyFont="1" applyBorder="1">
      <alignment/>
      <protection/>
    </xf>
    <xf numFmtId="164" fontId="3" fillId="0" borderId="0" xfId="25" applyFont="1" applyBorder="1">
      <alignment/>
      <protection/>
    </xf>
    <xf numFmtId="164" fontId="6" fillId="0" borderId="2" xfId="25" applyFont="1" applyBorder="1">
      <alignment/>
      <protection/>
    </xf>
    <xf numFmtId="165" fontId="6" fillId="0" borderId="2" xfId="25" applyNumberFormat="1" applyFont="1" applyBorder="1">
      <alignment/>
      <protection/>
    </xf>
    <xf numFmtId="164" fontId="6" fillId="0" borderId="23" xfId="25" applyFont="1" applyBorder="1">
      <alignment/>
      <protection/>
    </xf>
    <xf numFmtId="165" fontId="6" fillId="0" borderId="23" xfId="25" applyNumberFormat="1" applyFont="1" applyBorder="1">
      <alignment/>
      <protection/>
    </xf>
    <xf numFmtId="164" fontId="7" fillId="0" borderId="23" xfId="25" applyFont="1" applyBorder="1" applyAlignment="1">
      <alignment wrapText="1"/>
      <protection/>
    </xf>
    <xf numFmtId="164" fontId="6" fillId="0" borderId="30" xfId="0" applyFont="1" applyBorder="1" applyAlignment="1">
      <alignment/>
    </xf>
    <xf numFmtId="165" fontId="6" fillId="0" borderId="30" xfId="0" applyNumberFormat="1" applyFont="1" applyBorder="1" applyAlignment="1">
      <alignment/>
    </xf>
    <xf numFmtId="165" fontId="9" fillId="0" borderId="0" xfId="25" applyNumberFormat="1" applyFont="1" applyBorder="1">
      <alignment/>
      <protection/>
    </xf>
    <xf numFmtId="164" fontId="7" fillId="0" borderId="0" xfId="0" applyFont="1" applyAlignment="1">
      <alignment/>
    </xf>
    <xf numFmtId="164" fontId="7" fillId="0" borderId="0" xfId="25" applyFont="1" applyBorder="1">
      <alignment/>
      <protection/>
    </xf>
    <xf numFmtId="164" fontId="7" fillId="0" borderId="0" xfId="25" applyFont="1" applyAlignment="1">
      <alignment horizontal="left"/>
      <protection/>
    </xf>
    <xf numFmtId="165" fontId="7" fillId="0" borderId="0" xfId="25" applyNumberFormat="1" applyFont="1">
      <alignment/>
      <protection/>
    </xf>
    <xf numFmtId="164" fontId="7" fillId="0" borderId="0" xfId="25" applyFont="1" applyAlignment="1">
      <alignment/>
      <protection/>
    </xf>
    <xf numFmtId="164" fontId="6" fillId="0" borderId="0" xfId="25" applyFont="1" applyAlignment="1">
      <alignment horizontal="center"/>
      <protection/>
    </xf>
    <xf numFmtId="164" fontId="6" fillId="0" borderId="3" xfId="25" applyFont="1" applyBorder="1" applyAlignment="1">
      <alignment horizontal="center"/>
      <protection/>
    </xf>
    <xf numFmtId="164" fontId="6" fillId="0" borderId="8" xfId="25" applyFont="1" applyBorder="1" applyAlignment="1">
      <alignment horizontal="center" vertical="center"/>
      <protection/>
    </xf>
    <xf numFmtId="164" fontId="6" fillId="0" borderId="3" xfId="25" applyFont="1" applyBorder="1" applyAlignment="1">
      <alignment horizontal="center" vertical="center"/>
      <protection/>
    </xf>
    <xf numFmtId="164" fontId="6" fillId="0" borderId="28" xfId="25" applyFont="1" applyBorder="1" applyAlignment="1">
      <alignment horizontal="center"/>
      <protection/>
    </xf>
    <xf numFmtId="164" fontId="7" fillId="0" borderId="23" xfId="25" applyFont="1" applyBorder="1" applyAlignment="1">
      <alignment horizontal="left"/>
      <protection/>
    </xf>
    <xf numFmtId="164" fontId="7" fillId="0" borderId="32" xfId="25" applyFont="1" applyBorder="1">
      <alignment/>
      <protection/>
    </xf>
    <xf numFmtId="164" fontId="7" fillId="0" borderId="26" xfId="25" applyFont="1" applyBorder="1">
      <alignment/>
      <protection/>
    </xf>
    <xf numFmtId="164" fontId="3" fillId="0" borderId="22" xfId="25" applyFont="1" applyBorder="1">
      <alignment/>
      <protection/>
    </xf>
    <xf numFmtId="164" fontId="3" fillId="0" borderId="27" xfId="25" applyFont="1" applyBorder="1">
      <alignment/>
      <protection/>
    </xf>
    <xf numFmtId="165" fontId="3" fillId="0" borderId="0" xfId="25" applyNumberFormat="1" applyFont="1">
      <alignment/>
      <protection/>
    </xf>
    <xf numFmtId="164" fontId="6" fillId="0" borderId="22" xfId="25" applyFont="1" applyBorder="1">
      <alignment/>
      <protection/>
    </xf>
    <xf numFmtId="165" fontId="6" fillId="0" borderId="27" xfId="25" applyNumberFormat="1" applyFont="1" applyBorder="1">
      <alignment/>
      <protection/>
    </xf>
    <xf numFmtId="164" fontId="8" fillId="0" borderId="26" xfId="25" applyFont="1" applyBorder="1">
      <alignment/>
      <protection/>
    </xf>
    <xf numFmtId="164" fontId="7" fillId="0" borderId="33" xfId="25" applyFont="1" applyBorder="1">
      <alignment/>
      <protection/>
    </xf>
    <xf numFmtId="164" fontId="8" fillId="0" borderId="24" xfId="25" applyFont="1" applyBorder="1">
      <alignment/>
      <protection/>
    </xf>
    <xf numFmtId="165" fontId="7" fillId="0" borderId="28" xfId="25" applyNumberFormat="1" applyFont="1" applyBorder="1">
      <alignment/>
      <protection/>
    </xf>
    <xf numFmtId="165" fontId="7" fillId="0" borderId="34" xfId="25" applyNumberFormat="1" applyFont="1" applyBorder="1">
      <alignment/>
      <protection/>
    </xf>
    <xf numFmtId="165" fontId="7" fillId="0" borderId="24" xfId="25" applyNumberFormat="1" applyFont="1" applyBorder="1">
      <alignment/>
      <protection/>
    </xf>
    <xf numFmtId="164" fontId="6" fillId="0" borderId="20" xfId="25" applyFont="1" applyBorder="1">
      <alignment/>
      <protection/>
    </xf>
    <xf numFmtId="165" fontId="6" fillId="0" borderId="20" xfId="25" applyNumberFormat="1" applyFont="1" applyBorder="1">
      <alignment/>
      <protection/>
    </xf>
    <xf numFmtId="164" fontId="4" fillId="0" borderId="20" xfId="25" applyFont="1" applyBorder="1">
      <alignment/>
      <protection/>
    </xf>
    <xf numFmtId="164" fontId="6" fillId="0" borderId="19" xfId="25" applyFont="1" applyBorder="1" applyAlignment="1">
      <alignment wrapText="1"/>
      <protection/>
    </xf>
    <xf numFmtId="165" fontId="6" fillId="0" borderId="19" xfId="25" applyNumberFormat="1" applyFont="1" applyBorder="1">
      <alignment/>
      <protection/>
    </xf>
    <xf numFmtId="165" fontId="4" fillId="0" borderId="0" xfId="25" applyNumberFormat="1" applyFont="1">
      <alignment/>
      <protection/>
    </xf>
    <xf numFmtId="164" fontId="6" fillId="0" borderId="0" xfId="25" applyFont="1" applyBorder="1">
      <alignment/>
      <protection/>
    </xf>
    <xf numFmtId="165" fontId="6" fillId="0" borderId="0" xfId="25" applyNumberFormat="1" applyFont="1" applyBorder="1">
      <alignment/>
      <protection/>
    </xf>
    <xf numFmtId="165" fontId="6" fillId="0" borderId="0" xfId="25" applyNumberFormat="1" applyFont="1">
      <alignment/>
      <protection/>
    </xf>
    <xf numFmtId="165" fontId="3" fillId="0" borderId="0" xfId="25" applyNumberFormat="1" applyFont="1" applyAlignment="1">
      <alignment horizontal="right"/>
      <protection/>
    </xf>
    <xf numFmtId="164" fontId="9" fillId="0" borderId="0" xfId="25" applyFont="1">
      <alignment/>
      <protection/>
    </xf>
    <xf numFmtId="165" fontId="9" fillId="0" borderId="0" xfId="25" applyNumberFormat="1" applyFont="1" applyAlignment="1">
      <alignment/>
      <protection/>
    </xf>
    <xf numFmtId="165" fontId="9" fillId="0" borderId="0" xfId="25" applyNumberFormat="1" applyFont="1">
      <alignment/>
      <protection/>
    </xf>
    <xf numFmtId="164" fontId="10" fillId="0" borderId="0" xfId="0" applyFont="1" applyAlignment="1">
      <alignment/>
    </xf>
    <xf numFmtId="164" fontId="11" fillId="0" borderId="0" xfId="0" applyFont="1" applyAlignment="1">
      <alignment/>
    </xf>
    <xf numFmtId="164" fontId="6" fillId="0" borderId="0" xfId="0" applyFont="1" applyBorder="1" applyAlignment="1">
      <alignment horizontal="center" shrinkToFit="1"/>
    </xf>
    <xf numFmtId="164" fontId="0" fillId="0" borderId="0" xfId="0" applyAlignment="1">
      <alignment horizontal="left"/>
    </xf>
    <xf numFmtId="164" fontId="4" fillId="0" borderId="35" xfId="0" applyFont="1" applyBorder="1" applyAlignment="1">
      <alignment horizontal="center" vertical="center"/>
    </xf>
    <xf numFmtId="164" fontId="12" fillId="0" borderId="36" xfId="0" applyFont="1" applyBorder="1" applyAlignment="1">
      <alignment horizontal="center" vertical="center" wrapText="1"/>
    </xf>
    <xf numFmtId="164" fontId="12" fillId="0" borderId="30" xfId="0" applyFont="1" applyBorder="1" applyAlignment="1">
      <alignment horizontal="center" vertical="center" wrapText="1"/>
    </xf>
    <xf numFmtId="164" fontId="12" fillId="0" borderId="30" xfId="0" applyFont="1" applyBorder="1" applyAlignment="1">
      <alignment horizontal="center" vertical="center"/>
    </xf>
    <xf numFmtId="164" fontId="3" fillId="0" borderId="10" xfId="0" applyFont="1" applyBorder="1" applyAlignment="1">
      <alignment horizontal="center" vertical="center"/>
    </xf>
    <xf numFmtId="164" fontId="4" fillId="0" borderId="11" xfId="0" applyFont="1" applyBorder="1" applyAlignment="1">
      <alignment horizontal="center" vertical="center" wrapText="1"/>
    </xf>
    <xf numFmtId="164" fontId="4" fillId="0" borderId="13" xfId="0" applyFont="1" applyBorder="1" applyAlignment="1">
      <alignment horizontal="center" vertical="center" wrapText="1"/>
    </xf>
    <xf numFmtId="165" fontId="4" fillId="0" borderId="37" xfId="0" applyNumberFormat="1" applyFont="1" applyBorder="1" applyAlignment="1">
      <alignment horizontal="center" vertical="center" wrapText="1"/>
    </xf>
    <xf numFmtId="164" fontId="4" fillId="0" borderId="37" xfId="0" applyFont="1" applyBorder="1" applyAlignment="1">
      <alignment horizontal="center" vertical="center" wrapText="1"/>
    </xf>
    <xf numFmtId="164" fontId="4" fillId="0" borderId="12" xfId="0" applyFont="1" applyBorder="1" applyAlignment="1">
      <alignment horizontal="center" vertical="center" wrapText="1"/>
    </xf>
    <xf numFmtId="164" fontId="4" fillId="0" borderId="38" xfId="0" applyFont="1" applyBorder="1" applyAlignment="1">
      <alignment horizontal="center" vertical="center" wrapText="1"/>
    </xf>
    <xf numFmtId="164" fontId="4" fillId="0" borderId="14" xfId="0" applyFont="1" applyBorder="1" applyAlignment="1">
      <alignment horizontal="left" vertical="center"/>
    </xf>
    <xf numFmtId="165" fontId="4" fillId="0" borderId="11" xfId="0" applyNumberFormat="1" applyFont="1" applyBorder="1" applyAlignment="1">
      <alignment horizontal="right" vertical="center" wrapText="1"/>
    </xf>
    <xf numFmtId="165" fontId="4" fillId="0" borderId="13" xfId="0" applyNumberFormat="1" applyFont="1" applyBorder="1" applyAlignment="1">
      <alignment horizontal="right" vertical="center" wrapText="1"/>
    </xf>
    <xf numFmtId="165" fontId="4" fillId="0" borderId="37" xfId="0" applyNumberFormat="1" applyFont="1" applyBorder="1" applyAlignment="1">
      <alignment horizontal="right" vertical="center" wrapText="1"/>
    </xf>
    <xf numFmtId="165" fontId="4" fillId="0" borderId="15" xfId="0" applyNumberFormat="1" applyFont="1" applyBorder="1" applyAlignment="1">
      <alignment horizontal="right" vertical="center" wrapText="1"/>
    </xf>
    <xf numFmtId="165" fontId="4" fillId="0" borderId="39" xfId="0" applyNumberFormat="1" applyFont="1" applyBorder="1" applyAlignment="1">
      <alignment horizontal="right" vertical="center" wrapText="1"/>
    </xf>
    <xf numFmtId="165" fontId="13" fillId="0" borderId="40" xfId="0" applyNumberFormat="1" applyFont="1" applyBorder="1" applyAlignment="1">
      <alignment horizontal="right" vertical="center" wrapText="1"/>
    </xf>
    <xf numFmtId="165" fontId="13" fillId="0" borderId="15" xfId="0" applyNumberFormat="1" applyFont="1" applyBorder="1" applyAlignment="1">
      <alignment horizontal="right" vertical="center" wrapText="1"/>
    </xf>
    <xf numFmtId="165" fontId="13" fillId="0" borderId="13" xfId="0" applyNumberFormat="1" applyFont="1" applyBorder="1" applyAlignment="1">
      <alignment horizontal="right" vertical="center" wrapText="1"/>
    </xf>
    <xf numFmtId="164" fontId="13" fillId="0" borderId="14" xfId="0" applyFont="1" applyBorder="1" applyAlignment="1">
      <alignment/>
    </xf>
    <xf numFmtId="165" fontId="13" fillId="0" borderId="17" xfId="0" applyNumberFormat="1" applyFont="1" applyBorder="1" applyAlignment="1">
      <alignment horizontal="right" vertical="center" wrapText="1"/>
    </xf>
    <xf numFmtId="165" fontId="13" fillId="0" borderId="39" xfId="0" applyNumberFormat="1" applyFont="1" applyBorder="1" applyAlignment="1">
      <alignment horizontal="right" vertical="center" wrapText="1"/>
    </xf>
    <xf numFmtId="164" fontId="14" fillId="0" borderId="0" xfId="0" applyFont="1" applyAlignment="1">
      <alignment/>
    </xf>
    <xf numFmtId="164" fontId="3" fillId="0" borderId="14" xfId="0" applyFont="1" applyBorder="1" applyAlignment="1">
      <alignment vertical="center" wrapText="1"/>
    </xf>
    <xf numFmtId="165" fontId="3" fillId="0" borderId="15" xfId="0" applyNumberFormat="1" applyFont="1" applyBorder="1" applyAlignment="1">
      <alignment horizontal="right" vertical="center" wrapText="1"/>
    </xf>
    <xf numFmtId="165" fontId="3" fillId="0" borderId="17" xfId="0" applyNumberFormat="1" applyFont="1" applyBorder="1" applyAlignment="1">
      <alignment horizontal="right" vertical="center" wrapText="1"/>
    </xf>
    <xf numFmtId="165" fontId="3" fillId="0" borderId="40" xfId="0" applyNumberFormat="1" applyFont="1" applyBorder="1" applyAlignment="1">
      <alignment horizontal="right" vertical="center" wrapText="1"/>
    </xf>
    <xf numFmtId="165" fontId="3" fillId="0" borderId="39" xfId="0" applyNumberFormat="1" applyFont="1" applyBorder="1" applyAlignment="1">
      <alignment horizontal="right" vertical="center" wrapText="1"/>
    </xf>
    <xf numFmtId="165" fontId="5" fillId="0" borderId="40" xfId="0" applyNumberFormat="1" applyFont="1" applyBorder="1" applyAlignment="1">
      <alignment horizontal="right" vertical="center" wrapText="1"/>
    </xf>
    <xf numFmtId="165" fontId="5" fillId="0" borderId="15" xfId="0" applyNumberFormat="1" applyFont="1" applyBorder="1" applyAlignment="1">
      <alignment horizontal="right" vertical="center" wrapText="1"/>
    </xf>
    <xf numFmtId="165" fontId="5" fillId="0" borderId="17" xfId="0" applyNumberFormat="1" applyFont="1" applyBorder="1" applyAlignment="1">
      <alignment horizontal="right" vertical="center" wrapText="1"/>
    </xf>
    <xf numFmtId="164" fontId="0" fillId="0" borderId="0" xfId="0" applyFont="1" applyAlignment="1">
      <alignment/>
    </xf>
    <xf numFmtId="164" fontId="5" fillId="0" borderId="14" xfId="0" applyFont="1" applyBorder="1" applyAlignment="1">
      <alignment/>
    </xf>
    <xf numFmtId="165" fontId="5" fillId="0" borderId="39" xfId="0" applyNumberFormat="1" applyFont="1" applyBorder="1" applyAlignment="1">
      <alignment horizontal="right" vertical="center" wrapText="1"/>
    </xf>
    <xf numFmtId="164" fontId="15" fillId="0" borderId="0" xfId="0" applyFont="1" applyAlignment="1">
      <alignment/>
    </xf>
    <xf numFmtId="165" fontId="5" fillId="0" borderId="40" xfId="0" applyNumberFormat="1" applyFont="1" applyBorder="1" applyAlignment="1">
      <alignment/>
    </xf>
    <xf numFmtId="165" fontId="5" fillId="0" borderId="39" xfId="0" applyNumberFormat="1" applyFont="1" applyBorder="1" applyAlignment="1">
      <alignment/>
    </xf>
    <xf numFmtId="164" fontId="5" fillId="0" borderId="14" xfId="0" applyFont="1" applyBorder="1" applyAlignment="1">
      <alignment horizontal="left" vertical="center" wrapText="1"/>
    </xf>
    <xf numFmtId="165" fontId="3" fillId="0" borderId="40" xfId="0" applyNumberFormat="1" applyFont="1" applyBorder="1" applyAlignment="1">
      <alignment/>
    </xf>
    <xf numFmtId="165" fontId="3" fillId="0" borderId="39" xfId="0" applyNumberFormat="1" applyFont="1" applyBorder="1" applyAlignment="1">
      <alignment/>
    </xf>
    <xf numFmtId="165" fontId="4" fillId="0" borderId="40" xfId="0" applyNumberFormat="1" applyFont="1" applyBorder="1" applyAlignment="1">
      <alignment/>
    </xf>
    <xf numFmtId="165" fontId="4" fillId="0" borderId="39" xfId="0" applyNumberFormat="1" applyFont="1" applyBorder="1" applyAlignment="1">
      <alignment/>
    </xf>
    <xf numFmtId="164" fontId="16" fillId="0" borderId="0" xfId="0" applyFont="1" applyAlignment="1">
      <alignment/>
    </xf>
    <xf numFmtId="164" fontId="3" fillId="0" borderId="14" xfId="0" applyFont="1" applyBorder="1" applyAlignment="1">
      <alignment wrapText="1"/>
    </xf>
    <xf numFmtId="164" fontId="4" fillId="0" borderId="14" xfId="0" applyFont="1" applyBorder="1" applyAlignment="1">
      <alignment shrinkToFit="1"/>
    </xf>
    <xf numFmtId="165" fontId="4" fillId="0" borderId="40" xfId="0" applyNumberFormat="1" applyFont="1" applyBorder="1" applyAlignment="1">
      <alignment horizontal="right" vertical="center" wrapText="1"/>
    </xf>
    <xf numFmtId="165" fontId="4" fillId="0" borderId="17" xfId="0" applyNumberFormat="1" applyFont="1" applyBorder="1" applyAlignment="1">
      <alignment horizontal="right" vertical="center" wrapText="1"/>
    </xf>
    <xf numFmtId="164" fontId="3" fillId="0" borderId="14" xfId="0" applyFont="1" applyBorder="1" applyAlignment="1">
      <alignment shrinkToFit="1"/>
    </xf>
    <xf numFmtId="164" fontId="5" fillId="0" borderId="14" xfId="0" applyFont="1" applyBorder="1" applyAlignment="1">
      <alignment shrinkToFit="1"/>
    </xf>
    <xf numFmtId="164" fontId="5" fillId="0" borderId="14" xfId="0" applyFont="1" applyBorder="1" applyAlignment="1">
      <alignment wrapText="1"/>
    </xf>
    <xf numFmtId="166" fontId="3" fillId="0" borderId="14" xfId="0" applyNumberFormat="1" applyFont="1" applyBorder="1" applyAlignment="1">
      <alignment shrinkToFit="1"/>
    </xf>
    <xf numFmtId="166" fontId="4" fillId="0" borderId="14" xfId="0" applyNumberFormat="1" applyFont="1" applyBorder="1" applyAlignment="1">
      <alignment shrinkToFit="1"/>
    </xf>
    <xf numFmtId="164" fontId="4" fillId="0" borderId="18" xfId="0" applyFont="1" applyBorder="1" applyAlignment="1">
      <alignment shrinkToFit="1"/>
    </xf>
    <xf numFmtId="165" fontId="4" fillId="0" borderId="41" xfId="0" applyNumberFormat="1" applyFont="1" applyBorder="1" applyAlignment="1">
      <alignment/>
    </xf>
    <xf numFmtId="165" fontId="4" fillId="0" borderId="41" xfId="0" applyNumberFormat="1" applyFont="1" applyBorder="1" applyAlignment="1">
      <alignment horizontal="right" vertical="center" wrapText="1"/>
    </xf>
    <xf numFmtId="165" fontId="4" fillId="0" borderId="9" xfId="0" applyNumberFormat="1" applyFont="1" applyBorder="1" applyAlignment="1">
      <alignment horizontal="right" vertical="center" wrapText="1"/>
    </xf>
    <xf numFmtId="165" fontId="4" fillId="0" borderId="7" xfId="0" applyNumberFormat="1" applyFont="1" applyBorder="1" applyAlignment="1">
      <alignment horizontal="right" vertical="center" wrapText="1"/>
    </xf>
    <xf numFmtId="165" fontId="0" fillId="0" borderId="0" xfId="0" applyNumberFormat="1" applyAlignment="1">
      <alignment/>
    </xf>
    <xf numFmtId="164" fontId="3" fillId="0" borderId="0" xfId="0" applyFont="1" applyBorder="1" applyAlignment="1">
      <alignment/>
    </xf>
    <xf numFmtId="164" fontId="6" fillId="0" borderId="0" xfId="0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17" fillId="0" borderId="32" xfId="0" applyFont="1" applyBorder="1" applyAlignment="1">
      <alignment/>
    </xf>
    <xf numFmtId="164" fontId="17" fillId="0" borderId="0" xfId="0" applyFont="1" applyBorder="1" applyAlignment="1">
      <alignment/>
    </xf>
    <xf numFmtId="164" fontId="4" fillId="0" borderId="42" xfId="0" applyFont="1" applyBorder="1" applyAlignment="1">
      <alignment horizontal="center" vertical="center" wrapText="1"/>
    </xf>
    <xf numFmtId="164" fontId="12" fillId="0" borderId="38" xfId="0" applyFont="1" applyBorder="1" applyAlignment="1">
      <alignment horizontal="center" vertical="center" wrapText="1"/>
    </xf>
    <xf numFmtId="164" fontId="12" fillId="0" borderId="2" xfId="0" applyFont="1" applyBorder="1" applyAlignment="1">
      <alignment horizontal="center" vertical="center" wrapText="1"/>
    </xf>
    <xf numFmtId="164" fontId="12" fillId="0" borderId="2" xfId="0" applyFont="1" applyBorder="1" applyAlignment="1">
      <alignment horizontal="center" vertical="center"/>
    </xf>
    <xf numFmtId="164" fontId="17" fillId="0" borderId="11" xfId="0" applyFont="1" applyBorder="1" applyAlignment="1">
      <alignment/>
    </xf>
    <xf numFmtId="164" fontId="17" fillId="0" borderId="43" xfId="0" applyFont="1" applyBorder="1" applyAlignment="1">
      <alignment/>
    </xf>
    <xf numFmtId="164" fontId="4" fillId="0" borderId="44" xfId="0" applyFont="1" applyBorder="1" applyAlignment="1">
      <alignment vertical="top" wrapText="1"/>
    </xf>
    <xf numFmtId="165" fontId="4" fillId="0" borderId="5" xfId="0" applyNumberFormat="1" applyFont="1" applyBorder="1" applyAlignment="1">
      <alignment horizontal="center" vertical="center" wrapText="1"/>
    </xf>
    <xf numFmtId="164" fontId="4" fillId="0" borderId="45" xfId="0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164" fontId="18" fillId="0" borderId="0" xfId="0" applyFont="1" applyBorder="1" applyAlignment="1">
      <alignment/>
    </xf>
    <xf numFmtId="164" fontId="18" fillId="0" borderId="0" xfId="0" applyFont="1" applyAlignment="1">
      <alignment/>
    </xf>
    <xf numFmtId="164" fontId="19" fillId="0" borderId="32" xfId="0" applyFont="1" applyBorder="1" applyAlignment="1">
      <alignment/>
    </xf>
    <xf numFmtId="164" fontId="19" fillId="0" borderId="0" xfId="0" applyFont="1" applyBorder="1" applyAlignment="1">
      <alignment/>
    </xf>
    <xf numFmtId="165" fontId="4" fillId="0" borderId="11" xfId="0" applyNumberFormat="1" applyFont="1" applyBorder="1" applyAlignment="1">
      <alignment wrapText="1"/>
    </xf>
    <xf numFmtId="165" fontId="4" fillId="0" borderId="43" xfId="0" applyNumberFormat="1" applyFont="1" applyBorder="1" applyAlignment="1">
      <alignment wrapText="1"/>
    </xf>
    <xf numFmtId="165" fontId="4" fillId="0" borderId="13" xfId="0" applyNumberFormat="1" applyFont="1" applyBorder="1" applyAlignment="1">
      <alignment wrapText="1"/>
    </xf>
    <xf numFmtId="165" fontId="4" fillId="0" borderId="12" xfId="0" applyNumberFormat="1" applyFont="1" applyBorder="1" applyAlignment="1">
      <alignment wrapText="1"/>
    </xf>
    <xf numFmtId="165" fontId="4" fillId="0" borderId="37" xfId="0" applyNumberFormat="1" applyFont="1" applyBorder="1" applyAlignment="1">
      <alignment/>
    </xf>
    <xf numFmtId="165" fontId="4" fillId="0" borderId="21" xfId="0" applyNumberFormat="1" applyFont="1" applyBorder="1" applyAlignment="1">
      <alignment/>
    </xf>
    <xf numFmtId="164" fontId="4" fillId="0" borderId="0" xfId="0" applyFont="1" applyBorder="1" applyAlignment="1">
      <alignment/>
    </xf>
    <xf numFmtId="164" fontId="4" fillId="0" borderId="14" xfId="0" applyFont="1" applyBorder="1" applyAlignment="1">
      <alignment wrapText="1"/>
    </xf>
    <xf numFmtId="165" fontId="4" fillId="0" borderId="15" xfId="0" applyNumberFormat="1" applyFont="1" applyBorder="1" applyAlignment="1">
      <alignment wrapText="1"/>
    </xf>
    <xf numFmtId="165" fontId="4" fillId="0" borderId="39" xfId="0" applyNumberFormat="1" applyFont="1" applyBorder="1" applyAlignment="1">
      <alignment wrapText="1"/>
    </xf>
    <xf numFmtId="165" fontId="4" fillId="0" borderId="17" xfId="0" applyNumberFormat="1" applyFont="1" applyBorder="1" applyAlignment="1">
      <alignment wrapText="1"/>
    </xf>
    <xf numFmtId="165" fontId="4" fillId="0" borderId="16" xfId="0" applyNumberFormat="1" applyFont="1" applyBorder="1" applyAlignment="1">
      <alignment wrapText="1"/>
    </xf>
    <xf numFmtId="165" fontId="4" fillId="0" borderId="40" xfId="0" applyNumberFormat="1" applyFont="1" applyBorder="1" applyAlignment="1">
      <alignment wrapText="1"/>
    </xf>
    <xf numFmtId="165" fontId="3" fillId="0" borderId="15" xfId="0" applyNumberFormat="1" applyFont="1" applyBorder="1" applyAlignment="1">
      <alignment wrapText="1"/>
    </xf>
    <xf numFmtId="165" fontId="3" fillId="0" borderId="39" xfId="0" applyNumberFormat="1" applyFont="1" applyBorder="1" applyAlignment="1">
      <alignment wrapText="1"/>
    </xf>
    <xf numFmtId="165" fontId="3" fillId="0" borderId="17" xfId="0" applyNumberFormat="1" applyFont="1" applyBorder="1" applyAlignment="1">
      <alignment wrapText="1"/>
    </xf>
    <xf numFmtId="165" fontId="3" fillId="0" borderId="16" xfId="0" applyNumberFormat="1" applyFont="1" applyBorder="1" applyAlignment="1">
      <alignment wrapText="1"/>
    </xf>
    <xf numFmtId="164" fontId="4" fillId="0" borderId="46" xfId="0" applyFont="1" applyBorder="1" applyAlignment="1">
      <alignment wrapText="1"/>
    </xf>
    <xf numFmtId="164" fontId="3" fillId="0" borderId="14" xfId="0" applyFont="1" applyBorder="1" applyAlignment="1">
      <alignment horizontal="left" wrapText="1"/>
    </xf>
    <xf numFmtId="164" fontId="19" fillId="0" borderId="32" xfId="0" applyFont="1" applyBorder="1" applyAlignment="1">
      <alignment wrapText="1"/>
    </xf>
    <xf numFmtId="164" fontId="19" fillId="0" borderId="0" xfId="0" applyFont="1" applyBorder="1" applyAlignment="1">
      <alignment wrapText="1"/>
    </xf>
    <xf numFmtId="165" fontId="3" fillId="0" borderId="40" xfId="0" applyNumberFormat="1" applyFont="1" applyBorder="1" applyAlignment="1">
      <alignment wrapText="1"/>
    </xf>
    <xf numFmtId="164" fontId="4" fillId="0" borderId="0" xfId="0" applyFont="1" applyBorder="1" applyAlignment="1">
      <alignment wrapText="1"/>
    </xf>
    <xf numFmtId="164" fontId="4" fillId="0" borderId="0" xfId="0" applyFont="1" applyAlignment="1">
      <alignment wrapText="1"/>
    </xf>
    <xf numFmtId="164" fontId="19" fillId="0" borderId="3" xfId="0" applyFont="1" applyBorder="1" applyAlignment="1">
      <alignment/>
    </xf>
    <xf numFmtId="164" fontId="19" fillId="0" borderId="1" xfId="0" applyFont="1" applyBorder="1" applyAlignment="1">
      <alignment/>
    </xf>
    <xf numFmtId="164" fontId="17" fillId="0" borderId="0" xfId="0" applyFont="1" applyAlignment="1">
      <alignment/>
    </xf>
    <xf numFmtId="164" fontId="20" fillId="0" borderId="0" xfId="0" applyFont="1" applyAlignment="1">
      <alignment/>
    </xf>
    <xf numFmtId="164" fontId="5" fillId="0" borderId="14" xfId="0" applyFont="1" applyBorder="1" applyAlignment="1">
      <alignment/>
    </xf>
    <xf numFmtId="165" fontId="5" fillId="0" borderId="15" xfId="0" applyNumberFormat="1" applyFont="1" applyBorder="1" applyAlignment="1">
      <alignment wrapText="1"/>
    </xf>
    <xf numFmtId="165" fontId="5" fillId="0" borderId="39" xfId="0" applyNumberFormat="1" applyFont="1" applyBorder="1" applyAlignment="1">
      <alignment wrapText="1"/>
    </xf>
    <xf numFmtId="165" fontId="5" fillId="0" borderId="17" xfId="0" applyNumberFormat="1" applyFont="1" applyBorder="1" applyAlignment="1">
      <alignment wrapText="1"/>
    </xf>
    <xf numFmtId="165" fontId="5" fillId="0" borderId="16" xfId="0" applyNumberFormat="1" applyFont="1" applyBorder="1" applyAlignment="1">
      <alignment wrapText="1"/>
    </xf>
    <xf numFmtId="164" fontId="13" fillId="0" borderId="0" xfId="0" applyFont="1" applyBorder="1" applyAlignment="1">
      <alignment/>
    </xf>
    <xf numFmtId="164" fontId="13" fillId="0" borderId="0" xfId="0" applyFont="1" applyAlignment="1">
      <alignment/>
    </xf>
    <xf numFmtId="164" fontId="5" fillId="0" borderId="46" xfId="0" applyFont="1" applyBorder="1" applyAlignment="1">
      <alignment/>
    </xf>
    <xf numFmtId="166" fontId="5" fillId="0" borderId="46" xfId="0" applyNumberFormat="1" applyFont="1" applyBorder="1" applyAlignment="1">
      <alignment/>
    </xf>
    <xf numFmtId="165" fontId="5" fillId="0" borderId="47" xfId="0" applyNumberFormat="1" applyFont="1" applyBorder="1" applyAlignment="1">
      <alignment wrapText="1"/>
    </xf>
    <xf numFmtId="165" fontId="5" fillId="0" borderId="48" xfId="0" applyNumberFormat="1" applyFont="1" applyBorder="1" applyAlignment="1">
      <alignment wrapText="1"/>
    </xf>
    <xf numFmtId="165" fontId="5" fillId="0" borderId="49" xfId="0" applyNumberFormat="1" applyFont="1" applyBorder="1" applyAlignment="1">
      <alignment wrapText="1"/>
    </xf>
    <xf numFmtId="165" fontId="5" fillId="0" borderId="25" xfId="0" applyNumberFormat="1" applyFont="1" applyBorder="1" applyAlignment="1">
      <alignment wrapText="1"/>
    </xf>
    <xf numFmtId="164" fontId="19" fillId="0" borderId="0" xfId="0" applyFont="1" applyAlignment="1">
      <alignment/>
    </xf>
    <xf numFmtId="164" fontId="4" fillId="0" borderId="46" xfId="0" applyFont="1" applyBorder="1" applyAlignment="1">
      <alignment vertical="center" wrapText="1"/>
    </xf>
    <xf numFmtId="165" fontId="4" fillId="0" borderId="47" xfId="0" applyNumberFormat="1" applyFont="1" applyBorder="1" applyAlignment="1">
      <alignment wrapText="1"/>
    </xf>
    <xf numFmtId="165" fontId="4" fillId="0" borderId="49" xfId="0" applyNumberFormat="1" applyFont="1" applyBorder="1" applyAlignment="1">
      <alignment wrapText="1"/>
    </xf>
    <xf numFmtId="165" fontId="4" fillId="0" borderId="50" xfId="0" applyNumberFormat="1" applyFont="1" applyBorder="1" applyAlignment="1">
      <alignment wrapText="1"/>
    </xf>
    <xf numFmtId="165" fontId="4" fillId="0" borderId="48" xfId="0" applyNumberFormat="1" applyFont="1" applyBorder="1" applyAlignment="1">
      <alignment wrapText="1"/>
    </xf>
    <xf numFmtId="164" fontId="3" fillId="0" borderId="46" xfId="0" applyFont="1" applyBorder="1" applyAlignment="1">
      <alignment wrapText="1"/>
    </xf>
    <xf numFmtId="165" fontId="3" fillId="0" borderId="47" xfId="0" applyNumberFormat="1" applyFont="1" applyBorder="1" applyAlignment="1">
      <alignment wrapText="1"/>
    </xf>
    <xf numFmtId="165" fontId="3" fillId="0" borderId="48" xfId="0" applyNumberFormat="1" applyFont="1" applyBorder="1" applyAlignment="1">
      <alignment wrapText="1"/>
    </xf>
    <xf numFmtId="165" fontId="3" fillId="0" borderId="49" xfId="0" applyNumberFormat="1" applyFont="1" applyBorder="1" applyAlignment="1">
      <alignment wrapText="1"/>
    </xf>
    <xf numFmtId="165" fontId="3" fillId="0" borderId="25" xfId="0" applyNumberFormat="1" applyFont="1" applyBorder="1" applyAlignment="1">
      <alignment wrapText="1"/>
    </xf>
    <xf numFmtId="164" fontId="3" fillId="0" borderId="46" xfId="0" applyFont="1" applyBorder="1" applyAlignment="1">
      <alignment/>
    </xf>
    <xf numFmtId="164" fontId="4" fillId="0" borderId="46" xfId="0" applyFont="1" applyBorder="1" applyAlignment="1">
      <alignment/>
    </xf>
    <xf numFmtId="165" fontId="4" fillId="0" borderId="25" xfId="0" applyNumberFormat="1" applyFont="1" applyBorder="1" applyAlignment="1">
      <alignment wrapText="1"/>
    </xf>
    <xf numFmtId="166" fontId="3" fillId="0" borderId="46" xfId="0" applyNumberFormat="1" applyFont="1" applyBorder="1" applyAlignment="1">
      <alignment/>
    </xf>
    <xf numFmtId="164" fontId="4" fillId="0" borderId="18" xfId="0" applyFont="1" applyBorder="1" applyAlignment="1">
      <alignment wrapText="1"/>
    </xf>
    <xf numFmtId="165" fontId="4" fillId="0" borderId="9" xfId="0" applyNumberFormat="1" applyFont="1" applyBorder="1" applyAlignment="1">
      <alignment vertical="center" wrapText="1"/>
    </xf>
    <xf numFmtId="165" fontId="4" fillId="0" borderId="7" xfId="0" applyNumberFormat="1" applyFont="1" applyBorder="1" applyAlignment="1">
      <alignment vertical="center" wrapText="1"/>
    </xf>
    <xf numFmtId="165" fontId="4" fillId="0" borderId="41" xfId="0" applyNumberFormat="1" applyFont="1" applyBorder="1" applyAlignment="1">
      <alignment vertical="center" wrapText="1"/>
    </xf>
    <xf numFmtId="165" fontId="4" fillId="0" borderId="51" xfId="0" applyNumberFormat="1" applyFont="1" applyBorder="1" applyAlignment="1">
      <alignment vertical="center" wrapText="1"/>
    </xf>
    <xf numFmtId="167" fontId="4" fillId="0" borderId="0" xfId="0" applyNumberFormat="1" applyFont="1" applyBorder="1" applyAlignment="1">
      <alignment/>
    </xf>
    <xf numFmtId="164" fontId="21" fillId="0" borderId="0" xfId="22" applyFont="1" applyAlignment="1">
      <alignment horizontal="right"/>
      <protection/>
    </xf>
    <xf numFmtId="164" fontId="21" fillId="0" borderId="0" xfId="22" applyFont="1">
      <alignment/>
      <protection/>
    </xf>
    <xf numFmtId="164" fontId="22" fillId="0" borderId="0" xfId="22" applyFont="1" applyAlignment="1">
      <alignment horizontal="center"/>
      <protection/>
    </xf>
    <xf numFmtId="164" fontId="21" fillId="0" borderId="0" xfId="22" applyFont="1" applyAlignment="1">
      <alignment horizontal="center"/>
      <protection/>
    </xf>
    <xf numFmtId="165" fontId="21" fillId="0" borderId="0" xfId="22" applyNumberFormat="1" applyFont="1">
      <alignment/>
      <protection/>
    </xf>
    <xf numFmtId="164" fontId="12" fillId="0" borderId="0" xfId="22" applyFont="1" applyBorder="1" applyAlignment="1">
      <alignment/>
      <protection/>
    </xf>
    <xf numFmtId="164" fontId="23" fillId="0" borderId="0" xfId="22" applyFont="1" applyBorder="1" applyAlignment="1">
      <alignment horizontal="center"/>
      <protection/>
    </xf>
    <xf numFmtId="164" fontId="24" fillId="0" borderId="0" xfId="22" applyFont="1" applyBorder="1" applyAlignment="1">
      <alignment horizontal="center"/>
      <protection/>
    </xf>
    <xf numFmtId="165" fontId="12" fillId="0" borderId="0" xfId="22" applyNumberFormat="1" applyFont="1" applyAlignment="1">
      <alignment horizontal="right"/>
      <protection/>
    </xf>
    <xf numFmtId="164" fontId="12" fillId="0" borderId="35" xfId="22" applyFont="1" applyBorder="1" applyAlignment="1">
      <alignment horizontal="center" vertical="center"/>
      <protection/>
    </xf>
    <xf numFmtId="164" fontId="12" fillId="0" borderId="52" xfId="20" applyFont="1" applyBorder="1" applyAlignment="1">
      <alignment horizontal="center" vertical="center"/>
      <protection/>
    </xf>
    <xf numFmtId="164" fontId="12" fillId="0" borderId="52" xfId="22" applyFont="1" applyBorder="1" applyAlignment="1">
      <alignment horizontal="center" vertical="center"/>
      <protection/>
    </xf>
    <xf numFmtId="164" fontId="12" fillId="0" borderId="53" xfId="22" applyFont="1" applyBorder="1" applyAlignment="1">
      <alignment horizontal="center"/>
      <protection/>
    </xf>
    <xf numFmtId="164" fontId="12" fillId="0" borderId="52" xfId="22" applyFont="1" applyBorder="1" applyAlignment="1">
      <alignment horizontal="center" vertical="center" wrapText="1"/>
      <protection/>
    </xf>
    <xf numFmtId="165" fontId="12" fillId="0" borderId="36" xfId="22" applyNumberFormat="1" applyFont="1" applyBorder="1" applyAlignment="1">
      <alignment horizontal="center" vertical="center" wrapText="1"/>
      <protection/>
    </xf>
    <xf numFmtId="164" fontId="22" fillId="0" borderId="0" xfId="22" applyFont="1">
      <alignment/>
      <protection/>
    </xf>
    <xf numFmtId="164" fontId="12" fillId="0" borderId="9" xfId="22" applyFont="1" applyBorder="1" applyAlignment="1">
      <alignment horizontal="center" vertical="center" wrapText="1"/>
      <protection/>
    </xf>
    <xf numFmtId="164" fontId="12" fillId="0" borderId="9" xfId="22" applyFont="1" applyBorder="1" applyAlignment="1">
      <alignment horizontal="center" vertical="center"/>
      <protection/>
    </xf>
    <xf numFmtId="166" fontId="21" fillId="0" borderId="10" xfId="22" applyNumberFormat="1" applyFont="1" applyBorder="1" applyAlignment="1">
      <alignment horizontal="center"/>
      <protection/>
    </xf>
    <xf numFmtId="164" fontId="21" fillId="0" borderId="11" xfId="22" applyFont="1" applyBorder="1" applyAlignment="1">
      <alignment/>
      <protection/>
    </xf>
    <xf numFmtId="164" fontId="22" fillId="0" borderId="53" xfId="22" applyFont="1" applyBorder="1">
      <alignment/>
      <protection/>
    </xf>
    <xf numFmtId="165" fontId="12" fillId="0" borderId="11" xfId="22" applyNumberFormat="1" applyFont="1" applyBorder="1">
      <alignment/>
      <protection/>
    </xf>
    <xf numFmtId="165" fontId="21" fillId="0" borderId="11" xfId="22" applyNumberFormat="1" applyFont="1" applyBorder="1">
      <alignment/>
      <protection/>
    </xf>
    <xf numFmtId="165" fontId="21" fillId="0" borderId="13" xfId="22" applyNumberFormat="1" applyFont="1" applyBorder="1">
      <alignment/>
      <protection/>
    </xf>
    <xf numFmtId="164" fontId="22" fillId="0" borderId="15" xfId="22" applyFont="1" applyBorder="1">
      <alignment/>
      <protection/>
    </xf>
    <xf numFmtId="164" fontId="3" fillId="0" borderId="17" xfId="0" applyFont="1" applyBorder="1" applyAlignment="1">
      <alignment horizontal="center" vertical="center" wrapText="1"/>
    </xf>
    <xf numFmtId="168" fontId="21" fillId="0" borderId="14" xfId="22" applyNumberFormat="1" applyFont="1" applyBorder="1" applyAlignment="1">
      <alignment horizontal="center"/>
      <protection/>
    </xf>
    <xf numFmtId="164" fontId="21" fillId="0" borderId="15" xfId="22" applyFont="1" applyBorder="1" applyAlignment="1">
      <alignment horizontal="left"/>
      <protection/>
    </xf>
    <xf numFmtId="165" fontId="12" fillId="0" borderId="15" xfId="22" applyNumberFormat="1" applyFont="1" applyBorder="1">
      <alignment/>
      <protection/>
    </xf>
    <xf numFmtId="165" fontId="21" fillId="0" borderId="15" xfId="22" applyNumberFormat="1" applyFont="1" applyBorder="1">
      <alignment/>
      <protection/>
    </xf>
    <xf numFmtId="165" fontId="21" fillId="0" borderId="17" xfId="22" applyNumberFormat="1" applyFont="1" applyBorder="1">
      <alignment/>
      <protection/>
    </xf>
    <xf numFmtId="164" fontId="21" fillId="0" borderId="15" xfId="22" applyFont="1" applyBorder="1" applyAlignment="1">
      <alignment/>
      <protection/>
    </xf>
    <xf numFmtId="164" fontId="22" fillId="0" borderId="0" xfId="22" applyFont="1" applyBorder="1">
      <alignment/>
      <protection/>
    </xf>
    <xf numFmtId="168" fontId="21" fillId="0" borderId="14" xfId="20" applyNumberFormat="1" applyFont="1" applyBorder="1" applyAlignment="1">
      <alignment horizontal="center" vertical="center"/>
      <protection/>
    </xf>
    <xf numFmtId="164" fontId="21" fillId="0" borderId="15" xfId="20" applyFont="1" applyBorder="1" applyAlignment="1">
      <alignment horizontal="left" vertical="center"/>
      <protection/>
    </xf>
    <xf numFmtId="165" fontId="21" fillId="0" borderId="15" xfId="22" applyNumberFormat="1" applyFont="1" applyBorder="1" applyAlignment="1">
      <alignment horizontal="right"/>
      <protection/>
    </xf>
    <xf numFmtId="165" fontId="21" fillId="0" borderId="17" xfId="22" applyNumberFormat="1" applyFont="1" applyBorder="1" applyAlignment="1">
      <alignment horizontal="right"/>
      <protection/>
    </xf>
    <xf numFmtId="164" fontId="22" fillId="0" borderId="12" xfId="22" applyFont="1" applyBorder="1">
      <alignment/>
      <protection/>
    </xf>
    <xf numFmtId="168" fontId="21" fillId="0" borderId="10" xfId="22" applyNumberFormat="1" applyFont="1" applyBorder="1" applyAlignment="1">
      <alignment horizontal="center"/>
      <protection/>
    </xf>
    <xf numFmtId="165" fontId="21" fillId="0" borderId="11" xfId="22" applyNumberFormat="1" applyFont="1" applyBorder="1" applyAlignment="1">
      <alignment horizontal="right"/>
      <protection/>
    </xf>
    <xf numFmtId="165" fontId="21" fillId="0" borderId="13" xfId="22" applyNumberFormat="1" applyFont="1" applyBorder="1" applyAlignment="1">
      <alignment horizontal="right"/>
      <protection/>
    </xf>
    <xf numFmtId="164" fontId="21" fillId="0" borderId="15" xfId="22" applyFont="1" applyBorder="1" applyAlignment="1">
      <alignment horizontal="right"/>
      <protection/>
    </xf>
    <xf numFmtId="168" fontId="21" fillId="0" borderId="46" xfId="22" applyNumberFormat="1" applyFont="1" applyBorder="1" applyAlignment="1">
      <alignment horizontal="center"/>
      <protection/>
    </xf>
    <xf numFmtId="164" fontId="21" fillId="0" borderId="47" xfId="22" applyFont="1" applyBorder="1" applyAlignment="1">
      <alignment/>
      <protection/>
    </xf>
    <xf numFmtId="165" fontId="12" fillId="0" borderId="47" xfId="22" applyNumberFormat="1" applyFont="1" applyBorder="1">
      <alignment/>
      <protection/>
    </xf>
    <xf numFmtId="165" fontId="21" fillId="0" borderId="47" xfId="22" applyNumberFormat="1" applyFont="1" applyBorder="1" applyAlignment="1">
      <alignment horizontal="right"/>
      <protection/>
    </xf>
    <xf numFmtId="165" fontId="21" fillId="0" borderId="49" xfId="22" applyNumberFormat="1" applyFont="1" applyBorder="1" applyAlignment="1">
      <alignment horizontal="right"/>
      <protection/>
    </xf>
    <xf numFmtId="165" fontId="12" fillId="0" borderId="54" xfId="22" applyNumberFormat="1" applyFont="1" applyBorder="1">
      <alignment/>
      <protection/>
    </xf>
    <xf numFmtId="164" fontId="22" fillId="0" borderId="40" xfId="22" applyFont="1" applyBorder="1">
      <alignment/>
      <protection/>
    </xf>
    <xf numFmtId="164" fontId="21" fillId="0" borderId="11" xfId="22" applyFont="1" applyBorder="1" applyAlignment="1">
      <alignment horizontal="right"/>
      <protection/>
    </xf>
    <xf numFmtId="164" fontId="21" fillId="0" borderId="47" xfId="22" applyFont="1" applyBorder="1" applyAlignment="1">
      <alignment horizontal="right"/>
      <protection/>
    </xf>
    <xf numFmtId="164" fontId="22" fillId="0" borderId="37" xfId="22" applyFont="1" applyBorder="1">
      <alignment/>
      <protection/>
    </xf>
    <xf numFmtId="164" fontId="22" fillId="0" borderId="11" xfId="22" applyFont="1" applyBorder="1">
      <alignment/>
      <protection/>
    </xf>
    <xf numFmtId="164" fontId="21" fillId="0" borderId="0" xfId="22" applyFont="1" applyBorder="1">
      <alignment/>
      <protection/>
    </xf>
    <xf numFmtId="164" fontId="12" fillId="0" borderId="14" xfId="22" applyFont="1" applyBorder="1" applyAlignment="1">
      <alignment horizontal="left"/>
      <protection/>
    </xf>
    <xf numFmtId="164" fontId="16" fillId="0" borderId="15" xfId="20" applyFont="1" applyBorder="1" applyAlignment="1">
      <alignment horizontal="left"/>
      <protection/>
    </xf>
    <xf numFmtId="165" fontId="12" fillId="0" borderId="15" xfId="22" applyNumberFormat="1" applyFont="1" applyBorder="1" applyAlignment="1">
      <alignment horizontal="right"/>
      <protection/>
    </xf>
    <xf numFmtId="164" fontId="12" fillId="0" borderId="46" xfId="22" applyFont="1" applyBorder="1" applyAlignment="1">
      <alignment horizontal="left"/>
      <protection/>
    </xf>
    <xf numFmtId="164" fontId="16" fillId="0" borderId="50" xfId="20" applyFont="1" applyBorder="1" applyAlignment="1">
      <alignment horizontal="left"/>
      <protection/>
    </xf>
    <xf numFmtId="165" fontId="12" fillId="0" borderId="47" xfId="22" applyNumberFormat="1" applyFont="1" applyBorder="1" applyAlignment="1">
      <alignment horizontal="right"/>
      <protection/>
    </xf>
    <xf numFmtId="164" fontId="25" fillId="0" borderId="11" xfId="22" applyFont="1" applyBorder="1">
      <alignment/>
      <protection/>
    </xf>
    <xf numFmtId="165" fontId="12" fillId="0" borderId="17" xfId="22" applyNumberFormat="1" applyFont="1" applyBorder="1" applyAlignment="1">
      <alignment horizontal="right"/>
      <protection/>
    </xf>
    <xf numFmtId="164" fontId="25" fillId="0" borderId="15" xfId="22" applyFont="1" applyBorder="1">
      <alignment/>
      <protection/>
    </xf>
    <xf numFmtId="164" fontId="21" fillId="0" borderId="12" xfId="22" applyFont="1" applyBorder="1">
      <alignment/>
      <protection/>
    </xf>
    <xf numFmtId="164" fontId="12" fillId="0" borderId="44" xfId="22" applyFont="1" applyBorder="1" applyAlignment="1">
      <alignment horizontal="left"/>
      <protection/>
    </xf>
    <xf numFmtId="165" fontId="12" fillId="0" borderId="5" xfId="22" applyNumberFormat="1" applyFont="1" applyBorder="1" applyAlignment="1">
      <alignment horizontal="right"/>
      <protection/>
    </xf>
    <xf numFmtId="165" fontId="12" fillId="0" borderId="9" xfId="22" applyNumberFormat="1" applyFont="1" applyBorder="1" applyAlignment="1">
      <alignment horizontal="right"/>
      <protection/>
    </xf>
    <xf numFmtId="165" fontId="12" fillId="0" borderId="45" xfId="22" applyNumberFormat="1" applyFont="1" applyBorder="1" applyAlignment="1">
      <alignment horizontal="right"/>
      <protection/>
    </xf>
    <xf numFmtId="165" fontId="21" fillId="0" borderId="0" xfId="22" applyNumberFormat="1" applyFont="1" applyAlignment="1">
      <alignment horizontal="right"/>
      <protection/>
    </xf>
    <xf numFmtId="165" fontId="21" fillId="0" borderId="47" xfId="22" applyNumberFormat="1" applyFont="1" applyBorder="1">
      <alignment/>
      <protection/>
    </xf>
    <xf numFmtId="165" fontId="21" fillId="0" borderId="49" xfId="22" applyNumberFormat="1" applyFont="1" applyBorder="1">
      <alignment/>
      <protection/>
    </xf>
    <xf numFmtId="168" fontId="21" fillId="0" borderId="55" xfId="22" applyNumberFormat="1" applyFont="1" applyBorder="1" applyAlignment="1">
      <alignment horizontal="center"/>
      <protection/>
    </xf>
    <xf numFmtId="164" fontId="21" fillId="0" borderId="54" xfId="22" applyFont="1" applyBorder="1" applyAlignment="1">
      <alignment/>
      <protection/>
    </xf>
    <xf numFmtId="165" fontId="21" fillId="0" borderId="54" xfId="22" applyNumberFormat="1" applyFont="1" applyBorder="1" applyAlignment="1">
      <alignment horizontal="right"/>
      <protection/>
    </xf>
    <xf numFmtId="164" fontId="21" fillId="0" borderId="54" xfId="22" applyFont="1" applyBorder="1" applyAlignment="1">
      <alignment horizontal="right"/>
      <protection/>
    </xf>
    <xf numFmtId="165" fontId="21" fillId="0" borderId="56" xfId="22" applyNumberFormat="1" applyFont="1" applyBorder="1" applyAlignment="1">
      <alignment horizontal="right"/>
      <protection/>
    </xf>
    <xf numFmtId="168" fontId="21" fillId="0" borderId="57" xfId="22" applyNumberFormat="1" applyFont="1" applyBorder="1" applyAlignment="1">
      <alignment horizontal="center"/>
      <protection/>
    </xf>
    <xf numFmtId="165" fontId="12" fillId="0" borderId="50" xfId="22" applyNumberFormat="1" applyFont="1" applyBorder="1">
      <alignment/>
      <protection/>
    </xf>
    <xf numFmtId="165" fontId="12" fillId="0" borderId="58" xfId="22" applyNumberFormat="1" applyFont="1" applyBorder="1">
      <alignment/>
      <protection/>
    </xf>
    <xf numFmtId="165" fontId="21" fillId="0" borderId="50" xfId="22" applyNumberFormat="1" applyFont="1" applyBorder="1">
      <alignment/>
      <protection/>
    </xf>
    <xf numFmtId="168" fontId="12" fillId="0" borderId="57" xfId="20" applyNumberFormat="1" applyFont="1" applyBorder="1" applyAlignment="1">
      <alignment horizontal="left" vertical="center"/>
      <protection/>
    </xf>
    <xf numFmtId="165" fontId="12" fillId="0" borderId="27" xfId="22" applyNumberFormat="1" applyFont="1" applyBorder="1">
      <alignment/>
      <protection/>
    </xf>
    <xf numFmtId="168" fontId="12" fillId="0" borderId="14" xfId="20" applyNumberFormat="1" applyFont="1" applyBorder="1" applyAlignment="1">
      <alignment horizontal="left" vertical="center"/>
      <protection/>
    </xf>
    <xf numFmtId="165" fontId="12" fillId="0" borderId="17" xfId="22" applyNumberFormat="1" applyFont="1" applyBorder="1">
      <alignment/>
      <protection/>
    </xf>
    <xf numFmtId="168" fontId="12" fillId="0" borderId="44" xfId="20" applyNumberFormat="1" applyFont="1" applyBorder="1" applyAlignment="1">
      <alignment horizontal="left" vertical="center"/>
      <protection/>
    </xf>
    <xf numFmtId="164" fontId="22" fillId="0" borderId="9" xfId="22" applyFont="1" applyBorder="1">
      <alignment/>
      <protection/>
    </xf>
    <xf numFmtId="165" fontId="12" fillId="0" borderId="5" xfId="22" applyNumberFormat="1" applyFont="1" applyBorder="1">
      <alignment/>
      <protection/>
    </xf>
    <xf numFmtId="165" fontId="12" fillId="0" borderId="45" xfId="22" applyNumberFormat="1" applyFont="1" applyBorder="1">
      <alignment/>
      <protection/>
    </xf>
    <xf numFmtId="164" fontId="22" fillId="0" borderId="54" xfId="22" applyFont="1" applyBorder="1">
      <alignment/>
      <protection/>
    </xf>
    <xf numFmtId="165" fontId="21" fillId="0" borderId="54" xfId="22" applyNumberFormat="1" applyFont="1" applyBorder="1">
      <alignment/>
      <protection/>
    </xf>
    <xf numFmtId="165" fontId="21" fillId="0" borderId="56" xfId="22" applyNumberFormat="1" applyFont="1" applyBorder="1">
      <alignment/>
      <protection/>
    </xf>
    <xf numFmtId="168" fontId="21" fillId="0" borderId="32" xfId="22" applyNumberFormat="1" applyFont="1" applyBorder="1" applyAlignment="1">
      <alignment horizontal="center"/>
      <protection/>
    </xf>
    <xf numFmtId="164" fontId="25" fillId="0" borderId="4" xfId="22" applyFont="1" applyBorder="1">
      <alignment/>
      <protection/>
    </xf>
    <xf numFmtId="164" fontId="26" fillId="0" borderId="12" xfId="0" applyFont="1" applyFill="1" applyBorder="1" applyAlignment="1">
      <alignment horizontal="center" vertical="center"/>
    </xf>
    <xf numFmtId="164" fontId="26" fillId="0" borderId="0" xfId="0" applyFont="1" applyFill="1" applyBorder="1" applyAlignment="1">
      <alignment horizontal="center" vertical="center"/>
    </xf>
    <xf numFmtId="164" fontId="27" fillId="0" borderId="15" xfId="0" applyFont="1" applyFill="1" applyBorder="1" applyAlignment="1">
      <alignment horizontal="center" vertical="center" wrapText="1"/>
    </xf>
    <xf numFmtId="164" fontId="27" fillId="0" borderId="15" xfId="0" applyFont="1" applyFill="1" applyBorder="1" applyAlignment="1">
      <alignment horizontal="center" vertical="center"/>
    </xf>
    <xf numFmtId="164" fontId="27" fillId="0" borderId="59" xfId="0" applyFont="1" applyFill="1" applyBorder="1" applyAlignment="1">
      <alignment horizontal="center" vertical="center" wrapText="1"/>
    </xf>
    <xf numFmtId="164" fontId="21" fillId="0" borderId="15" xfId="0" applyFont="1" applyBorder="1" applyAlignment="1">
      <alignment horizontal="left" vertical="center" wrapText="1"/>
    </xf>
    <xf numFmtId="164" fontId="21" fillId="0" borderId="15" xfId="0" applyFont="1" applyBorder="1" applyAlignment="1">
      <alignment vertical="center" wrapText="1"/>
    </xf>
    <xf numFmtId="165" fontId="21" fillId="0" borderId="15" xfId="0" applyNumberFormat="1" applyFont="1" applyBorder="1" applyAlignment="1">
      <alignment vertical="center"/>
    </xf>
    <xf numFmtId="164" fontId="12" fillId="0" borderId="15" xfId="0" applyFont="1" applyBorder="1" applyAlignment="1">
      <alignment horizontal="left" vertical="center" wrapText="1"/>
    </xf>
    <xf numFmtId="164" fontId="12" fillId="0" borderId="15" xfId="0" applyFont="1" applyBorder="1" applyAlignment="1">
      <alignment vertical="center" wrapText="1"/>
    </xf>
    <xf numFmtId="165" fontId="12" fillId="0" borderId="15" xfId="0" applyNumberFormat="1" applyFont="1" applyBorder="1" applyAlignment="1">
      <alignment vertical="center"/>
    </xf>
    <xf numFmtId="164" fontId="28" fillId="0" borderId="0" xfId="0" applyFont="1" applyAlignment="1">
      <alignment/>
    </xf>
    <xf numFmtId="165" fontId="28" fillId="0" borderId="0" xfId="0" applyNumberFormat="1" applyFont="1" applyAlignment="1">
      <alignment/>
    </xf>
    <xf numFmtId="164" fontId="21" fillId="0" borderId="47" xfId="0" applyFont="1" applyBorder="1" applyAlignment="1">
      <alignment vertical="center" wrapText="1"/>
    </xf>
    <xf numFmtId="165" fontId="21" fillId="0" borderId="47" xfId="0" applyNumberFormat="1" applyFont="1" applyBorder="1" applyAlignment="1">
      <alignment vertical="center"/>
    </xf>
    <xf numFmtId="164" fontId="28" fillId="0" borderId="15" xfId="0" applyFont="1" applyBorder="1" applyAlignment="1">
      <alignment/>
    </xf>
    <xf numFmtId="165" fontId="0" fillId="0" borderId="39" xfId="0" applyNumberFormat="1" applyBorder="1" applyAlignment="1">
      <alignment/>
    </xf>
    <xf numFmtId="164" fontId="28" fillId="0" borderId="0" xfId="0" applyFont="1" applyBorder="1" applyAlignment="1">
      <alignment/>
    </xf>
    <xf numFmtId="164" fontId="0" fillId="0" borderId="15" xfId="0" applyBorder="1" applyAlignment="1">
      <alignment/>
    </xf>
    <xf numFmtId="164" fontId="0" fillId="0" borderId="0" xfId="0" applyBorder="1" applyAlignment="1">
      <alignment/>
    </xf>
    <xf numFmtId="164" fontId="1" fillId="0" borderId="0" xfId="23">
      <alignment/>
      <protection/>
    </xf>
    <xf numFmtId="165" fontId="1" fillId="0" borderId="0" xfId="23" applyNumberFormat="1">
      <alignment/>
      <protection/>
    </xf>
    <xf numFmtId="164" fontId="29" fillId="0" borderId="0" xfId="23" applyFont="1" applyBorder="1" applyAlignment="1">
      <alignment horizontal="center" vertical="center"/>
      <protection/>
    </xf>
    <xf numFmtId="164" fontId="29" fillId="0" borderId="0" xfId="23" applyFont="1" applyBorder="1" applyAlignment="1">
      <alignment horizontal="center"/>
      <protection/>
    </xf>
    <xf numFmtId="164" fontId="12" fillId="0" borderId="35" xfId="23" applyFont="1" applyBorder="1">
      <alignment/>
      <protection/>
    </xf>
    <xf numFmtId="165" fontId="12" fillId="0" borderId="52" xfId="23" applyNumberFormat="1" applyFont="1" applyBorder="1" applyAlignment="1">
      <alignment horizontal="center" vertical="center"/>
      <protection/>
    </xf>
    <xf numFmtId="165" fontId="12" fillId="0" borderId="36" xfId="23" applyNumberFormat="1" applyFont="1" applyBorder="1" applyAlignment="1">
      <alignment horizontal="center" vertical="center"/>
      <protection/>
    </xf>
    <xf numFmtId="164" fontId="28" fillId="0" borderId="0" xfId="23" applyFont="1">
      <alignment/>
      <protection/>
    </xf>
    <xf numFmtId="164" fontId="21" fillId="0" borderId="10" xfId="23" applyFont="1" applyBorder="1">
      <alignment/>
      <protection/>
    </xf>
    <xf numFmtId="165" fontId="21" fillId="0" borderId="11" xfId="23" applyNumberFormat="1" applyFont="1" applyBorder="1">
      <alignment/>
      <protection/>
    </xf>
    <xf numFmtId="165" fontId="21" fillId="0" borderId="13" xfId="23" applyNumberFormat="1" applyFont="1" applyBorder="1">
      <alignment/>
      <protection/>
    </xf>
    <xf numFmtId="164" fontId="12" fillId="0" borderId="14" xfId="23" applyFont="1" applyBorder="1">
      <alignment/>
      <protection/>
    </xf>
    <xf numFmtId="165" fontId="12" fillId="0" borderId="15" xfId="23" applyNumberFormat="1" applyFont="1" applyBorder="1">
      <alignment/>
      <protection/>
    </xf>
    <xf numFmtId="165" fontId="12" fillId="0" borderId="17" xfId="23" applyNumberFormat="1" applyFont="1" applyBorder="1">
      <alignment/>
      <protection/>
    </xf>
    <xf numFmtId="164" fontId="21" fillId="0" borderId="14" xfId="23" applyFont="1" applyBorder="1">
      <alignment/>
      <protection/>
    </xf>
    <xf numFmtId="165" fontId="21" fillId="0" borderId="15" xfId="23" applyNumberFormat="1" applyFont="1" applyBorder="1">
      <alignment/>
      <protection/>
    </xf>
    <xf numFmtId="165" fontId="21" fillId="0" borderId="17" xfId="23" applyNumberFormat="1" applyFont="1" applyBorder="1">
      <alignment/>
      <protection/>
    </xf>
    <xf numFmtId="164" fontId="21" fillId="0" borderId="14" xfId="23" applyFont="1" applyBorder="1" applyAlignment="1">
      <alignment wrapText="1"/>
      <protection/>
    </xf>
    <xf numFmtId="164" fontId="12" fillId="0" borderId="14" xfId="23" applyFont="1" applyBorder="1" applyAlignment="1">
      <alignment wrapText="1"/>
      <protection/>
    </xf>
    <xf numFmtId="164" fontId="1" fillId="0" borderId="0" xfId="23" applyFont="1">
      <alignment/>
      <protection/>
    </xf>
    <xf numFmtId="164" fontId="30" fillId="0" borderId="18" xfId="23" applyFont="1" applyBorder="1">
      <alignment/>
      <protection/>
    </xf>
    <xf numFmtId="165" fontId="30" fillId="0" borderId="9" xfId="23" applyNumberFormat="1" applyFont="1" applyBorder="1">
      <alignment/>
      <protection/>
    </xf>
    <xf numFmtId="165" fontId="30" fillId="0" borderId="7" xfId="23" applyNumberFormat="1" applyFont="1" applyBorder="1">
      <alignment/>
      <protection/>
    </xf>
    <xf numFmtId="164" fontId="31" fillId="0" borderId="0" xfId="23" applyFont="1">
      <alignment/>
      <protection/>
    </xf>
    <xf numFmtId="164" fontId="1" fillId="0" borderId="0" xfId="23" applyBorder="1">
      <alignment/>
      <protection/>
    </xf>
    <xf numFmtId="165" fontId="1" fillId="0" borderId="0" xfId="23" applyNumberFormat="1" applyBorder="1">
      <alignment/>
      <protection/>
    </xf>
    <xf numFmtId="165" fontId="1" fillId="0" borderId="0" xfId="23" applyNumberFormat="1" applyBorder="1" applyAlignment="1">
      <alignment horizontal="left"/>
      <protection/>
    </xf>
    <xf numFmtId="165" fontId="12" fillId="0" borderId="52" xfId="23" applyNumberFormat="1" applyFont="1" applyBorder="1" applyAlignment="1">
      <alignment horizontal="center"/>
      <protection/>
    </xf>
    <xf numFmtId="165" fontId="12" fillId="0" borderId="36" xfId="23" applyNumberFormat="1" applyFont="1" applyBorder="1" applyAlignment="1">
      <alignment horizontal="center"/>
      <protection/>
    </xf>
    <xf numFmtId="165" fontId="21" fillId="0" borderId="14" xfId="23" applyNumberFormat="1" applyFont="1" applyBorder="1" applyAlignment="1">
      <alignment horizontal="left"/>
      <protection/>
    </xf>
    <xf numFmtId="164" fontId="21" fillId="0" borderId="0" xfId="23" applyFont="1">
      <alignment/>
      <protection/>
    </xf>
    <xf numFmtId="165" fontId="12" fillId="0" borderId="14" xfId="23" applyNumberFormat="1" applyFont="1" applyBorder="1" applyAlignment="1">
      <alignment horizontal="left"/>
      <protection/>
    </xf>
    <xf numFmtId="164" fontId="12" fillId="0" borderId="0" xfId="23" applyFont="1">
      <alignment/>
      <protection/>
    </xf>
    <xf numFmtId="164" fontId="21" fillId="0" borderId="14" xfId="23" applyFont="1" applyBorder="1" applyAlignment="1">
      <alignment horizontal="left" wrapText="1"/>
      <protection/>
    </xf>
    <xf numFmtId="164" fontId="1" fillId="0" borderId="0" xfId="23" applyAlignment="1">
      <alignment horizontal="left"/>
      <protection/>
    </xf>
    <xf numFmtId="165" fontId="1" fillId="0" borderId="0" xfId="23" applyNumberFormat="1" applyAlignment="1">
      <alignment horizontal="left"/>
      <protection/>
    </xf>
    <xf numFmtId="164" fontId="1" fillId="0" borderId="14" xfId="23" applyBorder="1">
      <alignment/>
      <protection/>
    </xf>
    <xf numFmtId="165" fontId="1" fillId="0" borderId="15" xfId="23" applyNumberFormat="1" applyBorder="1">
      <alignment/>
      <protection/>
    </xf>
    <xf numFmtId="165" fontId="1" fillId="0" borderId="17" xfId="23" applyNumberFormat="1" applyBorder="1">
      <alignment/>
      <protection/>
    </xf>
    <xf numFmtId="164" fontId="21" fillId="0" borderId="0" xfId="0" applyFont="1" applyAlignment="1">
      <alignment/>
    </xf>
    <xf numFmtId="164" fontId="4" fillId="0" borderId="0" xfId="0" applyFont="1" applyBorder="1" applyAlignment="1">
      <alignment horizontal="center" wrapText="1"/>
    </xf>
    <xf numFmtId="164" fontId="4" fillId="0" borderId="35" xfId="0" applyFont="1" applyBorder="1" applyAlignment="1">
      <alignment horizontal="center" vertical="center" wrapText="1"/>
    </xf>
    <xf numFmtId="164" fontId="4" fillId="0" borderId="52" xfId="0" applyFont="1" applyBorder="1" applyAlignment="1">
      <alignment horizontal="center" vertical="center"/>
    </xf>
    <xf numFmtId="165" fontId="12" fillId="0" borderId="60" xfId="23" applyNumberFormat="1" applyFont="1" applyBorder="1" applyAlignment="1">
      <alignment horizontal="center" vertical="center"/>
      <protection/>
    </xf>
    <xf numFmtId="165" fontId="4" fillId="0" borderId="52" xfId="0" applyNumberFormat="1" applyFont="1" applyBorder="1" applyAlignment="1">
      <alignment horizontal="center" vertical="center" wrapText="1"/>
    </xf>
    <xf numFmtId="164" fontId="12" fillId="0" borderId="60" xfId="0" applyFont="1" applyBorder="1" applyAlignment="1">
      <alignment horizontal="center" vertical="center" wrapText="1"/>
    </xf>
    <xf numFmtId="164" fontId="3" fillId="0" borderId="10" xfId="0" applyFont="1" applyBorder="1" applyAlignment="1">
      <alignment horizontal="left" vertical="center" wrapText="1"/>
    </xf>
    <xf numFmtId="165" fontId="3" fillId="0" borderId="11" xfId="0" applyNumberFormat="1" applyFont="1" applyBorder="1" applyAlignment="1">
      <alignment horizontal="right" vertical="center"/>
    </xf>
    <xf numFmtId="165" fontId="3" fillId="0" borderId="11" xfId="0" applyNumberFormat="1" applyFont="1" applyBorder="1" applyAlignment="1">
      <alignment horizontal="right"/>
    </xf>
    <xf numFmtId="165" fontId="21" fillId="0" borderId="43" xfId="0" applyNumberFormat="1" applyFont="1" applyBorder="1" applyAlignment="1">
      <alignment/>
    </xf>
    <xf numFmtId="165" fontId="21" fillId="0" borderId="13" xfId="0" applyNumberFormat="1" applyFont="1" applyBorder="1" applyAlignment="1">
      <alignment/>
    </xf>
    <xf numFmtId="164" fontId="3" fillId="0" borderId="14" xfId="0" applyFont="1" applyBorder="1" applyAlignment="1">
      <alignment vertical="top" wrapText="1"/>
    </xf>
    <xf numFmtId="165" fontId="3" fillId="0" borderId="15" xfId="0" applyNumberFormat="1" applyFont="1" applyBorder="1" applyAlignment="1">
      <alignment horizontal="right"/>
    </xf>
    <xf numFmtId="165" fontId="21" fillId="0" borderId="39" xfId="0" applyNumberFormat="1" applyFont="1" applyBorder="1" applyAlignment="1">
      <alignment/>
    </xf>
    <xf numFmtId="165" fontId="21" fillId="0" borderId="17" xfId="0" applyNumberFormat="1" applyFont="1" applyBorder="1" applyAlignment="1">
      <alignment/>
    </xf>
    <xf numFmtId="164" fontId="4" fillId="0" borderId="14" xfId="0" applyFont="1" applyBorder="1" applyAlignment="1">
      <alignment vertical="top" wrapText="1"/>
    </xf>
    <xf numFmtId="165" fontId="4" fillId="0" borderId="15" xfId="0" applyNumberFormat="1" applyFont="1" applyBorder="1" applyAlignment="1">
      <alignment horizontal="right"/>
    </xf>
    <xf numFmtId="165" fontId="12" fillId="0" borderId="39" xfId="0" applyNumberFormat="1" applyFont="1" applyBorder="1" applyAlignment="1">
      <alignment/>
    </xf>
    <xf numFmtId="165" fontId="12" fillId="0" borderId="17" xfId="0" applyNumberFormat="1" applyFont="1" applyBorder="1" applyAlignment="1">
      <alignment/>
    </xf>
    <xf numFmtId="164" fontId="13" fillId="0" borderId="14" xfId="0" applyFont="1" applyBorder="1" applyAlignment="1">
      <alignment vertical="top" wrapText="1"/>
    </xf>
    <xf numFmtId="165" fontId="13" fillId="0" borderId="15" xfId="0" applyNumberFormat="1" applyFont="1" applyBorder="1" applyAlignment="1">
      <alignment horizontal="right"/>
    </xf>
    <xf numFmtId="165" fontId="4" fillId="0" borderId="39" xfId="0" applyNumberFormat="1" applyFont="1" applyBorder="1" applyAlignment="1">
      <alignment horizontal="right"/>
    </xf>
    <xf numFmtId="165" fontId="4" fillId="0" borderId="17" xfId="0" applyNumberFormat="1" applyFont="1" applyBorder="1" applyAlignment="1">
      <alignment horizontal="right"/>
    </xf>
    <xf numFmtId="164" fontId="13" fillId="0" borderId="18" xfId="0" applyFont="1" applyBorder="1" applyAlignment="1">
      <alignment/>
    </xf>
    <xf numFmtId="165" fontId="13" fillId="0" borderId="9" xfId="0" applyNumberFormat="1" applyFont="1" applyBorder="1" applyAlignment="1">
      <alignment horizontal="right"/>
    </xf>
    <xf numFmtId="165" fontId="13" fillId="0" borderId="51" xfId="0" applyNumberFormat="1" applyFont="1" applyBorder="1" applyAlignment="1">
      <alignment horizontal="right"/>
    </xf>
    <xf numFmtId="165" fontId="13" fillId="0" borderId="7" xfId="0" applyNumberFormat="1" applyFont="1" applyBorder="1" applyAlignment="1">
      <alignment horizontal="right"/>
    </xf>
    <xf numFmtId="164" fontId="4" fillId="0" borderId="60" xfId="0" applyFont="1" applyBorder="1" applyAlignment="1">
      <alignment horizontal="center" vertical="center"/>
    </xf>
    <xf numFmtId="164" fontId="4" fillId="0" borderId="36" xfId="0" applyFont="1" applyBorder="1" applyAlignment="1">
      <alignment horizontal="center" vertical="center"/>
    </xf>
    <xf numFmtId="165" fontId="3" fillId="0" borderId="43" xfId="0" applyNumberFormat="1" applyFont="1" applyBorder="1" applyAlignment="1">
      <alignment horizontal="right" vertical="center"/>
    </xf>
    <xf numFmtId="165" fontId="3" fillId="0" borderId="13" xfId="0" applyNumberFormat="1" applyFont="1" applyBorder="1" applyAlignment="1">
      <alignment horizontal="right" vertical="center"/>
    </xf>
    <xf numFmtId="165" fontId="3" fillId="0" borderId="39" xfId="0" applyNumberFormat="1" applyFont="1" applyBorder="1" applyAlignment="1">
      <alignment horizontal="right"/>
    </xf>
    <xf numFmtId="165" fontId="3" fillId="0" borderId="17" xfId="0" applyNumberFormat="1" applyFont="1" applyBorder="1" applyAlignment="1">
      <alignment horizontal="right"/>
    </xf>
    <xf numFmtId="165" fontId="13" fillId="0" borderId="39" xfId="0" applyNumberFormat="1" applyFont="1" applyBorder="1" applyAlignment="1">
      <alignment horizontal="right"/>
    </xf>
    <xf numFmtId="165" fontId="13" fillId="0" borderId="17" xfId="0" applyNumberFormat="1" applyFont="1" applyBorder="1" applyAlignment="1">
      <alignment horizontal="right"/>
    </xf>
    <xf numFmtId="164" fontId="19" fillId="0" borderId="0" xfId="23" applyFont="1">
      <alignment/>
      <protection/>
    </xf>
    <xf numFmtId="164" fontId="3" fillId="0" borderId="0" xfId="23" applyFont="1">
      <alignment/>
      <protection/>
    </xf>
    <xf numFmtId="164" fontId="4" fillId="0" borderId="0" xfId="23" applyFont="1" applyBorder="1" applyAlignment="1">
      <alignment horizontal="center"/>
      <protection/>
    </xf>
    <xf numFmtId="164" fontId="32" fillId="0" borderId="0" xfId="23" applyFont="1" applyBorder="1" applyAlignment="1">
      <alignment horizontal="center"/>
      <protection/>
    </xf>
    <xf numFmtId="164" fontId="4" fillId="0" borderId="35" xfId="23" applyFont="1" applyBorder="1" applyAlignment="1">
      <alignment vertical="top" wrapText="1"/>
      <protection/>
    </xf>
    <xf numFmtId="164" fontId="4" fillId="0" borderId="52" xfId="23" applyFont="1" applyBorder="1" applyAlignment="1">
      <alignment horizontal="center"/>
      <protection/>
    </xf>
    <xf numFmtId="164" fontId="4" fillId="0" borderId="61" xfId="23" applyFont="1" applyBorder="1" applyAlignment="1">
      <alignment horizontal="center"/>
      <protection/>
    </xf>
    <xf numFmtId="165" fontId="21" fillId="0" borderId="12" xfId="23" applyNumberFormat="1" applyFont="1" applyBorder="1">
      <alignment/>
      <protection/>
    </xf>
    <xf numFmtId="165" fontId="21" fillId="0" borderId="16" xfId="23" applyNumberFormat="1" applyFont="1" applyBorder="1">
      <alignment/>
      <protection/>
    </xf>
    <xf numFmtId="164" fontId="21" fillId="0" borderId="14" xfId="23" applyFont="1" applyBorder="1" applyAlignment="1">
      <alignment vertical="center" wrapText="1"/>
      <protection/>
    </xf>
    <xf numFmtId="164" fontId="33" fillId="0" borderId="14" xfId="23" applyFont="1" applyBorder="1">
      <alignment/>
      <protection/>
    </xf>
    <xf numFmtId="164" fontId="34" fillId="0" borderId="14" xfId="23" applyFont="1" applyBorder="1">
      <alignment/>
      <protection/>
    </xf>
    <xf numFmtId="165" fontId="34" fillId="0" borderId="15" xfId="23" applyNumberFormat="1" applyFont="1" applyBorder="1">
      <alignment/>
      <protection/>
    </xf>
    <xf numFmtId="165" fontId="34" fillId="0" borderId="16" xfId="23" applyNumberFormat="1" applyFont="1" applyBorder="1">
      <alignment/>
      <protection/>
    </xf>
    <xf numFmtId="165" fontId="34" fillId="0" borderId="22" xfId="23" applyNumberFormat="1" applyFont="1" applyBorder="1">
      <alignment/>
      <protection/>
    </xf>
    <xf numFmtId="164" fontId="35" fillId="0" borderId="0" xfId="23" applyFont="1">
      <alignment/>
      <protection/>
    </xf>
    <xf numFmtId="164" fontId="12" fillId="0" borderId="14" xfId="23" applyFont="1" applyBorder="1" applyAlignment="1">
      <alignment vertical="top" wrapText="1"/>
      <protection/>
    </xf>
    <xf numFmtId="165" fontId="12" fillId="0" borderId="15" xfId="23" applyNumberFormat="1" applyFont="1" applyBorder="1" applyAlignment="1">
      <alignment horizontal="center"/>
      <protection/>
    </xf>
    <xf numFmtId="165" fontId="12" fillId="0" borderId="16" xfId="23" applyNumberFormat="1" applyFont="1" applyBorder="1" applyAlignment="1">
      <alignment horizontal="center"/>
      <protection/>
    </xf>
    <xf numFmtId="165" fontId="12" fillId="0" borderId="17" xfId="23" applyNumberFormat="1" applyFont="1" applyBorder="1" applyAlignment="1">
      <alignment horizontal="center"/>
      <protection/>
    </xf>
    <xf numFmtId="165" fontId="34" fillId="0" borderId="17" xfId="23" applyNumberFormat="1" applyFont="1" applyBorder="1">
      <alignment/>
      <protection/>
    </xf>
    <xf numFmtId="164" fontId="12" fillId="0" borderId="18" xfId="23" applyFont="1" applyBorder="1">
      <alignment/>
      <protection/>
    </xf>
    <xf numFmtId="165" fontId="12" fillId="0" borderId="9" xfId="23" applyNumberFormat="1" applyFont="1" applyBorder="1">
      <alignment/>
      <protection/>
    </xf>
    <xf numFmtId="165" fontId="12" fillId="0" borderId="6" xfId="23" applyNumberFormat="1" applyFont="1" applyBorder="1">
      <alignment/>
      <protection/>
    </xf>
    <xf numFmtId="165" fontId="12" fillId="0" borderId="29" xfId="23" applyNumberFormat="1" applyFont="1" applyBorder="1">
      <alignment/>
      <protection/>
    </xf>
    <xf numFmtId="164" fontId="12" fillId="0" borderId="35" xfId="23" applyFont="1" applyBorder="1" applyAlignment="1">
      <alignment vertical="top" wrapText="1"/>
      <protection/>
    </xf>
    <xf numFmtId="164" fontId="12" fillId="0" borderId="52" xfId="23" applyFont="1" applyBorder="1" applyAlignment="1">
      <alignment horizontal="center"/>
      <protection/>
    </xf>
    <xf numFmtId="164" fontId="12" fillId="0" borderId="61" xfId="23" applyFont="1" applyBorder="1" applyAlignment="1">
      <alignment horizontal="center"/>
      <protection/>
    </xf>
    <xf numFmtId="165" fontId="21" fillId="0" borderId="10" xfId="23" applyNumberFormat="1" applyFont="1" applyBorder="1" applyAlignment="1">
      <alignment horizontal="left"/>
      <protection/>
    </xf>
    <xf numFmtId="165" fontId="12" fillId="0" borderId="18" xfId="23" applyNumberFormat="1" applyFont="1" applyBorder="1" applyAlignment="1">
      <alignment horizontal="left"/>
      <protection/>
    </xf>
    <xf numFmtId="165" fontId="12" fillId="0" borderId="7" xfId="23" applyNumberFormat="1" applyFont="1" applyBorder="1">
      <alignment/>
      <protection/>
    </xf>
    <xf numFmtId="164" fontId="4" fillId="0" borderId="0" xfId="23" applyFont="1" applyBorder="1" applyAlignment="1">
      <alignment horizontal="center" vertical="center"/>
      <protection/>
    </xf>
    <xf numFmtId="164" fontId="1" fillId="0" borderId="0" xfId="23" applyFont="1" applyAlignment="1">
      <alignment/>
      <protection/>
    </xf>
    <xf numFmtId="164" fontId="12" fillId="0" borderId="35" xfId="23" applyFont="1" applyBorder="1" applyAlignment="1">
      <alignment horizontal="left"/>
      <protection/>
    </xf>
    <xf numFmtId="164" fontId="12" fillId="0" borderId="10" xfId="23" applyFont="1" applyBorder="1" applyAlignment="1">
      <alignment horizontal="left"/>
      <protection/>
    </xf>
    <xf numFmtId="164" fontId="12" fillId="0" borderId="11" xfId="23" applyFont="1" applyBorder="1" applyAlignment="1">
      <alignment horizontal="center"/>
      <protection/>
    </xf>
    <xf numFmtId="164" fontId="12" fillId="0" borderId="12" xfId="23" applyFont="1" applyBorder="1" applyAlignment="1">
      <alignment horizontal="center"/>
      <protection/>
    </xf>
    <xf numFmtId="164" fontId="12" fillId="0" borderId="13" xfId="23" applyFont="1" applyBorder="1" applyAlignment="1">
      <alignment horizontal="center"/>
      <protection/>
    </xf>
    <xf numFmtId="165" fontId="12" fillId="0" borderId="39" xfId="23" applyNumberFormat="1" applyFont="1" applyBorder="1">
      <alignment/>
      <protection/>
    </xf>
    <xf numFmtId="165" fontId="12" fillId="0" borderId="16" xfId="23" applyNumberFormat="1" applyFont="1" applyBorder="1">
      <alignment/>
      <protection/>
    </xf>
    <xf numFmtId="165" fontId="30" fillId="0" borderId="51" xfId="23" applyNumberFormat="1" applyFont="1" applyBorder="1">
      <alignment/>
      <protection/>
    </xf>
    <xf numFmtId="164" fontId="4" fillId="0" borderId="0" xfId="23" applyFont="1">
      <alignment/>
      <protection/>
    </xf>
    <xf numFmtId="165" fontId="1" fillId="0" borderId="10" xfId="23" applyNumberFormat="1" applyBorder="1" applyAlignment="1">
      <alignment horizontal="left"/>
      <protection/>
    </xf>
    <xf numFmtId="165" fontId="1" fillId="0" borderId="11" xfId="23" applyNumberFormat="1" applyBorder="1">
      <alignment/>
      <protection/>
    </xf>
    <xf numFmtId="165" fontId="1" fillId="0" borderId="12" xfId="23" applyNumberFormat="1" applyBorder="1">
      <alignment/>
      <protection/>
    </xf>
    <xf numFmtId="165" fontId="1" fillId="0" borderId="13" xfId="23" applyNumberFormat="1" applyBorder="1">
      <alignment/>
      <protection/>
    </xf>
    <xf numFmtId="164" fontId="21" fillId="0" borderId="46" xfId="23" applyFont="1" applyBorder="1">
      <alignment/>
      <protection/>
    </xf>
    <xf numFmtId="165" fontId="12" fillId="0" borderId="0" xfId="23" applyNumberFormat="1" applyFont="1" applyBorder="1" applyAlignment="1">
      <alignment horizontal="center"/>
      <protection/>
    </xf>
    <xf numFmtId="165" fontId="21" fillId="0" borderId="0" xfId="23" applyNumberFormat="1" applyFont="1" applyAlignment="1">
      <alignment horizontal="left"/>
      <protection/>
    </xf>
    <xf numFmtId="165" fontId="21" fillId="0" borderId="0" xfId="23" applyNumberFormat="1" applyFont="1">
      <alignment/>
      <protection/>
    </xf>
    <xf numFmtId="164" fontId="12" fillId="0" borderId="60" xfId="23" applyFont="1" applyBorder="1" applyAlignment="1">
      <alignment horizontal="center"/>
      <protection/>
    </xf>
    <xf numFmtId="164" fontId="12" fillId="0" borderId="43" xfId="23" applyFont="1" applyBorder="1" applyAlignment="1">
      <alignment horizontal="center"/>
      <protection/>
    </xf>
    <xf numFmtId="165" fontId="21" fillId="0" borderId="39" xfId="23" applyNumberFormat="1" applyFont="1" applyBorder="1">
      <alignment/>
      <protection/>
    </xf>
    <xf numFmtId="165" fontId="30" fillId="0" borderId="18" xfId="23" applyNumberFormat="1" applyFont="1" applyBorder="1" applyAlignment="1">
      <alignment horizontal="left"/>
      <protection/>
    </xf>
    <xf numFmtId="164" fontId="25" fillId="0" borderId="0" xfId="0" applyFont="1" applyAlignment="1">
      <alignment/>
    </xf>
    <xf numFmtId="164" fontId="36" fillId="0" borderId="0" xfId="0" applyFont="1" applyAlignment="1">
      <alignment/>
    </xf>
    <xf numFmtId="164" fontId="12" fillId="0" borderId="0" xfId="0" applyFont="1" applyBorder="1" applyAlignment="1">
      <alignment horizontal="center" wrapText="1"/>
    </xf>
    <xf numFmtId="164" fontId="23" fillId="0" borderId="0" xfId="0" applyFont="1" applyAlignment="1">
      <alignment/>
    </xf>
    <xf numFmtId="164" fontId="37" fillId="0" borderId="0" xfId="0" applyFont="1" applyAlignment="1">
      <alignment/>
    </xf>
    <xf numFmtId="164" fontId="12" fillId="0" borderId="35" xfId="0" applyFont="1" applyBorder="1" applyAlignment="1">
      <alignment horizontal="center" vertical="top" wrapText="1"/>
    </xf>
    <xf numFmtId="164" fontId="12" fillId="0" borderId="53" xfId="0" applyFont="1" applyBorder="1" applyAlignment="1">
      <alignment horizontal="center" vertical="center" wrapText="1"/>
    </xf>
    <xf numFmtId="164" fontId="12" fillId="0" borderId="5" xfId="0" applyFont="1" applyBorder="1" applyAlignment="1">
      <alignment horizontal="center" vertical="center" wrapText="1"/>
    </xf>
    <xf numFmtId="164" fontId="12" fillId="0" borderId="1" xfId="0" applyFont="1" applyBorder="1" applyAlignment="1">
      <alignment horizontal="center" vertical="center" wrapText="1"/>
    </xf>
    <xf numFmtId="164" fontId="4" fillId="0" borderId="7" xfId="0" applyFont="1" applyBorder="1" applyAlignment="1">
      <alignment horizontal="center" vertical="center"/>
    </xf>
    <xf numFmtId="164" fontId="21" fillId="0" borderId="10" xfId="0" applyFont="1" applyBorder="1" applyAlignment="1">
      <alignment horizontal="justify" vertical="top" wrapText="1"/>
    </xf>
    <xf numFmtId="169" fontId="21" fillId="0" borderId="11" xfId="0" applyNumberFormat="1" applyFont="1" applyBorder="1" applyAlignment="1">
      <alignment horizontal="center" vertical="top" wrapText="1"/>
    </xf>
    <xf numFmtId="169" fontId="21" fillId="0" borderId="43" xfId="0" applyNumberFormat="1" applyFont="1" applyBorder="1" applyAlignment="1">
      <alignment horizontal="center" vertical="top" wrapText="1"/>
    </xf>
    <xf numFmtId="169" fontId="21" fillId="0" borderId="13" xfId="0" applyNumberFormat="1" applyFont="1" applyBorder="1" applyAlignment="1">
      <alignment horizontal="center" vertical="top" wrapText="1"/>
    </xf>
    <xf numFmtId="169" fontId="21" fillId="0" borderId="12" xfId="0" applyNumberFormat="1" applyFont="1" applyBorder="1" applyAlignment="1">
      <alignment horizontal="center" vertical="top" wrapText="1"/>
    </xf>
    <xf numFmtId="164" fontId="21" fillId="0" borderId="14" xfId="0" applyFont="1" applyBorder="1" applyAlignment="1">
      <alignment horizontal="justify" vertical="top" wrapText="1"/>
    </xf>
    <xf numFmtId="169" fontId="21" fillId="0" borderId="15" xfId="0" applyNumberFormat="1" applyFont="1" applyBorder="1" applyAlignment="1">
      <alignment horizontal="center" vertical="top" wrapText="1"/>
    </xf>
    <xf numFmtId="169" fontId="21" fillId="0" borderId="39" xfId="0" applyNumberFormat="1" applyFont="1" applyBorder="1" applyAlignment="1">
      <alignment horizontal="center" vertical="top" wrapText="1"/>
    </xf>
    <xf numFmtId="169" fontId="21" fillId="0" borderId="17" xfId="0" applyNumberFormat="1" applyFont="1" applyBorder="1" applyAlignment="1">
      <alignment horizontal="center" vertical="top" wrapText="1"/>
    </xf>
    <xf numFmtId="164" fontId="33" fillId="0" borderId="10" xfId="0" applyFont="1" applyBorder="1" applyAlignment="1">
      <alignment horizontal="justify" vertical="top" wrapText="1"/>
    </xf>
    <xf numFmtId="169" fontId="33" fillId="0" borderId="11" xfId="0" applyNumberFormat="1" applyFont="1" applyBorder="1" applyAlignment="1">
      <alignment horizontal="center" vertical="top" wrapText="1"/>
    </xf>
    <xf numFmtId="169" fontId="33" fillId="0" borderId="43" xfId="0" applyNumberFormat="1" applyFont="1" applyBorder="1" applyAlignment="1">
      <alignment horizontal="center" vertical="top" wrapText="1"/>
    </xf>
    <xf numFmtId="169" fontId="33" fillId="0" borderId="13" xfId="0" applyNumberFormat="1" applyFont="1" applyBorder="1" applyAlignment="1">
      <alignment horizontal="center" vertical="top" wrapText="1"/>
    </xf>
    <xf numFmtId="164" fontId="33" fillId="0" borderId="10" xfId="0" applyFont="1" applyBorder="1" applyAlignment="1">
      <alignment horizontal="left" vertical="center" wrapText="1"/>
    </xf>
    <xf numFmtId="169" fontId="33" fillId="0" borderId="9" xfId="0" applyNumberFormat="1" applyFont="1" applyBorder="1" applyAlignment="1">
      <alignment horizontal="center" vertical="top" wrapText="1"/>
    </xf>
    <xf numFmtId="169" fontId="33" fillId="0" borderId="51" xfId="0" applyNumberFormat="1" applyFont="1" applyBorder="1" applyAlignment="1">
      <alignment horizontal="center" vertical="top" wrapText="1"/>
    </xf>
    <xf numFmtId="169" fontId="33" fillId="0" borderId="7" xfId="0" applyNumberFormat="1" applyFont="1" applyBorder="1" applyAlignment="1">
      <alignment horizontal="center" vertical="top" wrapText="1"/>
    </xf>
    <xf numFmtId="164" fontId="34" fillId="0" borderId="10" xfId="0" applyFont="1" applyBorder="1" applyAlignment="1">
      <alignment horizontal="justify" vertical="top" wrapText="1"/>
    </xf>
    <xf numFmtId="169" fontId="34" fillId="0" borderId="11" xfId="0" applyNumberFormat="1" applyFont="1" applyBorder="1" applyAlignment="1">
      <alignment horizontal="center" vertical="top" wrapText="1"/>
    </xf>
    <xf numFmtId="169" fontId="34" fillId="0" borderId="12" xfId="0" applyNumberFormat="1" applyFont="1" applyBorder="1" applyAlignment="1">
      <alignment horizontal="center" vertical="top" wrapText="1"/>
    </xf>
    <xf numFmtId="169" fontId="34" fillId="0" borderId="13" xfId="0" applyNumberFormat="1" applyFont="1" applyBorder="1" applyAlignment="1">
      <alignment horizontal="center" vertical="top" wrapText="1"/>
    </xf>
    <xf numFmtId="169" fontId="21" fillId="0" borderId="47" xfId="0" applyNumberFormat="1" applyFont="1" applyBorder="1" applyAlignment="1">
      <alignment horizontal="center" vertical="top" wrapText="1"/>
    </xf>
    <xf numFmtId="169" fontId="21" fillId="0" borderId="48" xfId="0" applyNumberFormat="1" applyFont="1" applyBorder="1" applyAlignment="1">
      <alignment horizontal="center" vertical="top" wrapText="1"/>
    </xf>
    <xf numFmtId="169" fontId="21" fillId="0" borderId="49" xfId="0" applyNumberFormat="1" applyFont="1" applyBorder="1" applyAlignment="1">
      <alignment horizontal="center" vertical="top" wrapText="1"/>
    </xf>
    <xf numFmtId="169" fontId="34" fillId="0" borderId="53" xfId="0" applyNumberFormat="1" applyFont="1" applyBorder="1" applyAlignment="1">
      <alignment horizontal="center" vertical="top" wrapText="1"/>
    </xf>
    <xf numFmtId="169" fontId="34" fillId="0" borderId="62" xfId="0" applyNumberFormat="1" applyFont="1" applyBorder="1" applyAlignment="1">
      <alignment horizontal="center" vertical="top" wrapText="1"/>
    </xf>
    <xf numFmtId="169" fontId="34" fillId="0" borderId="38" xfId="0" applyNumberFormat="1" applyFont="1" applyBorder="1" applyAlignment="1">
      <alignment horizontal="center" vertical="top" wrapText="1"/>
    </xf>
    <xf numFmtId="169" fontId="21" fillId="0" borderId="25" xfId="0" applyNumberFormat="1" applyFont="1" applyBorder="1" applyAlignment="1">
      <alignment horizontal="center" vertical="top" wrapText="1"/>
    </xf>
    <xf numFmtId="169" fontId="21" fillId="0" borderId="9" xfId="0" applyNumberFormat="1" applyFont="1" applyBorder="1" applyAlignment="1">
      <alignment horizontal="center" vertical="top" wrapText="1"/>
    </xf>
    <xf numFmtId="169" fontId="21" fillId="0" borderId="51" xfId="0" applyNumberFormat="1" applyFont="1" applyBorder="1" applyAlignment="1">
      <alignment horizontal="center" vertical="top" wrapText="1"/>
    </xf>
    <xf numFmtId="169" fontId="21" fillId="0" borderId="7" xfId="0" applyNumberFormat="1" applyFont="1" applyBorder="1" applyAlignment="1">
      <alignment horizontal="center" vertical="top" wrapText="1"/>
    </xf>
    <xf numFmtId="164" fontId="34" fillId="0" borderId="0" xfId="0" applyFont="1" applyAlignment="1">
      <alignment/>
    </xf>
    <xf numFmtId="169" fontId="21" fillId="0" borderId="6" xfId="0" applyNumberFormat="1" applyFont="1" applyBorder="1" applyAlignment="1">
      <alignment horizontal="center" vertical="top" wrapText="1"/>
    </xf>
    <xf numFmtId="164" fontId="12" fillId="0" borderId="44" xfId="0" applyFont="1" applyBorder="1" applyAlignment="1">
      <alignment horizontal="justify" vertical="top" wrapText="1"/>
    </xf>
    <xf numFmtId="169" fontId="12" fillId="0" borderId="5" xfId="0" applyNumberFormat="1" applyFont="1" applyBorder="1" applyAlignment="1">
      <alignment horizontal="center" vertical="top" wrapText="1"/>
    </xf>
    <xf numFmtId="169" fontId="12" fillId="0" borderId="1" xfId="0" applyNumberFormat="1" applyFont="1" applyBorder="1" applyAlignment="1">
      <alignment horizontal="center" vertical="top" wrapText="1"/>
    </xf>
    <xf numFmtId="169" fontId="12" fillId="0" borderId="45" xfId="0" applyNumberFormat="1" applyFont="1" applyBorder="1" applyAlignment="1">
      <alignment horizontal="center" vertical="top" wrapText="1"/>
    </xf>
    <xf numFmtId="164" fontId="38" fillId="0" borderId="0" xfId="0" applyFont="1" applyAlignment="1">
      <alignment horizontal="justify"/>
    </xf>
    <xf numFmtId="170" fontId="21" fillId="0" borderId="0" xfId="0" applyNumberFormat="1" applyFont="1" applyAlignment="1">
      <alignment/>
    </xf>
    <xf numFmtId="164" fontId="36" fillId="0" borderId="0" xfId="0" applyFont="1" applyAlignment="1">
      <alignment horizontal="justify"/>
    </xf>
    <xf numFmtId="164" fontId="12" fillId="0" borderId="0" xfId="0" applyFont="1" applyBorder="1" applyAlignment="1">
      <alignment horizontal="center"/>
    </xf>
    <xf numFmtId="164" fontId="12" fillId="0" borderId="35" xfId="0" applyFont="1" applyBorder="1" applyAlignment="1">
      <alignment horizontal="center" vertical="center"/>
    </xf>
    <xf numFmtId="164" fontId="12" fillId="0" borderId="52" xfId="0" applyFont="1" applyBorder="1" applyAlignment="1">
      <alignment horizontal="center" vertical="center"/>
    </xf>
    <xf numFmtId="164" fontId="12" fillId="0" borderId="52" xfId="0" applyFont="1" applyBorder="1" applyAlignment="1">
      <alignment horizontal="center" vertical="center" wrapText="1"/>
    </xf>
    <xf numFmtId="164" fontId="21" fillId="0" borderId="10" xfId="0" applyFont="1" applyBorder="1" applyAlignment="1">
      <alignment/>
    </xf>
    <xf numFmtId="169" fontId="21" fillId="0" borderId="11" xfId="0" applyNumberFormat="1" applyFont="1" applyBorder="1" applyAlignment="1">
      <alignment horizontal="center"/>
    </xf>
    <xf numFmtId="169" fontId="21" fillId="0" borderId="13" xfId="0" applyNumberFormat="1" applyFont="1" applyBorder="1" applyAlignment="1">
      <alignment horizontal="center"/>
    </xf>
    <xf numFmtId="164" fontId="21" fillId="0" borderId="14" xfId="0" applyFont="1" applyBorder="1" applyAlignment="1">
      <alignment/>
    </xf>
    <xf numFmtId="169" fontId="21" fillId="0" borderId="47" xfId="0" applyNumberFormat="1" applyFont="1" applyBorder="1" applyAlignment="1">
      <alignment horizontal="center"/>
    </xf>
    <xf numFmtId="169" fontId="21" fillId="0" borderId="49" xfId="0" applyNumberFormat="1" applyFont="1" applyBorder="1" applyAlignment="1">
      <alignment horizontal="center"/>
    </xf>
    <xf numFmtId="164" fontId="12" fillId="0" borderId="18" xfId="0" applyFont="1" applyBorder="1" applyAlignment="1">
      <alignment/>
    </xf>
    <xf numFmtId="169" fontId="12" fillId="0" borderId="52" xfId="0" applyNumberFormat="1" applyFont="1" applyBorder="1" applyAlignment="1">
      <alignment horizontal="center"/>
    </xf>
    <xf numFmtId="169" fontId="12" fillId="0" borderId="36" xfId="0" applyNumberFormat="1" applyFont="1" applyBorder="1" applyAlignment="1">
      <alignment horizontal="center"/>
    </xf>
    <xf numFmtId="164" fontId="12" fillId="0" borderId="0" xfId="0" applyFont="1" applyAlignment="1">
      <alignment/>
    </xf>
    <xf numFmtId="164" fontId="1" fillId="0" borderId="0" xfId="24" applyAlignment="1">
      <alignment horizontal="center" vertical="center" wrapText="1"/>
      <protection/>
    </xf>
    <xf numFmtId="164" fontId="1" fillId="0" borderId="0" xfId="24" applyAlignment="1">
      <alignment horizontal="center" wrapText="1"/>
      <protection/>
    </xf>
    <xf numFmtId="164" fontId="1" fillId="0" borderId="0" xfId="24">
      <alignment/>
      <protection/>
    </xf>
    <xf numFmtId="164" fontId="21" fillId="0" borderId="0" xfId="24" applyFont="1" applyAlignment="1">
      <alignment horizontal="center" vertical="center" wrapText="1"/>
      <protection/>
    </xf>
    <xf numFmtId="164" fontId="21" fillId="0" borderId="0" xfId="24" applyFont="1" applyAlignment="1">
      <alignment horizontal="center" wrapText="1"/>
      <protection/>
    </xf>
    <xf numFmtId="164" fontId="21" fillId="0" borderId="0" xfId="24" applyFont="1">
      <alignment/>
      <protection/>
    </xf>
    <xf numFmtId="164" fontId="12" fillId="0" borderId="0" xfId="24" applyFont="1" applyBorder="1" applyAlignment="1">
      <alignment horizontal="center" vertical="center" wrapText="1"/>
      <protection/>
    </xf>
    <xf numFmtId="164" fontId="12" fillId="0" borderId="35" xfId="24" applyFont="1" applyBorder="1" applyAlignment="1">
      <alignment horizontal="center" vertical="center" wrapText="1"/>
      <protection/>
    </xf>
    <xf numFmtId="164" fontId="12" fillId="0" borderId="52" xfId="24" applyFont="1" applyBorder="1" applyAlignment="1">
      <alignment horizontal="center" vertical="center" wrapText="1"/>
      <protection/>
    </xf>
    <xf numFmtId="164" fontId="12" fillId="0" borderId="36" xfId="24" applyFont="1" applyBorder="1" applyAlignment="1">
      <alignment horizontal="center" vertical="center" wrapText="1"/>
      <protection/>
    </xf>
    <xf numFmtId="164" fontId="12" fillId="0" borderId="62" xfId="24" applyFont="1" applyBorder="1" applyAlignment="1">
      <alignment horizontal="center" vertical="center" wrapText="1"/>
      <protection/>
    </xf>
    <xf numFmtId="164" fontId="12" fillId="0" borderId="60" xfId="24" applyFont="1" applyBorder="1" applyAlignment="1">
      <alignment horizontal="center" vertical="center" wrapText="1"/>
      <protection/>
    </xf>
    <xf numFmtId="164" fontId="12" fillId="0" borderId="41" xfId="24" applyFont="1" applyBorder="1" applyAlignment="1">
      <alignment horizontal="center" vertical="center" wrapText="1"/>
      <protection/>
    </xf>
    <xf numFmtId="164" fontId="12" fillId="0" borderId="9" xfId="24" applyFont="1" applyBorder="1" applyAlignment="1">
      <alignment horizontal="center" vertical="center" wrapText="1"/>
      <protection/>
    </xf>
    <xf numFmtId="164" fontId="12" fillId="0" borderId="7" xfId="24" applyFont="1" applyBorder="1" applyAlignment="1">
      <alignment horizontal="center" vertical="center" wrapText="1"/>
      <protection/>
    </xf>
    <xf numFmtId="164" fontId="12" fillId="0" borderId="51" xfId="24" applyFont="1" applyBorder="1" applyAlignment="1">
      <alignment horizontal="center" vertical="center" wrapText="1"/>
      <protection/>
    </xf>
    <xf numFmtId="164" fontId="12" fillId="0" borderId="10" xfId="23" applyFont="1" applyBorder="1" applyAlignment="1">
      <alignment horizontal="left" vertical="center" wrapText="1"/>
      <protection/>
    </xf>
    <xf numFmtId="165" fontId="12" fillId="0" borderId="11" xfId="23" applyNumberFormat="1" applyFont="1" applyBorder="1" applyAlignment="1">
      <alignment horizontal="right" vertical="center" wrapText="1"/>
      <protection/>
    </xf>
    <xf numFmtId="165" fontId="12" fillId="0" borderId="38" xfId="23" applyNumberFormat="1" applyFont="1" applyBorder="1" applyAlignment="1">
      <alignment horizontal="right" vertical="center" wrapText="1"/>
      <protection/>
    </xf>
    <xf numFmtId="165" fontId="12" fillId="0" borderId="42" xfId="23" applyNumberFormat="1" applyFont="1" applyBorder="1" applyAlignment="1">
      <alignment horizontal="right" vertical="center" wrapText="1"/>
      <protection/>
    </xf>
    <xf numFmtId="165" fontId="12" fillId="0" borderId="53" xfId="23" applyNumberFormat="1" applyFont="1" applyBorder="1" applyAlignment="1">
      <alignment horizontal="right" vertical="center" wrapText="1"/>
      <protection/>
    </xf>
    <xf numFmtId="165" fontId="12" fillId="0" borderId="37" xfId="23" applyNumberFormat="1" applyFont="1" applyBorder="1" applyAlignment="1">
      <alignment horizontal="right" vertical="center" wrapText="1"/>
      <protection/>
    </xf>
    <xf numFmtId="165" fontId="12" fillId="0" borderId="43" xfId="23" applyNumberFormat="1" applyFont="1" applyBorder="1" applyAlignment="1">
      <alignment horizontal="right" vertical="center" wrapText="1"/>
      <protection/>
    </xf>
    <xf numFmtId="165" fontId="12" fillId="0" borderId="13" xfId="23" applyNumberFormat="1" applyFont="1" applyBorder="1" applyAlignment="1">
      <alignment horizontal="right" vertical="center" wrapText="1"/>
      <protection/>
    </xf>
    <xf numFmtId="164" fontId="12" fillId="0" borderId="0" xfId="24" applyFont="1">
      <alignment/>
      <protection/>
    </xf>
    <xf numFmtId="165" fontId="21" fillId="0" borderId="14" xfId="23" applyNumberFormat="1" applyFont="1" applyBorder="1" applyAlignment="1">
      <alignment horizontal="center" vertical="center" wrapText="1"/>
      <protection/>
    </xf>
    <xf numFmtId="165" fontId="21" fillId="0" borderId="15" xfId="23" applyNumberFormat="1" applyFont="1" applyBorder="1" applyAlignment="1">
      <alignment horizontal="right" vertical="center" wrapText="1"/>
      <protection/>
    </xf>
    <xf numFmtId="165" fontId="21" fillId="0" borderId="17" xfId="23" applyNumberFormat="1" applyFont="1" applyBorder="1" applyAlignment="1">
      <alignment horizontal="right" vertical="center" wrapText="1"/>
      <protection/>
    </xf>
    <xf numFmtId="165" fontId="21" fillId="0" borderId="14" xfId="24" applyNumberFormat="1" applyFont="1" applyBorder="1" applyAlignment="1">
      <alignment horizontal="right" vertical="center" wrapText="1"/>
      <protection/>
    </xf>
    <xf numFmtId="165" fontId="21" fillId="0" borderId="15" xfId="24" applyNumberFormat="1" applyFont="1" applyBorder="1" applyAlignment="1">
      <alignment horizontal="right" vertical="center" wrapText="1"/>
      <protection/>
    </xf>
    <xf numFmtId="165" fontId="21" fillId="0" borderId="17" xfId="24" applyNumberFormat="1" applyFont="1" applyBorder="1" applyAlignment="1">
      <alignment horizontal="center" wrapText="1"/>
      <protection/>
    </xf>
    <xf numFmtId="165" fontId="21" fillId="0" borderId="40" xfId="24" applyNumberFormat="1" applyFont="1" applyBorder="1" applyAlignment="1">
      <alignment horizontal="right" vertical="center" wrapText="1"/>
      <protection/>
    </xf>
    <xf numFmtId="165" fontId="21" fillId="0" borderId="17" xfId="24" applyNumberFormat="1" applyFont="1" applyBorder="1" applyAlignment="1">
      <alignment horizontal="right" vertical="center" wrapText="1"/>
      <protection/>
    </xf>
    <xf numFmtId="165" fontId="21" fillId="0" borderId="40" xfId="23" applyNumberFormat="1" applyFont="1" applyBorder="1" applyAlignment="1">
      <alignment horizontal="right" vertical="center" wrapText="1"/>
      <protection/>
    </xf>
    <xf numFmtId="165" fontId="21" fillId="0" borderId="39" xfId="23" applyNumberFormat="1" applyFont="1" applyBorder="1" applyAlignment="1">
      <alignment horizontal="right" vertical="center" wrapText="1"/>
      <protection/>
    </xf>
    <xf numFmtId="165" fontId="21" fillId="0" borderId="17" xfId="24" applyNumberFormat="1" applyFont="1" applyBorder="1">
      <alignment/>
      <protection/>
    </xf>
    <xf numFmtId="165" fontId="12" fillId="0" borderId="14" xfId="23" applyNumberFormat="1" applyFont="1" applyBorder="1" applyAlignment="1">
      <alignment horizontal="left" vertical="center" wrapText="1"/>
      <protection/>
    </xf>
    <xf numFmtId="165" fontId="12" fillId="0" borderId="15" xfId="23" applyNumberFormat="1" applyFont="1" applyBorder="1" applyAlignment="1">
      <alignment horizontal="right" vertical="center" wrapText="1"/>
      <protection/>
    </xf>
    <xf numFmtId="165" fontId="12" fillId="0" borderId="17" xfId="23" applyNumberFormat="1" applyFont="1" applyBorder="1" applyAlignment="1">
      <alignment horizontal="right" vertical="center" wrapText="1"/>
      <protection/>
    </xf>
    <xf numFmtId="165" fontId="12" fillId="0" borderId="14" xfId="23" applyNumberFormat="1" applyFont="1" applyBorder="1" applyAlignment="1">
      <alignment horizontal="right" vertical="center" wrapText="1"/>
      <protection/>
    </xf>
    <xf numFmtId="165" fontId="12" fillId="0" borderId="40" xfId="23" applyNumberFormat="1" applyFont="1" applyBorder="1" applyAlignment="1">
      <alignment horizontal="right" vertical="center" wrapText="1"/>
      <protection/>
    </xf>
    <xf numFmtId="165" fontId="12" fillId="0" borderId="39" xfId="23" applyNumberFormat="1" applyFont="1" applyBorder="1" applyAlignment="1">
      <alignment horizontal="right" vertical="center" wrapText="1"/>
      <protection/>
    </xf>
    <xf numFmtId="164" fontId="21" fillId="0" borderId="14" xfId="23" applyFont="1" applyBorder="1" applyAlignment="1">
      <alignment horizontal="left" vertical="center" wrapText="1"/>
      <protection/>
    </xf>
    <xf numFmtId="165" fontId="21" fillId="0" borderId="15" xfId="23" applyNumberFormat="1" applyFont="1" applyBorder="1" applyAlignment="1">
      <alignment horizontal="right" vertical="center"/>
      <protection/>
    </xf>
    <xf numFmtId="165" fontId="21" fillId="0" borderId="17" xfId="24" applyNumberFormat="1" applyFont="1" applyBorder="1" applyAlignment="1">
      <alignment horizontal="right" vertical="center"/>
      <protection/>
    </xf>
    <xf numFmtId="164" fontId="12" fillId="0" borderId="14" xfId="23" applyFont="1" applyBorder="1" applyAlignment="1">
      <alignment horizontal="left" vertical="center" wrapText="1"/>
      <protection/>
    </xf>
    <xf numFmtId="165" fontId="12" fillId="0" borderId="17" xfId="23" applyNumberFormat="1" applyFont="1" applyBorder="1" applyAlignment="1">
      <alignment horizontal="right" wrapText="1"/>
      <protection/>
    </xf>
    <xf numFmtId="164" fontId="21" fillId="0" borderId="10" xfId="23" applyFont="1" applyBorder="1" applyAlignment="1">
      <alignment horizontal="left" vertical="center" wrapText="1"/>
      <protection/>
    </xf>
    <xf numFmtId="165" fontId="21" fillId="0" borderId="11" xfId="23" applyNumberFormat="1" applyFont="1" applyBorder="1" applyAlignment="1">
      <alignment horizontal="right" vertical="center" wrapText="1"/>
      <protection/>
    </xf>
    <xf numFmtId="165" fontId="21" fillId="0" borderId="10" xfId="24" applyNumberFormat="1" applyFont="1" applyBorder="1" applyAlignment="1">
      <alignment horizontal="right" vertical="center" wrapText="1"/>
      <protection/>
    </xf>
    <xf numFmtId="165" fontId="21" fillId="0" borderId="11" xfId="24" applyNumberFormat="1" applyFont="1" applyBorder="1" applyAlignment="1">
      <alignment horizontal="right" vertical="center" wrapText="1"/>
      <protection/>
    </xf>
    <xf numFmtId="165" fontId="21" fillId="0" borderId="13" xfId="24" applyNumberFormat="1" applyFont="1" applyBorder="1" applyAlignment="1">
      <alignment horizontal="center" wrapText="1"/>
      <protection/>
    </xf>
    <xf numFmtId="165" fontId="21" fillId="0" borderId="37" xfId="24" applyNumberFormat="1" applyFont="1" applyBorder="1" applyAlignment="1">
      <alignment horizontal="right" vertical="center" wrapText="1"/>
      <protection/>
    </xf>
    <xf numFmtId="165" fontId="21" fillId="0" borderId="37" xfId="23" applyNumberFormat="1" applyFont="1" applyBorder="1" applyAlignment="1">
      <alignment horizontal="right" vertical="center" wrapText="1"/>
      <protection/>
    </xf>
    <xf numFmtId="164" fontId="21" fillId="0" borderId="63" xfId="23" applyFont="1" applyBorder="1" applyAlignment="1">
      <alignment horizontal="left" vertical="center" wrapText="1"/>
      <protection/>
    </xf>
    <xf numFmtId="165" fontId="21" fillId="0" borderId="64" xfId="23" applyNumberFormat="1" applyFont="1" applyBorder="1" applyAlignment="1">
      <alignment horizontal="right" vertical="center" wrapText="1"/>
      <protection/>
    </xf>
    <xf numFmtId="165" fontId="21" fillId="0" borderId="63" xfId="24" applyNumberFormat="1" applyFont="1" applyBorder="1" applyAlignment="1">
      <alignment horizontal="right" vertical="center" wrapText="1"/>
      <protection/>
    </xf>
    <xf numFmtId="165" fontId="21" fillId="0" borderId="64" xfId="24" applyNumberFormat="1" applyFont="1" applyBorder="1" applyAlignment="1">
      <alignment horizontal="right" vertical="center" wrapText="1"/>
      <protection/>
    </xf>
    <xf numFmtId="165" fontId="21" fillId="0" borderId="65" xfId="24" applyNumberFormat="1" applyFont="1" applyBorder="1" applyAlignment="1">
      <alignment horizontal="center" wrapText="1"/>
      <protection/>
    </xf>
    <xf numFmtId="165" fontId="21" fillId="0" borderId="66" xfId="24" applyNumberFormat="1" applyFont="1" applyBorder="1" applyAlignment="1">
      <alignment horizontal="right" vertical="center" wrapText="1"/>
      <protection/>
    </xf>
    <xf numFmtId="165" fontId="21" fillId="0" borderId="66" xfId="23" applyNumberFormat="1" applyFont="1" applyBorder="1" applyAlignment="1">
      <alignment horizontal="right" vertical="center" wrapText="1"/>
      <protection/>
    </xf>
    <xf numFmtId="165" fontId="21" fillId="0" borderId="17" xfId="23" applyNumberFormat="1" applyFont="1" applyBorder="1" applyAlignment="1">
      <alignment horizontal="right" vertical="center"/>
      <protection/>
    </xf>
    <xf numFmtId="164" fontId="21" fillId="0" borderId="14" xfId="24" applyFont="1" applyBorder="1" applyAlignment="1">
      <alignment horizontal="center" vertical="center" wrapText="1"/>
      <protection/>
    </xf>
    <xf numFmtId="164" fontId="21" fillId="0" borderId="15" xfId="24" applyFont="1" applyBorder="1" applyAlignment="1">
      <alignment horizontal="right" vertical="center" wrapText="1"/>
      <protection/>
    </xf>
    <xf numFmtId="164" fontId="21" fillId="0" borderId="17" xfId="24" applyFont="1" applyBorder="1" applyAlignment="1">
      <alignment horizontal="right" vertical="center" wrapText="1"/>
      <protection/>
    </xf>
    <xf numFmtId="164" fontId="21" fillId="0" borderId="14" xfId="24" applyFont="1" applyBorder="1" applyAlignment="1">
      <alignment horizontal="right" vertical="center" wrapText="1"/>
      <protection/>
    </xf>
    <xf numFmtId="164" fontId="21" fillId="0" borderId="17" xfId="24" applyFont="1" applyBorder="1" applyAlignment="1">
      <alignment horizontal="center" wrapText="1"/>
      <protection/>
    </xf>
    <xf numFmtId="164" fontId="21" fillId="0" borderId="40" xfId="24" applyFont="1" applyBorder="1" applyAlignment="1">
      <alignment horizontal="right" vertical="center" wrapText="1"/>
      <protection/>
    </xf>
    <xf numFmtId="164" fontId="12" fillId="0" borderId="18" xfId="24" applyFont="1" applyBorder="1" applyAlignment="1">
      <alignment horizontal="left" vertical="center" wrapText="1"/>
      <protection/>
    </xf>
    <xf numFmtId="165" fontId="12" fillId="0" borderId="9" xfId="24" applyNumberFormat="1" applyFont="1" applyBorder="1" applyAlignment="1">
      <alignment horizontal="right" vertical="center" wrapText="1"/>
      <protection/>
    </xf>
    <xf numFmtId="165" fontId="12" fillId="0" borderId="7" xfId="24" applyNumberFormat="1" applyFont="1" applyBorder="1" applyAlignment="1">
      <alignment horizontal="right" vertical="center" wrapText="1"/>
      <protection/>
    </xf>
    <xf numFmtId="165" fontId="12" fillId="0" borderId="18" xfId="24" applyNumberFormat="1" applyFont="1" applyBorder="1" applyAlignment="1">
      <alignment horizontal="right" vertical="center" wrapText="1"/>
      <protection/>
    </xf>
    <xf numFmtId="165" fontId="12" fillId="0" borderId="41" xfId="24" applyNumberFormat="1" applyFont="1" applyBorder="1" applyAlignment="1">
      <alignment horizontal="right" vertical="center" wrapText="1"/>
      <protection/>
    </xf>
    <xf numFmtId="165" fontId="12" fillId="0" borderId="41" xfId="23" applyNumberFormat="1" applyFont="1" applyBorder="1" applyAlignment="1">
      <alignment horizontal="right" vertical="center" wrapText="1"/>
      <protection/>
    </xf>
    <xf numFmtId="165" fontId="12" fillId="0" borderId="51" xfId="23" applyNumberFormat="1" applyFont="1" applyBorder="1" applyAlignment="1">
      <alignment horizontal="right" vertical="center" wrapText="1"/>
      <protection/>
    </xf>
    <xf numFmtId="165" fontId="12" fillId="0" borderId="7" xfId="23" applyNumberFormat="1" applyFont="1" applyBorder="1" applyAlignment="1">
      <alignment horizontal="right" vertical="center" wrapText="1"/>
      <protection/>
    </xf>
    <xf numFmtId="164" fontId="21" fillId="0" borderId="0" xfId="21" applyFont="1">
      <alignment/>
      <protection/>
    </xf>
    <xf numFmtId="164" fontId="12" fillId="0" borderId="0" xfId="21" applyFont="1">
      <alignment/>
      <protection/>
    </xf>
    <xf numFmtId="164" fontId="12" fillId="0" borderId="0" xfId="21" applyFont="1" applyBorder="1" applyAlignment="1">
      <alignment horizontal="center"/>
      <protection/>
    </xf>
    <xf numFmtId="164" fontId="21" fillId="0" borderId="0" xfId="21" applyFont="1" applyBorder="1" applyAlignment="1">
      <alignment horizontal="center"/>
      <protection/>
    </xf>
    <xf numFmtId="164" fontId="12" fillId="0" borderId="35" xfId="21" applyFont="1" applyBorder="1">
      <alignment/>
      <protection/>
    </xf>
    <xf numFmtId="164" fontId="12" fillId="0" borderId="52" xfId="21" applyFont="1" applyBorder="1" applyAlignment="1">
      <alignment horizontal="center"/>
      <protection/>
    </xf>
    <xf numFmtId="164" fontId="12" fillId="0" borderId="60" xfId="21" applyFont="1" applyBorder="1" applyAlignment="1">
      <alignment horizontal="center"/>
      <protection/>
    </xf>
    <xf numFmtId="164" fontId="12" fillId="0" borderId="36" xfId="21" applyFont="1" applyBorder="1" applyAlignment="1">
      <alignment horizontal="center"/>
      <protection/>
    </xf>
    <xf numFmtId="164" fontId="30" fillId="0" borderId="10" xfId="21" applyFont="1" applyBorder="1">
      <alignment/>
      <protection/>
    </xf>
    <xf numFmtId="164" fontId="12" fillId="0" borderId="11" xfId="21" applyFont="1" applyBorder="1" applyAlignment="1">
      <alignment horizontal="center"/>
      <protection/>
    </xf>
    <xf numFmtId="164" fontId="12" fillId="0" borderId="43" xfId="21" applyFont="1" applyBorder="1" applyAlignment="1">
      <alignment horizontal="center"/>
      <protection/>
    </xf>
    <xf numFmtId="164" fontId="12" fillId="0" borderId="13" xfId="21" applyFont="1" applyBorder="1" applyAlignment="1">
      <alignment horizontal="center"/>
      <protection/>
    </xf>
    <xf numFmtId="164" fontId="30" fillId="0" borderId="14" xfId="21" applyFont="1" applyBorder="1">
      <alignment/>
      <protection/>
    </xf>
    <xf numFmtId="164" fontId="12" fillId="0" borderId="15" xfId="21" applyFont="1" applyBorder="1" applyAlignment="1">
      <alignment horizontal="center"/>
      <protection/>
    </xf>
    <xf numFmtId="164" fontId="12" fillId="0" borderId="39" xfId="21" applyFont="1" applyBorder="1" applyAlignment="1">
      <alignment horizontal="center"/>
      <protection/>
    </xf>
    <xf numFmtId="164" fontId="12" fillId="0" borderId="17" xfId="21" applyFont="1" applyBorder="1" applyAlignment="1">
      <alignment horizontal="center"/>
      <protection/>
    </xf>
    <xf numFmtId="164" fontId="21" fillId="0" borderId="14" xfId="21" applyFont="1" applyBorder="1">
      <alignment/>
      <protection/>
    </xf>
    <xf numFmtId="165" fontId="21" fillId="0" borderId="15" xfId="21" applyNumberFormat="1" applyFont="1" applyBorder="1">
      <alignment/>
      <protection/>
    </xf>
    <xf numFmtId="165" fontId="21" fillId="0" borderId="39" xfId="21" applyNumberFormat="1" applyFont="1" applyBorder="1">
      <alignment/>
      <protection/>
    </xf>
    <xf numFmtId="165" fontId="21" fillId="0" borderId="17" xfId="21" applyNumberFormat="1" applyFont="1" applyBorder="1">
      <alignment/>
      <protection/>
    </xf>
    <xf numFmtId="164" fontId="33" fillId="0" borderId="14" xfId="21" applyFont="1" applyBorder="1">
      <alignment/>
      <protection/>
    </xf>
    <xf numFmtId="165" fontId="33" fillId="0" borderId="15" xfId="21" applyNumberFormat="1" applyFont="1" applyBorder="1">
      <alignment/>
      <protection/>
    </xf>
    <xf numFmtId="165" fontId="33" fillId="0" borderId="39" xfId="21" applyNumberFormat="1" applyFont="1" applyBorder="1">
      <alignment/>
      <protection/>
    </xf>
    <xf numFmtId="165" fontId="33" fillId="0" borderId="17" xfId="21" applyNumberFormat="1" applyFont="1" applyBorder="1">
      <alignment/>
      <protection/>
    </xf>
    <xf numFmtId="164" fontId="33" fillId="0" borderId="0" xfId="21" applyFont="1" applyAlignment="1">
      <alignment horizontal="center"/>
      <protection/>
    </xf>
    <xf numFmtId="164" fontId="33" fillId="0" borderId="0" xfId="21" applyFont="1">
      <alignment/>
      <protection/>
    </xf>
    <xf numFmtId="164" fontId="12" fillId="0" borderId="14" xfId="21" applyFont="1" applyBorder="1">
      <alignment/>
      <protection/>
    </xf>
    <xf numFmtId="165" fontId="12" fillId="0" borderId="15" xfId="21" applyNumberFormat="1" applyFont="1" applyBorder="1">
      <alignment/>
      <protection/>
    </xf>
    <xf numFmtId="165" fontId="12" fillId="0" borderId="39" xfId="21" applyNumberFormat="1" applyFont="1" applyBorder="1">
      <alignment/>
      <protection/>
    </xf>
    <xf numFmtId="165" fontId="12" fillId="0" borderId="17" xfId="21" applyNumberFormat="1" applyFont="1" applyBorder="1">
      <alignment/>
      <protection/>
    </xf>
    <xf numFmtId="164" fontId="21" fillId="0" borderId="15" xfId="21" applyFont="1" applyBorder="1">
      <alignment/>
      <protection/>
    </xf>
    <xf numFmtId="164" fontId="21" fillId="0" borderId="39" xfId="21" applyFont="1" applyBorder="1">
      <alignment/>
      <protection/>
    </xf>
    <xf numFmtId="164" fontId="21" fillId="0" borderId="17" xfId="21" applyFont="1" applyBorder="1">
      <alignment/>
      <protection/>
    </xf>
    <xf numFmtId="164" fontId="30" fillId="0" borderId="14" xfId="21" applyFont="1" applyBorder="1" applyAlignment="1">
      <alignment horizontal="left" vertical="center"/>
      <protection/>
    </xf>
    <xf numFmtId="164" fontId="12" fillId="0" borderId="15" xfId="21" applyFont="1" applyBorder="1" applyAlignment="1">
      <alignment horizontal="center" vertical="center" wrapText="1"/>
      <protection/>
    </xf>
    <xf numFmtId="164" fontId="12" fillId="0" borderId="39" xfId="21" applyFont="1" applyBorder="1" applyAlignment="1">
      <alignment horizontal="center" vertical="center" wrapText="1"/>
      <protection/>
    </xf>
    <xf numFmtId="164" fontId="12" fillId="0" borderId="17" xfId="21" applyFont="1" applyBorder="1" applyAlignment="1">
      <alignment horizontal="center" vertical="center" wrapText="1"/>
      <protection/>
    </xf>
    <xf numFmtId="164" fontId="21" fillId="0" borderId="14" xfId="21" applyFont="1" applyBorder="1" applyAlignment="1">
      <alignment horizontal="left" vertical="center"/>
      <protection/>
    </xf>
    <xf numFmtId="165" fontId="21" fillId="0" borderId="15" xfId="21" applyNumberFormat="1" applyFont="1" applyBorder="1" applyAlignment="1">
      <alignment horizontal="right" vertical="center" wrapText="1"/>
      <protection/>
    </xf>
    <xf numFmtId="165" fontId="21" fillId="0" borderId="39" xfId="21" applyNumberFormat="1" applyFont="1" applyBorder="1" applyAlignment="1">
      <alignment horizontal="right" vertical="center" wrapText="1"/>
      <protection/>
    </xf>
    <xf numFmtId="165" fontId="21" fillId="0" borderId="17" xfId="21" applyNumberFormat="1" applyFont="1" applyBorder="1" applyAlignment="1">
      <alignment horizontal="right" vertical="center" wrapText="1"/>
      <protection/>
    </xf>
    <xf numFmtId="164" fontId="12" fillId="0" borderId="18" xfId="21" applyFont="1" applyBorder="1">
      <alignment/>
      <protection/>
    </xf>
    <xf numFmtId="165" fontId="12" fillId="0" borderId="9" xfId="21" applyNumberFormat="1" applyFont="1" applyBorder="1">
      <alignment/>
      <protection/>
    </xf>
    <xf numFmtId="165" fontId="12" fillId="0" borderId="51" xfId="21" applyNumberFormat="1" applyFont="1" applyBorder="1">
      <alignment/>
      <protection/>
    </xf>
    <xf numFmtId="165" fontId="12" fillId="0" borderId="7" xfId="21" applyNumberFormat="1" applyFont="1" applyBorder="1">
      <alignment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_2011 ktv. táblák" xfId="20"/>
    <cellStyle name="Normál_2012. költségvetési táblák 2012 02 06-2(Kötvényes tábla)" xfId="21"/>
    <cellStyle name="Normál_9702KV1_2011 ktv. táblák" xfId="22"/>
    <cellStyle name="Normál_Beruh.felú-átadott-átvett" xfId="23"/>
    <cellStyle name="Normál_Brigitől kisebbségek" xfId="24"/>
    <cellStyle name="Normál_KTGVET98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&#233;nz&#252;gyi%20Titk&#225;rs&#225;g\Dokumentumok\el&#337;terjeszt&#233;sek\2012\M&#225;jus\2012.%20&#233;vi%20k&#246;lts&#233;gvet&#233;si%20t&#225;bl&#225;k%202010.01.05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&#233;nz&#252;gyi%20Titk&#225;rs&#225;g\Dokumentumok\el&#337;terjeszt&#233;sek\2012\M&#225;jus\T&#225;j&#233;koztat&#243;%20t&#225;bl&#225;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ZSOMBO~1\LOCALS~1\Temp\zomborimonika\Dokumentumok\el&#337;terjeszt&#233;sek\2011\November\Koncepci&#243;\Koncepci&#243;%20sz&#246;veg%20&#233;s%20t&#225;bla\Barbara\Exceleim\Buboros%20t&#225;bl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ZSOMBO~1\LOCALS~1\Temp\DOCUME~1\ZSOMBO~1\LOCALS~1\Temp\zomborimonika\Dokumentumok\el&#337;terjeszt&#233;sek\2011\November\Koncepci&#243;\Koncepci&#243;%20sz&#246;veg%20&#233;s%20t&#225;bla\Barbara\Exceleim\Buboros%20t&#225;bl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ZSOMBO~1\LOCALS~1\Temp\Local%20Settings\Temp\2012.%20&#233;vi%20k&#246;lts&#233;gvet&#233;si%20t&#225;bl&#225;k%202010.01.05.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ZSOMBO~1\LOCALS~1\Temp\DOCUME~1\ZSOMBO~1\LOCALS~1\Temp\DOCUME~1\ZSOMBO~1\LOCALS~1\Temp\Barbara\10.%20mell&#233;klet%20Ic&#225;nak%20(%20cellat&#246;rl&#337;s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ZSOMBO~1\LOCALS~1\Temp\2012.%20k&#246;lts&#233;gvet&#233;si%20t&#225;bl&#225;k%202012%2002%2006-2(K&#246;tv&#233;nyes%20t&#225;bla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ZOMBOR~1\LOCALS~1\Temp\Int&#233;zm&#233;nyi%20el&#337;ir&#225;nyzat%20t&#225;bla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 melléklet"/>
      <sheetName val="1.a1.b. melléklet"/>
      <sheetName val="2. sz. melléklet"/>
      <sheetName val="3.sz. melléklet"/>
      <sheetName val="4. sz. melléklet"/>
      <sheetName val="5. sz. melléklet"/>
      <sheetName val="6. sz. melléklet"/>
      <sheetName val="8. sz. melléklet"/>
      <sheetName val="9. sz. melléklet"/>
      <sheetName val="10. sz. melléklet"/>
      <sheetName val="11. sz. melléklet"/>
      <sheetName val="12. sz. melléklet"/>
      <sheetName val="13. sz. melléklet"/>
      <sheetName val="14. sz. melléklet"/>
      <sheetName val="15. sz. melléklet"/>
      <sheetName val="16. sz. melléklet"/>
      <sheetName val="17.sz. melléklet"/>
      <sheetName val="17.a. 17.b. sz. melléklet"/>
      <sheetName val="18. sz. melléklet"/>
      <sheetName val="Kiadások elemzés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öbbéves kihatás"/>
      <sheetName val="Ei. felh. terv"/>
      <sheetName val="Közvetett támogatások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. sz. mellékle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. sz. mellékl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. sz. mellékle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4. sz. melléklet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.sz. melléklet"/>
      <sheetName val="1.a. 1.b. melléklet"/>
      <sheetName val="2. sz. melléklet"/>
      <sheetName val="3.sz. melléklet"/>
      <sheetName val="4.A sz. melléklet"/>
      <sheetName val="4.B-C. sz. melléklet"/>
      <sheetName val="5. sz. melléklet"/>
      <sheetName val="6. sz. melléklet"/>
      <sheetName val="7. sz. melléklet"/>
      <sheetName val="8. sz. melléklet"/>
      <sheetName val="9. sz. melléklet"/>
      <sheetName val="10. sz. melléklet"/>
      <sheetName val="10-a.sz. melléklet"/>
      <sheetName val="11. sz. melléklet"/>
      <sheetName val="12. sz. melléklet"/>
      <sheetName val="13. sz. melléklet"/>
      <sheetName val="14. sz. melléklet"/>
      <sheetName val="15. sz. melléklet"/>
      <sheetName val="16.sz. melléklet"/>
      <sheetName val="17.a. 17.b. sz. melléklet"/>
      <sheetName val="18."/>
      <sheetName val="19.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Eredeti EFt"/>
      <sheetName val="Eredeti EzerFt"/>
      <sheetName val="Eredeti Ft"/>
      <sheetName val="Munka1"/>
    </sheetNames>
    <sheetDataSet>
      <sheetData sheetId="2">
        <row r="4">
          <cell r="A4" t="str">
            <v>Fürdő utcai Óvoda</v>
          </cell>
          <cell r="B4" t="str">
            <v>Eredeti</v>
          </cell>
          <cell r="D4">
            <v>4830712.000000001</v>
          </cell>
          <cell r="E4">
            <v>1889988.4980000001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O4">
            <v>37433099.825</v>
          </cell>
          <cell r="P4">
            <v>9960244.386750003</v>
          </cell>
          <cell r="Q4">
            <v>14509005.4288735</v>
          </cell>
          <cell r="R4">
            <v>5875938.4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</row>
        <row r="5">
          <cell r="B5" t="str">
            <v>Eredeti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</row>
        <row r="7">
          <cell r="A7" t="str">
            <v>Szivárvány Óvoda</v>
          </cell>
          <cell r="B7" t="str">
            <v>Eredeti</v>
          </cell>
          <cell r="C7">
            <v>2249561.6</v>
          </cell>
          <cell r="D7">
            <v>1963961.6</v>
          </cell>
          <cell r="E7">
            <v>607381.6320000001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O7">
            <v>13258152.376</v>
          </cell>
          <cell r="P7">
            <v>3522536.4375</v>
          </cell>
          <cell r="Q7">
            <v>6528686.314499101</v>
          </cell>
          <cell r="R7">
            <v>2656128.0000000005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</row>
        <row r="9">
          <cell r="B9" t="str">
            <v>Eredeti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A10" t="str">
            <v>Geszti Óvoda</v>
          </cell>
          <cell r="B10" t="str">
            <v>Eredeti</v>
          </cell>
          <cell r="C10">
            <v>5207544.000000001</v>
          </cell>
          <cell r="D10">
            <v>4513944.000000001</v>
          </cell>
          <cell r="E10">
            <v>1406036.8800000004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O10">
            <v>30026215.95</v>
          </cell>
          <cell r="P10">
            <v>8015807.506500001</v>
          </cell>
          <cell r="Q10">
            <v>11942358.1430335</v>
          </cell>
          <cell r="R10">
            <v>5445463.2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A11" t="str">
            <v>Bartók B. utcai Óvoda</v>
          </cell>
          <cell r="B11" t="str">
            <v>Eredeti</v>
          </cell>
          <cell r="C11">
            <v>5631973.4</v>
          </cell>
          <cell r="D11">
            <v>4624812.800000001</v>
          </cell>
          <cell r="E11">
            <v>1520632.8180000002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O11">
            <v>39359907.7</v>
          </cell>
          <cell r="P11">
            <v>10388596.869</v>
          </cell>
          <cell r="Q11">
            <v>18698039.9821144</v>
          </cell>
          <cell r="R11">
            <v>6319413.600000001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</row>
        <row r="12">
          <cell r="A12" t="str">
            <v>Kertvárosi Óvoda</v>
          </cell>
          <cell r="B12" t="str">
            <v>Eredeti</v>
          </cell>
          <cell r="C12">
            <v>6323676.6</v>
          </cell>
          <cell r="D12">
            <v>2914265.6</v>
          </cell>
          <cell r="E12">
            <v>1707392.682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O12">
            <v>28057557.975</v>
          </cell>
          <cell r="P12">
            <v>7469172.64125</v>
          </cell>
          <cell r="Q12">
            <v>12810056.320343602</v>
          </cell>
          <cell r="R12">
            <v>3565655.2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A13" t="str">
            <v>Kincseskert Óvoda</v>
          </cell>
          <cell r="B13" t="str">
            <v>Eredeti</v>
          </cell>
          <cell r="C13">
            <v>4245708.800000001</v>
          </cell>
          <cell r="D13">
            <v>3674508.8000000007</v>
          </cell>
          <cell r="E13">
            <v>1146341.3760000002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O13">
            <v>27199789.305</v>
          </cell>
          <cell r="P13">
            <v>7240563.43875</v>
          </cell>
          <cell r="Q13">
            <v>10914498.411921501</v>
          </cell>
          <cell r="R13">
            <v>5223725.600000001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A14" t="str">
            <v>Bergengócia Óvoda</v>
          </cell>
          <cell r="B14" t="str">
            <v>Eredeti</v>
          </cell>
          <cell r="C14">
            <v>1065988.8</v>
          </cell>
          <cell r="D14">
            <v>902788.8</v>
          </cell>
          <cell r="E14">
            <v>287816.976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O14">
            <v>7337430.5</v>
          </cell>
          <cell r="P14">
            <v>1977704.235</v>
          </cell>
          <cell r="Q14">
            <v>3190448.4256125004</v>
          </cell>
          <cell r="R14">
            <v>1189418.4000000001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</row>
        <row r="15">
          <cell r="A15" t="str">
            <v>Bölcsöde</v>
          </cell>
          <cell r="B15" t="str">
            <v>Eredeti</v>
          </cell>
          <cell r="C15">
            <v>7642887.699999999</v>
          </cell>
          <cell r="D15">
            <v>4287621.6</v>
          </cell>
          <cell r="E15">
            <v>2063579.679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O15">
            <v>46369217.13999999</v>
          </cell>
          <cell r="P15">
            <v>12305495.7918</v>
          </cell>
          <cell r="Q15">
            <v>19537612.087502</v>
          </cell>
          <cell r="R15">
            <v>5213484.8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A16" t="str">
            <v>Vaszary J. Általános Iskola</v>
          </cell>
          <cell r="B16" t="str">
            <v>Eredeti</v>
          </cell>
          <cell r="C16">
            <v>14228520</v>
          </cell>
          <cell r="D16">
            <v>11135520</v>
          </cell>
          <cell r="E16">
            <v>3165890.4000000004</v>
          </cell>
          <cell r="F16">
            <v>0</v>
          </cell>
          <cell r="G16">
            <v>1240000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O16">
            <v>160369609.69000003</v>
          </cell>
          <cell r="P16">
            <v>42898142.60550001</v>
          </cell>
          <cell r="Q16">
            <v>73017545.35912</v>
          </cell>
          <cell r="R16">
            <v>33962649</v>
          </cell>
          <cell r="S16">
            <v>3600000</v>
          </cell>
          <cell r="T16">
            <v>0</v>
          </cell>
          <cell r="U16">
            <v>0</v>
          </cell>
          <cell r="V16">
            <v>0</v>
          </cell>
        </row>
        <row r="17">
          <cell r="A17" t="str">
            <v>Vaszary - Logopédiai Intézet</v>
          </cell>
          <cell r="B17" t="str">
            <v>Eredeti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4702000</v>
          </cell>
          <cell r="J17">
            <v>0</v>
          </cell>
          <cell r="K17">
            <v>0</v>
          </cell>
          <cell r="O17">
            <v>24936906.545</v>
          </cell>
          <cell r="P17">
            <v>6600023.592750002</v>
          </cell>
          <cell r="Q17">
            <v>2077248.706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</row>
        <row r="18">
          <cell r="A18" t="str">
            <v>Vaszary-Jázmin Tagint.</v>
          </cell>
          <cell r="B18" t="str">
            <v>Eredeti</v>
          </cell>
          <cell r="C18">
            <v>7972360</v>
          </cell>
          <cell r="D18">
            <v>7582360</v>
          </cell>
          <cell r="E18">
            <v>2101237.2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O18">
            <v>43708350.8</v>
          </cell>
          <cell r="P18">
            <v>11768974.595999999</v>
          </cell>
          <cell r="Q18">
            <v>28581420.1875865</v>
          </cell>
          <cell r="R18">
            <v>17670618.2</v>
          </cell>
          <cell r="S18">
            <v>1080000</v>
          </cell>
          <cell r="T18">
            <v>0</v>
          </cell>
          <cell r="U18">
            <v>0</v>
          </cell>
          <cell r="V18">
            <v>0</v>
          </cell>
        </row>
        <row r="19">
          <cell r="A19" t="str">
            <v>Vaszary - Tardosi Tagint.</v>
          </cell>
          <cell r="B19" t="str">
            <v>Eredeti</v>
          </cell>
          <cell r="C19">
            <v>2092768</v>
          </cell>
          <cell r="D19">
            <v>1394800</v>
          </cell>
          <cell r="E19">
            <v>565047.36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O19">
            <v>32650062.804999996</v>
          </cell>
          <cell r="P19">
            <v>8654616.72135</v>
          </cell>
          <cell r="Q19">
            <v>13855301.539032001</v>
          </cell>
          <cell r="R19">
            <v>4541900</v>
          </cell>
          <cell r="S19">
            <v>540000</v>
          </cell>
          <cell r="T19">
            <v>0</v>
          </cell>
          <cell r="U19">
            <v>0</v>
          </cell>
          <cell r="V19">
            <v>0</v>
          </cell>
        </row>
        <row r="20">
          <cell r="A20" t="str">
            <v>Vaszary összesen</v>
          </cell>
          <cell r="B20" t="str">
            <v>Eredeti</v>
          </cell>
        </row>
        <row r="21">
          <cell r="A21" t="str">
            <v>Kőkúti Általános Iskola</v>
          </cell>
          <cell r="B21" t="str">
            <v>Eredeti</v>
          </cell>
          <cell r="C21">
            <v>24585640</v>
          </cell>
          <cell r="D21">
            <v>17515640</v>
          </cell>
          <cell r="E21">
            <v>6295222.800000001</v>
          </cell>
          <cell r="F21">
            <v>0</v>
          </cell>
          <cell r="G21">
            <v>2300000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O21">
            <v>141205638.7</v>
          </cell>
          <cell r="P21">
            <v>37878014.529</v>
          </cell>
          <cell r="Q21">
            <v>122326370.06664509</v>
          </cell>
          <cell r="R21">
            <v>42840149.6</v>
          </cell>
          <cell r="S21">
            <v>3000000</v>
          </cell>
          <cell r="T21">
            <v>0</v>
          </cell>
          <cell r="U21">
            <v>0</v>
          </cell>
          <cell r="V21">
            <v>0</v>
          </cell>
        </row>
        <row r="22">
          <cell r="A22" t="str">
            <v>Kőkúti Általános Iskola - Fazekas U. Tagintézmény</v>
          </cell>
          <cell r="B22" t="str">
            <v>Eredeti</v>
          </cell>
          <cell r="C22">
            <v>4876060</v>
          </cell>
          <cell r="D22">
            <v>4146060</v>
          </cell>
          <cell r="E22">
            <v>1249036.2000000002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O22">
            <v>49845359.629999995</v>
          </cell>
          <cell r="P22">
            <v>13402654.94925</v>
          </cell>
          <cell r="Q22">
            <v>30298096.368965</v>
          </cell>
          <cell r="R22">
            <v>14603812.4</v>
          </cell>
          <cell r="S22">
            <v>1200000</v>
          </cell>
          <cell r="T22">
            <v>0</v>
          </cell>
          <cell r="U22">
            <v>0</v>
          </cell>
          <cell r="V22">
            <v>0</v>
          </cell>
        </row>
        <row r="23">
          <cell r="A23" t="str">
            <v>Kőkúti összesen</v>
          </cell>
          <cell r="B23" t="str">
            <v>Eredeti</v>
          </cell>
        </row>
        <row r="24">
          <cell r="A24" t="str">
            <v>Zeneiskola</v>
          </cell>
          <cell r="B24" t="str">
            <v>Eredeti</v>
          </cell>
          <cell r="C24">
            <v>4740000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O24">
            <v>51243997.71</v>
          </cell>
          <cell r="P24">
            <v>13631910.927300002</v>
          </cell>
          <cell r="Q24">
            <v>4470499.84368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</row>
        <row r="25">
          <cell r="A25" t="str">
            <v>Könyvtár</v>
          </cell>
          <cell r="B25" t="str">
            <v>Eredeti</v>
          </cell>
          <cell r="C25">
            <v>1230000</v>
          </cell>
          <cell r="E25">
            <v>332100</v>
          </cell>
          <cell r="F25">
            <v>0</v>
          </cell>
          <cell r="G25">
            <v>0</v>
          </cell>
          <cell r="H25">
            <v>0</v>
          </cell>
          <cell r="I25">
            <v>19927000</v>
          </cell>
          <cell r="J25">
            <v>0</v>
          </cell>
          <cell r="K25">
            <v>0</v>
          </cell>
          <cell r="O25">
            <v>18915802.0975</v>
          </cell>
          <cell r="P25">
            <v>4986082.174725002</v>
          </cell>
          <cell r="Q25">
            <v>30480991.943076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</row>
        <row r="26">
          <cell r="A26" t="str">
            <v>SZAI Jelzőrendszeres házi segítségnyújtás</v>
          </cell>
          <cell r="B26" t="str">
            <v>Eredeti</v>
          </cell>
          <cell r="C26">
            <v>480000</v>
          </cell>
          <cell r="E26">
            <v>129600.00000000001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O26">
            <v>1512000</v>
          </cell>
          <cell r="P26">
            <v>408240</v>
          </cell>
          <cell r="Q26">
            <v>472769.44797999994</v>
          </cell>
          <cell r="R26">
            <v>0</v>
          </cell>
          <cell r="S26">
            <v>0</v>
          </cell>
          <cell r="T26">
            <v>0</v>
          </cell>
          <cell r="U26">
            <v>1361440</v>
          </cell>
          <cell r="V26">
            <v>0</v>
          </cell>
        </row>
        <row r="27">
          <cell r="A27" t="str">
            <v>SZAI Támogató szolgálat</v>
          </cell>
          <cell r="B27" t="str">
            <v>Eredeti</v>
          </cell>
          <cell r="C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750000</v>
          </cell>
          <cell r="O27">
            <v>8090958.468</v>
          </cell>
          <cell r="P27">
            <v>2115673.425</v>
          </cell>
          <cell r="Q27">
            <v>7435898.073555</v>
          </cell>
          <cell r="R27">
            <v>0</v>
          </cell>
          <cell r="S27">
            <v>0</v>
          </cell>
          <cell r="T27">
            <v>0</v>
          </cell>
          <cell r="U27">
            <v>4006278.5</v>
          </cell>
          <cell r="V27">
            <v>0</v>
          </cell>
        </row>
        <row r="28">
          <cell r="A28" t="str">
            <v>SZAI Közösségi</v>
          </cell>
          <cell r="B28" t="str">
            <v>Eredeti</v>
          </cell>
          <cell r="C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O28">
            <v>4992165.38</v>
          </cell>
          <cell r="P28">
            <v>1306144.575</v>
          </cell>
          <cell r="Q28">
            <v>2071620.38488</v>
          </cell>
          <cell r="R28">
            <v>0</v>
          </cell>
          <cell r="S28">
            <v>0</v>
          </cell>
          <cell r="T28">
            <v>0</v>
          </cell>
          <cell r="U28">
            <v>1351280</v>
          </cell>
          <cell r="V28">
            <v>0</v>
          </cell>
        </row>
        <row r="29">
          <cell r="A29" t="str">
            <v>SZAI nappali, családsegítő és gyermekjóléti, szociális étkezés, éjjeli menedékhely, házigondozás</v>
          </cell>
          <cell r="B29" t="str">
            <v>Eredeti</v>
          </cell>
          <cell r="C29">
            <v>11471650</v>
          </cell>
          <cell r="E29">
            <v>2584345.5</v>
          </cell>
          <cell r="F29">
            <v>0</v>
          </cell>
          <cell r="G29">
            <v>0</v>
          </cell>
          <cell r="H29">
            <v>0</v>
          </cell>
          <cell r="I29">
            <v>21966000</v>
          </cell>
          <cell r="J29">
            <v>0</v>
          </cell>
          <cell r="K29">
            <v>0</v>
          </cell>
          <cell r="O29">
            <v>84465640.044</v>
          </cell>
          <cell r="P29">
            <v>21940987.2066</v>
          </cell>
          <cell r="Q29">
            <v>25929557.600754574</v>
          </cell>
          <cell r="R29">
            <v>9690350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</row>
        <row r="30">
          <cell r="A30" t="str">
            <v>Szociális Alapellátó Intézmény</v>
          </cell>
          <cell r="B30" t="str">
            <v>Eredeti</v>
          </cell>
        </row>
        <row r="31">
          <cell r="A31" t="str">
            <v>Intézmények Gazdasági Hivatala</v>
          </cell>
          <cell r="B31" t="str">
            <v>Eredeti</v>
          </cell>
          <cell r="C31">
            <v>666468</v>
          </cell>
          <cell r="E31">
            <v>9901946.36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O31">
            <v>18580083.2002</v>
          </cell>
          <cell r="P31">
            <v>4955418.18495</v>
          </cell>
          <cell r="Q31">
            <v>8332527.04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</row>
        <row r="32">
          <cell r="A32" t="str">
            <v>Kvi. alcímek és szakf. Összesen:</v>
          </cell>
          <cell r="B32" t="str">
            <v>Eredeti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SheetLayoutView="100" workbookViewId="0" topLeftCell="A1">
      <selection activeCell="B3" sqref="B3"/>
    </sheetView>
  </sheetViews>
  <sheetFormatPr defaultColWidth="9.00390625" defaultRowHeight="12.75" customHeight="1"/>
  <cols>
    <col min="1" max="1" width="6.25390625" style="1" customWidth="1"/>
    <col min="2" max="2" width="56.00390625" style="1" customWidth="1"/>
    <col min="3" max="4" width="9.75390625" style="1" customWidth="1"/>
    <col min="5" max="5" width="12.25390625" style="1" customWidth="1"/>
    <col min="6" max="6" width="6.125" style="1" customWidth="1"/>
    <col min="7" max="7" width="57.625" style="1" customWidth="1"/>
    <col min="8" max="9" width="9.75390625" style="1" customWidth="1"/>
    <col min="10" max="10" width="11.875" style="1" customWidth="1"/>
    <col min="11" max="11" width="13.75390625" style="1" customWidth="1"/>
    <col min="12" max="16384" width="9.125" style="1" customWidth="1"/>
  </cols>
  <sheetData>
    <row r="1" ht="12.75">
      <c r="A1" s="2"/>
    </row>
    <row r="2" spans="1:11" ht="12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4"/>
    </row>
    <row r="3" spans="1:7" ht="13.5">
      <c r="A3" s="5"/>
      <c r="B3" s="5"/>
      <c r="C3" s="6"/>
      <c r="D3" s="7"/>
      <c r="E3" s="8"/>
      <c r="F3" s="8"/>
      <c r="G3" s="8"/>
    </row>
    <row r="4" spans="1:11" ht="13.5" customHeight="1">
      <c r="A4" s="9" t="s">
        <v>1</v>
      </c>
      <c r="B4" s="9"/>
      <c r="C4" s="9"/>
      <c r="D4" s="9"/>
      <c r="E4" s="9"/>
      <c r="F4" s="10" t="s">
        <v>2</v>
      </c>
      <c r="G4" s="10"/>
      <c r="H4" s="10"/>
      <c r="I4" s="10"/>
      <c r="J4" s="10"/>
      <c r="K4" s="11"/>
    </row>
    <row r="5" spans="1:11" ht="31.5" customHeight="1">
      <c r="A5" s="12"/>
      <c r="B5" s="13"/>
      <c r="C5" s="14" t="s">
        <v>3</v>
      </c>
      <c r="D5" s="15" t="s">
        <v>4</v>
      </c>
      <c r="E5" s="16" t="s">
        <v>5</v>
      </c>
      <c r="F5" s="17"/>
      <c r="G5" s="18"/>
      <c r="H5" s="19" t="s">
        <v>6</v>
      </c>
      <c r="I5" s="15" t="s">
        <v>4</v>
      </c>
      <c r="J5" s="16" t="s">
        <v>5</v>
      </c>
      <c r="K5" s="20"/>
    </row>
    <row r="6" spans="1:11" ht="13.5" customHeight="1">
      <c r="A6" s="21" t="s">
        <v>7</v>
      </c>
      <c r="B6" s="22"/>
      <c r="C6" s="23">
        <v>293134</v>
      </c>
      <c r="D6" s="24">
        <v>293015</v>
      </c>
      <c r="E6" s="25">
        <v>300001</v>
      </c>
      <c r="F6" s="21" t="s">
        <v>8</v>
      </c>
      <c r="G6" s="26"/>
      <c r="H6" s="27">
        <v>1689559</v>
      </c>
      <c r="I6" s="28">
        <v>1737093</v>
      </c>
      <c r="J6" s="29">
        <v>1484823</v>
      </c>
      <c r="K6" s="30"/>
    </row>
    <row r="7" spans="1:11" ht="13.5" customHeight="1">
      <c r="A7" s="21"/>
      <c r="B7" s="26"/>
      <c r="C7" s="31"/>
      <c r="D7" s="32"/>
      <c r="E7" s="33"/>
      <c r="F7" s="21"/>
      <c r="G7" s="26"/>
      <c r="H7" s="27"/>
      <c r="I7" s="28"/>
      <c r="J7" s="29"/>
      <c r="K7" s="30"/>
    </row>
    <row r="8" spans="1:11" ht="12.75" customHeight="1">
      <c r="A8" s="34" t="s">
        <v>9</v>
      </c>
      <c r="B8" s="35"/>
      <c r="C8" s="36">
        <f>SUM(C9:C14)</f>
        <v>2052412</v>
      </c>
      <c r="D8" s="36">
        <f>SUM(D9:D14)</f>
        <v>2052412</v>
      </c>
      <c r="E8" s="36">
        <f>SUM(E9:E14)</f>
        <v>2052412</v>
      </c>
      <c r="F8" s="34"/>
      <c r="G8" s="35"/>
      <c r="H8" s="37"/>
      <c r="I8" s="38"/>
      <c r="J8" s="39"/>
      <c r="K8" s="7"/>
    </row>
    <row r="9" spans="1:11" ht="12.75">
      <c r="A9" s="40"/>
      <c r="B9" s="41" t="s">
        <v>10</v>
      </c>
      <c r="C9" s="42">
        <v>1317500</v>
      </c>
      <c r="D9" s="43">
        <v>1317500</v>
      </c>
      <c r="E9" s="44">
        <v>1317500</v>
      </c>
      <c r="F9" s="34" t="s">
        <v>11</v>
      </c>
      <c r="G9" s="45"/>
      <c r="H9" s="46">
        <v>459656</v>
      </c>
      <c r="I9" s="47">
        <v>472448</v>
      </c>
      <c r="J9" s="48">
        <v>398759</v>
      </c>
      <c r="K9" s="30"/>
    </row>
    <row r="10" spans="1:11" ht="25.5">
      <c r="A10" s="49"/>
      <c r="B10" s="50" t="s">
        <v>12</v>
      </c>
      <c r="C10" s="42">
        <v>651645</v>
      </c>
      <c r="D10" s="43">
        <v>651645</v>
      </c>
      <c r="E10" s="44">
        <v>651645</v>
      </c>
      <c r="F10" s="34"/>
      <c r="G10" s="45"/>
      <c r="H10" s="46"/>
      <c r="I10" s="47"/>
      <c r="J10" s="48"/>
      <c r="K10" s="30"/>
    </row>
    <row r="11" spans="1:11" ht="12.75">
      <c r="A11" s="49"/>
      <c r="B11" s="51" t="s">
        <v>13</v>
      </c>
      <c r="C11" s="42">
        <v>3000</v>
      </c>
      <c r="D11" s="43">
        <v>3000</v>
      </c>
      <c r="E11" s="44">
        <v>3000</v>
      </c>
      <c r="F11" s="34" t="s">
        <v>14</v>
      </c>
      <c r="G11" s="45"/>
      <c r="H11" s="46">
        <f>SUM(H12:H13)</f>
        <v>1503086</v>
      </c>
      <c r="I11" s="46">
        <f>SUM(I12:I13)</f>
        <v>1565857</v>
      </c>
      <c r="J11" s="48">
        <f>SUM(J12:J13)</f>
        <v>1468105</v>
      </c>
      <c r="K11" s="7"/>
    </row>
    <row r="12" spans="1:11" ht="12.75">
      <c r="A12" s="52"/>
      <c r="B12" s="51" t="s">
        <v>15</v>
      </c>
      <c r="C12" s="42">
        <v>3000</v>
      </c>
      <c r="D12" s="43">
        <v>3000</v>
      </c>
      <c r="E12" s="44">
        <v>3000</v>
      </c>
      <c r="F12" s="53"/>
      <c r="G12" s="45" t="s">
        <v>16</v>
      </c>
      <c r="H12" s="37">
        <f>1503086-57415</f>
        <v>1445671</v>
      </c>
      <c r="I12" s="38">
        <v>1508442</v>
      </c>
      <c r="J12" s="39">
        <v>1410690</v>
      </c>
      <c r="K12" s="30"/>
    </row>
    <row r="13" spans="1:11" ht="12.75">
      <c r="A13" s="53"/>
      <c r="B13" s="45" t="s">
        <v>17</v>
      </c>
      <c r="C13" s="42">
        <v>38027</v>
      </c>
      <c r="D13" s="43">
        <v>38027</v>
      </c>
      <c r="E13" s="44">
        <v>38027</v>
      </c>
      <c r="F13" s="53"/>
      <c r="G13" s="45" t="s">
        <v>18</v>
      </c>
      <c r="H13" s="42">
        <v>57415</v>
      </c>
      <c r="I13" s="43">
        <v>57415</v>
      </c>
      <c r="J13" s="44">
        <v>57415</v>
      </c>
      <c r="K13" s="7"/>
    </row>
    <row r="14" spans="1:11" ht="12.75">
      <c r="A14" s="53"/>
      <c r="B14" s="45" t="s">
        <v>19</v>
      </c>
      <c r="C14" s="42">
        <v>39240</v>
      </c>
      <c r="D14" s="43">
        <v>39240</v>
      </c>
      <c r="E14" s="44">
        <v>39240</v>
      </c>
      <c r="F14" s="53"/>
      <c r="G14" s="45"/>
      <c r="H14" s="42"/>
      <c r="I14" s="43"/>
      <c r="J14" s="44"/>
      <c r="K14" s="30"/>
    </row>
    <row r="15" spans="1:11" ht="12.75">
      <c r="A15" s="53"/>
      <c r="B15" s="45"/>
      <c r="C15" s="42"/>
      <c r="D15" s="43"/>
      <c r="E15" s="44"/>
      <c r="F15" s="34" t="s">
        <v>20</v>
      </c>
      <c r="G15" s="35"/>
      <c r="H15" s="46">
        <f>SUM(H16:H18)</f>
        <v>557740</v>
      </c>
      <c r="I15" s="46">
        <f>SUM(I16:I18)</f>
        <v>551290</v>
      </c>
      <c r="J15" s="48">
        <f>SUM(J16:J18)</f>
        <v>592345</v>
      </c>
      <c r="K15" s="7"/>
    </row>
    <row r="16" spans="1:11" ht="14.25" customHeight="1">
      <c r="A16" s="49" t="s">
        <v>21</v>
      </c>
      <c r="B16" s="54"/>
      <c r="C16" s="36">
        <f>SUM(C17:C19)</f>
        <v>975132</v>
      </c>
      <c r="D16" s="55">
        <v>1003197</v>
      </c>
      <c r="E16" s="56">
        <f>SUM(E17:E20)</f>
        <v>1011277</v>
      </c>
      <c r="F16" s="53"/>
      <c r="G16" s="45" t="s">
        <v>22</v>
      </c>
      <c r="H16" s="37">
        <v>346470</v>
      </c>
      <c r="I16" s="38">
        <v>340020</v>
      </c>
      <c r="J16" s="39">
        <v>380849</v>
      </c>
      <c r="K16" s="7"/>
    </row>
    <row r="17" spans="1:11" ht="12.75">
      <c r="A17" s="53"/>
      <c r="B17" s="42" t="s">
        <v>23</v>
      </c>
      <c r="C17" s="42">
        <v>861384</v>
      </c>
      <c r="D17" s="43">
        <v>861384</v>
      </c>
      <c r="E17" s="44">
        <v>861113</v>
      </c>
      <c r="F17" s="34"/>
      <c r="G17" s="45" t="s">
        <v>24</v>
      </c>
      <c r="H17" s="37">
        <v>201850</v>
      </c>
      <c r="I17" s="38">
        <v>201850</v>
      </c>
      <c r="J17" s="39">
        <v>202076</v>
      </c>
      <c r="K17" s="7"/>
    </row>
    <row r="18" spans="1:11" ht="12.75">
      <c r="A18" s="57"/>
      <c r="B18" s="58" t="s">
        <v>25</v>
      </c>
      <c r="C18" s="42">
        <v>113710</v>
      </c>
      <c r="D18" s="43">
        <v>113710</v>
      </c>
      <c r="E18" s="44">
        <v>113710</v>
      </c>
      <c r="F18" s="34"/>
      <c r="G18" s="45" t="s">
        <v>26</v>
      </c>
      <c r="H18" s="37">
        <v>9420</v>
      </c>
      <c r="I18" s="38">
        <v>9420</v>
      </c>
      <c r="J18" s="39">
        <v>9420</v>
      </c>
      <c r="K18" s="30"/>
    </row>
    <row r="19" spans="1:11" ht="12.75">
      <c r="A19" s="53"/>
      <c r="B19" s="45" t="s">
        <v>27</v>
      </c>
      <c r="C19" s="42">
        <v>38</v>
      </c>
      <c r="D19" s="43">
        <v>38</v>
      </c>
      <c r="E19" s="44">
        <v>310</v>
      </c>
      <c r="F19" s="34"/>
      <c r="G19" s="45"/>
      <c r="H19" s="37"/>
      <c r="I19" s="38"/>
      <c r="J19" s="39"/>
      <c r="K19" s="7"/>
    </row>
    <row r="20" spans="1:11" ht="12.75">
      <c r="A20" s="59"/>
      <c r="B20" s="60" t="s">
        <v>28</v>
      </c>
      <c r="C20" s="42"/>
      <c r="D20" s="43">
        <v>28065</v>
      </c>
      <c r="E20" s="44">
        <v>36144</v>
      </c>
      <c r="F20" s="34" t="s">
        <v>29</v>
      </c>
      <c r="G20" s="35"/>
      <c r="H20" s="46">
        <v>1540001</v>
      </c>
      <c r="I20" s="47">
        <v>1656297</v>
      </c>
      <c r="J20" s="48">
        <f>1667316+9762</f>
        <v>1677078</v>
      </c>
      <c r="K20" s="30"/>
    </row>
    <row r="21" spans="1:11" ht="12.75">
      <c r="A21" s="61" t="s">
        <v>30</v>
      </c>
      <c r="B21" s="62"/>
      <c r="C21" s="36">
        <f>SUM(C22:C24)</f>
        <v>932618</v>
      </c>
      <c r="D21" s="36">
        <f>SUM(D22:D24)</f>
        <v>935143</v>
      </c>
      <c r="E21" s="36">
        <f>SUM(E22:E24)</f>
        <v>458853</v>
      </c>
      <c r="F21" s="34"/>
      <c r="G21" s="35"/>
      <c r="H21" s="46"/>
      <c r="I21" s="47"/>
      <c r="J21" s="48"/>
      <c r="K21" s="7"/>
    </row>
    <row r="22" spans="1:11" ht="12.75">
      <c r="A22" s="61"/>
      <c r="B22" s="60" t="s">
        <v>31</v>
      </c>
      <c r="C22" s="42">
        <v>175778</v>
      </c>
      <c r="D22" s="43">
        <v>175957</v>
      </c>
      <c r="E22" s="44">
        <v>180354</v>
      </c>
      <c r="F22" s="34" t="s">
        <v>32</v>
      </c>
      <c r="G22" s="35"/>
      <c r="H22" s="46">
        <v>32851</v>
      </c>
      <c r="I22" s="47">
        <v>37192</v>
      </c>
      <c r="J22" s="48">
        <v>67152</v>
      </c>
      <c r="K22" s="7"/>
    </row>
    <row r="23" spans="1:11" ht="12.75">
      <c r="A23" s="53"/>
      <c r="B23" s="45" t="s">
        <v>33</v>
      </c>
      <c r="C23" s="42">
        <v>744000</v>
      </c>
      <c r="D23" s="43">
        <v>744000</v>
      </c>
      <c r="E23" s="44">
        <v>258172</v>
      </c>
      <c r="F23" s="34"/>
      <c r="G23" s="35"/>
      <c r="H23" s="46"/>
      <c r="I23" s="47"/>
      <c r="J23" s="48"/>
      <c r="K23" s="30"/>
    </row>
    <row r="24" spans="1:11" ht="30" customHeight="1">
      <c r="A24" s="49"/>
      <c r="B24" s="51" t="s">
        <v>34</v>
      </c>
      <c r="C24" s="42">
        <v>12840</v>
      </c>
      <c r="D24" s="43">
        <v>15186</v>
      </c>
      <c r="E24" s="44">
        <v>20327</v>
      </c>
      <c r="F24" s="63" t="s">
        <v>35</v>
      </c>
      <c r="G24" s="63"/>
      <c r="H24" s="46">
        <v>42352</v>
      </c>
      <c r="I24" s="47">
        <v>42406</v>
      </c>
      <c r="J24" s="48">
        <v>63206</v>
      </c>
      <c r="K24" s="7"/>
    </row>
    <row r="25" spans="1:11" ht="12.75">
      <c r="A25" s="53"/>
      <c r="B25" s="45"/>
      <c r="C25" s="45"/>
      <c r="D25" s="64"/>
      <c r="E25" s="65"/>
      <c r="F25" s="53"/>
      <c r="G25" s="45"/>
      <c r="H25" s="42"/>
      <c r="I25" s="43"/>
      <c r="J25" s="44"/>
      <c r="K25" s="30"/>
    </row>
    <row r="26" spans="1:11" ht="14.25" customHeight="1">
      <c r="A26" s="49" t="s">
        <v>36</v>
      </c>
      <c r="B26" s="35"/>
      <c r="C26" s="36">
        <f>SUM(C27:C33)</f>
        <v>355182</v>
      </c>
      <c r="D26" s="36">
        <f>SUM(D27:D33)</f>
        <v>355182</v>
      </c>
      <c r="E26" s="36">
        <f>SUM(E27:E33)</f>
        <v>399731</v>
      </c>
      <c r="F26" s="34" t="s">
        <v>37</v>
      </c>
      <c r="G26" s="45"/>
      <c r="H26" s="36">
        <f>SUM(H27:H28)</f>
        <v>149000</v>
      </c>
      <c r="I26" s="55">
        <v>112175</v>
      </c>
      <c r="J26" s="56">
        <f>SUM(J27:J29)</f>
        <v>25102</v>
      </c>
      <c r="K26" s="7"/>
    </row>
    <row r="27" spans="1:11" ht="17.25" customHeight="1">
      <c r="A27" s="53"/>
      <c r="B27" s="45" t="s">
        <v>38</v>
      </c>
      <c r="C27" s="42">
        <v>1222</v>
      </c>
      <c r="D27" s="43">
        <v>1222</v>
      </c>
      <c r="E27" s="44">
        <v>1222</v>
      </c>
      <c r="F27" s="53"/>
      <c r="G27" s="45" t="s">
        <v>39</v>
      </c>
      <c r="H27" s="42">
        <v>13000</v>
      </c>
      <c r="I27" s="43">
        <v>9575</v>
      </c>
      <c r="J27" s="44">
        <v>4357</v>
      </c>
      <c r="K27" s="30"/>
    </row>
    <row r="28" spans="1:11" ht="12.75">
      <c r="A28" s="52"/>
      <c r="B28" s="51" t="s">
        <v>40</v>
      </c>
      <c r="C28" s="42">
        <v>132254</v>
      </c>
      <c r="D28" s="43">
        <v>132254</v>
      </c>
      <c r="E28" s="44">
        <v>176803</v>
      </c>
      <c r="F28" s="53"/>
      <c r="G28" s="45" t="s">
        <v>41</v>
      </c>
      <c r="H28" s="42">
        <v>136000</v>
      </c>
      <c r="I28" s="43">
        <v>71514</v>
      </c>
      <c r="J28" s="44">
        <v>3074</v>
      </c>
      <c r="K28" s="7"/>
    </row>
    <row r="29" spans="1:11" ht="15.75" customHeight="1">
      <c r="A29" s="53"/>
      <c r="B29" s="66" t="s">
        <v>42</v>
      </c>
      <c r="C29" s="42">
        <v>169500</v>
      </c>
      <c r="D29" s="43">
        <v>169500</v>
      </c>
      <c r="E29" s="44">
        <v>169500</v>
      </c>
      <c r="F29" s="53"/>
      <c r="G29" s="45" t="s">
        <v>43</v>
      </c>
      <c r="H29" s="37"/>
      <c r="I29" s="38">
        <v>31086</v>
      </c>
      <c r="J29" s="39">
        <v>17671</v>
      </c>
      <c r="K29" s="67"/>
    </row>
    <row r="30" spans="1:11" ht="14.25" customHeight="1">
      <c r="A30" s="34"/>
      <c r="B30" s="51" t="s">
        <v>44</v>
      </c>
      <c r="C30" s="42">
        <v>16236</v>
      </c>
      <c r="D30" s="43">
        <v>16236</v>
      </c>
      <c r="E30" s="44">
        <v>16236</v>
      </c>
      <c r="F30" s="34" t="s">
        <v>45</v>
      </c>
      <c r="G30" s="68"/>
      <c r="H30" s="46">
        <f>SUM(H31:H32)</f>
        <v>2702091</v>
      </c>
      <c r="I30" s="46">
        <f>SUM(I31:I32)</f>
        <v>2341675</v>
      </c>
      <c r="J30" s="48">
        <f>SUM(J31:J32)</f>
        <v>2318796</v>
      </c>
      <c r="K30" s="7"/>
    </row>
    <row r="31" spans="1:11" ht="12.75">
      <c r="A31" s="53"/>
      <c r="B31" s="45" t="s">
        <v>46</v>
      </c>
      <c r="C31" s="42">
        <v>35300</v>
      </c>
      <c r="D31" s="43">
        <v>35300</v>
      </c>
      <c r="E31" s="44">
        <v>35300</v>
      </c>
      <c r="F31" s="53"/>
      <c r="G31" s="45" t="s">
        <v>47</v>
      </c>
      <c r="H31" s="42">
        <f>45585+13000</f>
        <v>58585</v>
      </c>
      <c r="I31" s="43">
        <v>34337</v>
      </c>
      <c r="J31" s="44">
        <f>30015-9762</f>
        <v>20253</v>
      </c>
      <c r="K31" s="7"/>
    </row>
    <row r="32" spans="1:11" ht="12.75" customHeight="1">
      <c r="A32" s="61"/>
      <c r="B32" s="45" t="s">
        <v>48</v>
      </c>
      <c r="C32" s="42">
        <v>0</v>
      </c>
      <c r="D32" s="43"/>
      <c r="E32" s="44"/>
      <c r="F32" s="53"/>
      <c r="G32" s="45" t="s">
        <v>49</v>
      </c>
      <c r="H32" s="42">
        <v>2643506</v>
      </c>
      <c r="I32" s="43">
        <v>2307338</v>
      </c>
      <c r="J32" s="44">
        <v>2298543</v>
      </c>
      <c r="K32" s="7"/>
    </row>
    <row r="33" spans="1:11" ht="12.75" customHeight="1">
      <c r="A33" s="63"/>
      <c r="B33" s="69" t="s">
        <v>50</v>
      </c>
      <c r="C33" s="42">
        <v>670</v>
      </c>
      <c r="D33" s="43">
        <v>670</v>
      </c>
      <c r="E33" s="44">
        <v>670</v>
      </c>
      <c r="F33" s="53"/>
      <c r="G33" s="45"/>
      <c r="H33" s="42"/>
      <c r="I33" s="43"/>
      <c r="J33" s="44"/>
      <c r="K33" s="70"/>
    </row>
    <row r="34" spans="1:11" ht="12.75" customHeight="1">
      <c r="A34" s="53"/>
      <c r="B34" s="45"/>
      <c r="C34" s="42"/>
      <c r="D34" s="43"/>
      <c r="E34" s="44"/>
      <c r="F34" s="34" t="s">
        <v>51</v>
      </c>
      <c r="G34" s="45"/>
      <c r="H34" s="36">
        <v>27692</v>
      </c>
      <c r="I34" s="55">
        <v>27692</v>
      </c>
      <c r="J34" s="56">
        <v>27692</v>
      </c>
      <c r="K34" s="7"/>
    </row>
    <row r="35" spans="1:11" ht="14.25" customHeight="1">
      <c r="A35" s="61" t="s">
        <v>52</v>
      </c>
      <c r="B35" s="62"/>
      <c r="C35" s="36">
        <f>SUM(C36:C37)</f>
        <v>2703074</v>
      </c>
      <c r="D35" s="36">
        <f>SUM(D36:D37)</f>
        <v>2464766</v>
      </c>
      <c r="E35" s="36">
        <f>SUM(E36:E37)</f>
        <v>2469169</v>
      </c>
      <c r="F35" s="53"/>
      <c r="G35" s="45"/>
      <c r="H35" s="42"/>
      <c r="I35" s="43"/>
      <c r="J35" s="44"/>
      <c r="K35" s="7"/>
    </row>
    <row r="36" spans="1:11" ht="12.75" customHeight="1">
      <c r="A36" s="34"/>
      <c r="B36" s="45" t="s">
        <v>53</v>
      </c>
      <c r="C36" s="42">
        <v>0</v>
      </c>
      <c r="D36" s="43">
        <v>54</v>
      </c>
      <c r="E36" s="44">
        <v>54</v>
      </c>
      <c r="F36" s="34" t="s">
        <v>54</v>
      </c>
      <c r="G36" s="45"/>
      <c r="H36" s="46">
        <f>SUM(H37:H38)</f>
        <v>5500</v>
      </c>
      <c r="I36" s="46">
        <f>SUM(I37:I38)</f>
        <v>22741</v>
      </c>
      <c r="J36" s="48">
        <f>SUM(J37:J38)</f>
        <v>64357</v>
      </c>
      <c r="K36" s="7"/>
    </row>
    <row r="37" spans="1:11" ht="12.75" customHeight="1">
      <c r="A37" s="52"/>
      <c r="B37" s="51" t="s">
        <v>55</v>
      </c>
      <c r="C37" s="42">
        <f>SUM(C38:C40)</f>
        <v>2703074</v>
      </c>
      <c r="D37" s="42">
        <f>SUM(D38:D40)</f>
        <v>2464712</v>
      </c>
      <c r="E37" s="42">
        <f>SUM(E38:E40)</f>
        <v>2469115</v>
      </c>
      <c r="F37" s="53"/>
      <c r="G37" s="45" t="s">
        <v>56</v>
      </c>
      <c r="H37" s="42">
        <v>3000</v>
      </c>
      <c r="I37" s="43">
        <v>3000</v>
      </c>
      <c r="J37" s="44">
        <v>3000</v>
      </c>
      <c r="K37" s="7"/>
    </row>
    <row r="38" spans="1:11" ht="12.75" customHeight="1">
      <c r="A38" s="52"/>
      <c r="B38" s="71" t="s">
        <v>57</v>
      </c>
      <c r="C38" s="72">
        <v>1103231</v>
      </c>
      <c r="D38" s="73">
        <v>1103731</v>
      </c>
      <c r="E38" s="74">
        <v>1108134</v>
      </c>
      <c r="F38" s="53"/>
      <c r="G38" s="45" t="s">
        <v>58</v>
      </c>
      <c r="H38" s="42">
        <v>2500</v>
      </c>
      <c r="I38" s="43">
        <v>19741</v>
      </c>
      <c r="J38" s="44">
        <v>61357</v>
      </c>
      <c r="K38" s="7"/>
    </row>
    <row r="39" spans="1:11" ht="12.75" customHeight="1">
      <c r="A39" s="52"/>
      <c r="B39" s="75" t="s">
        <v>59</v>
      </c>
      <c r="C39" s="72">
        <v>1588643</v>
      </c>
      <c r="D39" s="73">
        <v>1349781</v>
      </c>
      <c r="E39" s="74">
        <v>1349781</v>
      </c>
      <c r="F39" s="53"/>
      <c r="G39" s="45"/>
      <c r="H39" s="42"/>
      <c r="I39" s="43"/>
      <c r="J39" s="44"/>
      <c r="K39" s="7"/>
    </row>
    <row r="40" spans="1:11" ht="12.75" customHeight="1">
      <c r="A40" s="52"/>
      <c r="B40" s="71" t="s">
        <v>60</v>
      </c>
      <c r="C40" s="72">
        <v>11200</v>
      </c>
      <c r="D40" s="73">
        <v>11200</v>
      </c>
      <c r="E40" s="74">
        <v>11200</v>
      </c>
      <c r="F40" s="61" t="s">
        <v>61</v>
      </c>
      <c r="G40" s="61"/>
      <c r="H40" s="42"/>
      <c r="I40" s="55">
        <f>SUM(I41:I42)</f>
        <v>451507</v>
      </c>
      <c r="J40" s="56">
        <f>SUM(J41:J42)</f>
        <v>451507</v>
      </c>
      <c r="K40" s="7"/>
    </row>
    <row r="41" spans="1:11" ht="12.75" customHeight="1">
      <c r="A41" s="61" t="s">
        <v>62</v>
      </c>
      <c r="B41" s="61"/>
      <c r="C41" s="42"/>
      <c r="D41" s="55">
        <v>451303</v>
      </c>
      <c r="E41" s="56">
        <v>451303</v>
      </c>
      <c r="F41" s="53"/>
      <c r="G41" s="66" t="s">
        <v>63</v>
      </c>
      <c r="H41" s="36"/>
      <c r="I41" s="43">
        <v>123538</v>
      </c>
      <c r="J41" s="44">
        <v>123538</v>
      </c>
      <c r="K41" s="7"/>
    </row>
    <row r="42" spans="1:11" ht="12.75" customHeight="1">
      <c r="A42" s="49" t="s">
        <v>64</v>
      </c>
      <c r="B42" s="51"/>
      <c r="C42" s="36">
        <v>86700</v>
      </c>
      <c r="D42" s="55">
        <v>88700</v>
      </c>
      <c r="E42" s="56">
        <v>130316</v>
      </c>
      <c r="F42" s="53"/>
      <c r="G42" s="66" t="s">
        <v>65</v>
      </c>
      <c r="H42" s="46"/>
      <c r="I42" s="38">
        <v>327969</v>
      </c>
      <c r="J42" s="39">
        <v>327969</v>
      </c>
      <c r="K42" s="7"/>
    </row>
    <row r="43" spans="1:11" ht="12.75" customHeight="1">
      <c r="A43" s="53"/>
      <c r="B43" s="45"/>
      <c r="C43" s="45"/>
      <c r="D43" s="64"/>
      <c r="E43" s="65"/>
      <c r="F43" s="34"/>
      <c r="G43" s="35"/>
      <c r="H43" s="46"/>
      <c r="I43" s="47"/>
      <c r="J43" s="48"/>
      <c r="K43" s="7"/>
    </row>
    <row r="44" spans="1:11" ht="25.5" customHeight="1">
      <c r="A44" s="76" t="s">
        <v>66</v>
      </c>
      <c r="B44" s="51"/>
      <c r="C44" s="36">
        <f>SUM(C6,C8,C16,C21,C26,C35,C42)</f>
        <v>7398252</v>
      </c>
      <c r="D44" s="55">
        <f>SUM(D6,D8,D16,D21,D26,D35,D42+D41)</f>
        <v>7643718</v>
      </c>
      <c r="E44" s="56">
        <f>SUM(E6,E8,E16,E21,E26,E35,E42+E41)</f>
        <v>7273062</v>
      </c>
      <c r="F44" s="34" t="s">
        <v>67</v>
      </c>
      <c r="G44" s="35"/>
      <c r="H44" s="46">
        <f>SUM(H6,H9,H11,H15,H20,H22,H24,H26,H30,H34,H36)</f>
        <v>8709528</v>
      </c>
      <c r="I44" s="47">
        <f>SUM(I6,I9,I11,I15,I20,I22,I24,I26,I30,I34,I36,I40)</f>
        <v>9018373</v>
      </c>
      <c r="J44" s="48">
        <f>SUM(J6,J9,J15,J20,J22,J24,J26,J30,J34,J36,J40,J11)</f>
        <v>8638922</v>
      </c>
      <c r="K44" s="7"/>
    </row>
    <row r="45" spans="1:11" ht="12.75" customHeight="1">
      <c r="A45" s="77"/>
      <c r="B45" s="78"/>
      <c r="C45" s="42"/>
      <c r="D45" s="43"/>
      <c r="E45" s="44"/>
      <c r="F45" s="34"/>
      <c r="G45" s="45"/>
      <c r="H45" s="42"/>
      <c r="I45" s="43"/>
      <c r="J45" s="44"/>
      <c r="K45" s="7"/>
    </row>
    <row r="46" spans="1:11" ht="12.75" customHeight="1">
      <c r="A46" s="61" t="s">
        <v>68</v>
      </c>
      <c r="B46" s="62"/>
      <c r="C46" s="36"/>
      <c r="D46" s="55"/>
      <c r="E46" s="56"/>
      <c r="F46" s="34"/>
      <c r="G46" s="35"/>
      <c r="H46" s="46"/>
      <c r="I46" s="47"/>
      <c r="J46" s="48"/>
      <c r="K46" s="7"/>
    </row>
    <row r="47" spans="1:11" ht="12.75" customHeight="1">
      <c r="A47" s="59" t="s">
        <v>69</v>
      </c>
      <c r="B47" s="60"/>
      <c r="C47" s="42"/>
      <c r="D47" s="43"/>
      <c r="E47" s="44"/>
      <c r="F47" s="34"/>
      <c r="G47" s="35"/>
      <c r="H47" s="46"/>
      <c r="I47" s="47"/>
      <c r="J47" s="48"/>
      <c r="K47" s="7"/>
    </row>
    <row r="48" spans="1:11" ht="12.75" customHeight="1">
      <c r="A48" s="53" t="s">
        <v>70</v>
      </c>
      <c r="B48" s="45"/>
      <c r="C48" s="42">
        <v>390428</v>
      </c>
      <c r="D48" s="43">
        <v>551113</v>
      </c>
      <c r="E48" s="44">
        <v>551113</v>
      </c>
      <c r="F48" s="53" t="s">
        <v>71</v>
      </c>
      <c r="G48" s="35"/>
      <c r="H48" s="37">
        <v>134015</v>
      </c>
      <c r="I48" s="38">
        <v>134015</v>
      </c>
      <c r="J48" s="39">
        <v>134015</v>
      </c>
      <c r="K48" s="7"/>
    </row>
    <row r="49" spans="1:11" ht="12.75" customHeight="1">
      <c r="A49" s="79" t="s">
        <v>72</v>
      </c>
      <c r="B49" s="79"/>
      <c r="C49" s="42">
        <f>SUM(C50:C51)</f>
        <v>1054863</v>
      </c>
      <c r="D49" s="42">
        <f>SUM(D50:D51)</f>
        <v>957557</v>
      </c>
      <c r="E49" s="42">
        <v>948762</v>
      </c>
      <c r="F49" s="53"/>
      <c r="G49" s="45"/>
      <c r="H49" s="46"/>
      <c r="I49" s="47"/>
      <c r="J49" s="48"/>
      <c r="K49" s="7"/>
    </row>
    <row r="50" spans="1:11" ht="12.75" customHeight="1">
      <c r="A50" s="79"/>
      <c r="B50" s="80" t="s">
        <v>73</v>
      </c>
      <c r="C50" s="72">
        <v>89616</v>
      </c>
      <c r="D50" s="73">
        <v>113690</v>
      </c>
      <c r="E50" s="74">
        <v>105174</v>
      </c>
      <c r="F50" s="53"/>
      <c r="G50" s="45"/>
      <c r="H50" s="46"/>
      <c r="I50" s="47"/>
      <c r="J50" s="48"/>
      <c r="K50" s="7"/>
    </row>
    <row r="51" spans="1:11" ht="29.25" customHeight="1">
      <c r="A51" s="79"/>
      <c r="B51" s="80" t="s">
        <v>74</v>
      </c>
      <c r="C51" s="72">
        <v>965247</v>
      </c>
      <c r="D51" s="73">
        <v>843867</v>
      </c>
      <c r="E51" s="74">
        <v>843588</v>
      </c>
      <c r="F51" s="53"/>
      <c r="G51" s="45"/>
      <c r="H51" s="46"/>
      <c r="I51" s="47"/>
      <c r="J51" s="48"/>
      <c r="K51" s="7"/>
    </row>
    <row r="52" spans="1:11" ht="12.75" customHeight="1">
      <c r="A52" s="79"/>
      <c r="B52" s="81"/>
      <c r="C52" s="42"/>
      <c r="D52" s="43"/>
      <c r="E52" s="44"/>
      <c r="F52" s="53"/>
      <c r="G52" s="45"/>
      <c r="H52" s="46"/>
      <c r="I52" s="47"/>
      <c r="J52" s="48"/>
      <c r="K52" s="7"/>
    </row>
    <row r="53" spans="1:11" ht="15" customHeight="1">
      <c r="A53" s="49" t="s">
        <v>75</v>
      </c>
      <c r="B53" s="49"/>
      <c r="C53" s="36">
        <f>SUM(C48:C49)</f>
        <v>1445291</v>
      </c>
      <c r="D53" s="36">
        <f>SUM(D48:D49)</f>
        <v>1508670</v>
      </c>
      <c r="E53" s="36">
        <f>SUM(E48:E49)</f>
        <v>1499875</v>
      </c>
      <c r="F53" s="34" t="s">
        <v>76</v>
      </c>
      <c r="G53" s="46"/>
      <c r="H53" s="36">
        <f>SUM(H48)</f>
        <v>134015</v>
      </c>
      <c r="I53" s="36">
        <f>SUM(I48)</f>
        <v>134015</v>
      </c>
      <c r="J53" s="56">
        <f>SUM(J48)</f>
        <v>134015</v>
      </c>
      <c r="K53" s="7"/>
    </row>
    <row r="54" spans="1:11" ht="15" customHeight="1">
      <c r="A54" s="77"/>
      <c r="B54" s="77"/>
      <c r="C54" s="42"/>
      <c r="D54" s="43"/>
      <c r="E54" s="44"/>
      <c r="F54" s="34"/>
      <c r="G54" s="45"/>
      <c r="H54" s="42"/>
      <c r="I54" s="43"/>
      <c r="J54" s="44"/>
      <c r="K54" s="7"/>
    </row>
    <row r="55" spans="1:11" ht="15" customHeight="1">
      <c r="A55" s="82" t="s">
        <v>77</v>
      </c>
      <c r="B55" s="83"/>
      <c r="C55" s="83">
        <f>SUM(C44,C53)</f>
        <v>8843543</v>
      </c>
      <c r="D55" s="83">
        <f>SUM(D44,D53)</f>
        <v>9152388</v>
      </c>
      <c r="E55" s="83">
        <f>SUM(E44,E53)</f>
        <v>8772937</v>
      </c>
      <c r="F55" s="84" t="s">
        <v>78</v>
      </c>
      <c r="G55" s="85"/>
      <c r="H55" s="86">
        <f>SUM(H44,H53)</f>
        <v>8843543</v>
      </c>
      <c r="I55" s="86">
        <f>SUM(I44,I53)</f>
        <v>9152388</v>
      </c>
      <c r="J55" s="87">
        <f>SUM(J44,J53)</f>
        <v>8772937</v>
      </c>
      <c r="K55" s="7"/>
    </row>
  </sheetData>
  <sheetProtection selectLockedCells="1" selectUnlockedCells="1"/>
  <mergeCells count="9">
    <mergeCell ref="A2:J2"/>
    <mergeCell ref="A4:E4"/>
    <mergeCell ref="F4:J4"/>
    <mergeCell ref="F24:G24"/>
    <mergeCell ref="F40:G40"/>
    <mergeCell ref="A41:B41"/>
    <mergeCell ref="A49:B49"/>
    <mergeCell ref="A53:B53"/>
    <mergeCell ref="A54:B54"/>
  </mergeCells>
  <printOptions horizontalCentered="1"/>
  <pageMargins left="0.2361111111111111" right="0.2361111111111111" top="0.6097222222222223" bottom="0.19652777777777777" header="0.3298611111111111" footer="0.5118055555555555"/>
  <pageSetup horizontalDpi="300" verticalDpi="300" orientation="landscape" paperSize="9" scale="65"/>
  <headerFooter alignWithMargins="0">
    <oddHeader>&amp;L&amp;8 1. melléklet a 24/212(VIII..31.) önkormányzati rendelethez
" 1. melléklet a 3/2012(II.16.) önkormányzati rendelethez"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40"/>
  <sheetViews>
    <sheetView view="pageBreakPreview" zoomScaleSheetLayoutView="100" workbookViewId="0" topLeftCell="A1">
      <selection activeCell="G4" sqref="G4"/>
    </sheetView>
  </sheetViews>
  <sheetFormatPr defaultColWidth="9.00390625" defaultRowHeight="12.75"/>
  <cols>
    <col min="1" max="1" width="60.875" style="0" customWidth="1"/>
    <col min="2" max="3" width="10.75390625" style="0" customWidth="1"/>
    <col min="4" max="4" width="12.375" style="0" customWidth="1"/>
    <col min="5" max="6" width="10.25390625" style="0" customWidth="1"/>
    <col min="7" max="7" width="10.75390625" style="479" customWidth="1"/>
  </cols>
  <sheetData>
    <row r="1" spans="1:7" ht="12.75" customHeight="1">
      <c r="A1" s="480" t="s">
        <v>474</v>
      </c>
      <c r="B1" s="480"/>
      <c r="C1" s="480"/>
      <c r="D1" s="480"/>
      <c r="E1" s="480"/>
      <c r="F1" s="480"/>
      <c r="G1" s="480"/>
    </row>
    <row r="2" spans="1:7" ht="12.75" customHeight="1">
      <c r="A2" s="480" t="s">
        <v>475</v>
      </c>
      <c r="B2" s="480"/>
      <c r="C2" s="480"/>
      <c r="D2" s="480"/>
      <c r="E2" s="480"/>
      <c r="F2" s="480"/>
      <c r="G2" s="480"/>
    </row>
    <row r="3" spans="1:4" ht="12" customHeight="1">
      <c r="A3" s="262"/>
      <c r="B3" s="1"/>
      <c r="C3" s="1"/>
      <c r="D3" s="1"/>
    </row>
    <row r="4" spans="1:7" ht="69" customHeight="1">
      <c r="A4" s="481" t="s">
        <v>219</v>
      </c>
      <c r="B4" s="482" t="s">
        <v>6</v>
      </c>
      <c r="C4" s="482" t="s">
        <v>4</v>
      </c>
      <c r="D4" s="483" t="s">
        <v>5</v>
      </c>
      <c r="E4" s="484" t="s">
        <v>476</v>
      </c>
      <c r="F4" s="485" t="s">
        <v>477</v>
      </c>
      <c r="G4" s="188" t="s">
        <v>478</v>
      </c>
    </row>
    <row r="5" spans="1:7" ht="15" customHeight="1">
      <c r="A5" s="486" t="s">
        <v>479</v>
      </c>
      <c r="B5" s="487">
        <v>50000</v>
      </c>
      <c r="C5" s="487">
        <v>0</v>
      </c>
      <c r="D5" s="487">
        <v>0</v>
      </c>
      <c r="E5" s="488">
        <v>40000</v>
      </c>
      <c r="F5" s="489">
        <v>40000</v>
      </c>
      <c r="G5" s="490">
        <v>40000</v>
      </c>
    </row>
    <row r="6" spans="1:7" ht="15" customHeight="1">
      <c r="A6" s="491" t="s">
        <v>480</v>
      </c>
      <c r="B6" s="492">
        <v>20000</v>
      </c>
      <c r="C6" s="492">
        <v>0</v>
      </c>
      <c r="D6" s="492">
        <v>0</v>
      </c>
      <c r="E6" s="492">
        <v>18000</v>
      </c>
      <c r="F6" s="493">
        <v>18000</v>
      </c>
      <c r="G6" s="494">
        <v>18000</v>
      </c>
    </row>
    <row r="7" spans="1:7" ht="15" customHeight="1">
      <c r="A7" s="491" t="s">
        <v>481</v>
      </c>
      <c r="B7" s="492">
        <v>4000</v>
      </c>
      <c r="C7" s="492">
        <v>0</v>
      </c>
      <c r="D7" s="492">
        <v>0</v>
      </c>
      <c r="E7" s="492">
        <v>3600</v>
      </c>
      <c r="F7" s="493">
        <v>3600</v>
      </c>
      <c r="G7" s="494">
        <v>3600</v>
      </c>
    </row>
    <row r="8" spans="1:7" ht="15" customHeight="1">
      <c r="A8" s="491" t="s">
        <v>281</v>
      </c>
      <c r="B8" s="492">
        <v>1300</v>
      </c>
      <c r="C8" s="492">
        <v>0</v>
      </c>
      <c r="D8" s="492">
        <v>0</v>
      </c>
      <c r="E8" s="492">
        <v>1170</v>
      </c>
      <c r="F8" s="493">
        <v>1170</v>
      </c>
      <c r="G8" s="494">
        <v>1170</v>
      </c>
    </row>
    <row r="9" spans="1:7" ht="15" customHeight="1">
      <c r="A9" s="491" t="s">
        <v>282</v>
      </c>
      <c r="B9" s="492">
        <v>16800</v>
      </c>
      <c r="C9" s="492">
        <v>0</v>
      </c>
      <c r="D9" s="492">
        <v>0</v>
      </c>
      <c r="E9" s="492">
        <v>15120</v>
      </c>
      <c r="F9" s="493">
        <v>15120</v>
      </c>
      <c r="G9" s="494">
        <v>15120</v>
      </c>
    </row>
    <row r="10" spans="1:7" ht="15" customHeight="1">
      <c r="A10" s="491" t="s">
        <v>482</v>
      </c>
      <c r="B10" s="492">
        <v>1500</v>
      </c>
      <c r="C10" s="492">
        <v>1500</v>
      </c>
      <c r="D10" s="492">
        <v>1500</v>
      </c>
      <c r="E10" s="492"/>
      <c r="F10" s="493">
        <v>0</v>
      </c>
      <c r="G10" s="494">
        <v>0</v>
      </c>
    </row>
    <row r="11" spans="1:7" ht="15" customHeight="1">
      <c r="A11" s="491" t="s">
        <v>483</v>
      </c>
      <c r="B11" s="492">
        <v>9500</v>
      </c>
      <c r="C11" s="492">
        <v>0</v>
      </c>
      <c r="D11" s="492">
        <v>0</v>
      </c>
      <c r="E11" s="492">
        <v>8550</v>
      </c>
      <c r="F11" s="493">
        <v>8550</v>
      </c>
      <c r="G11" s="494">
        <v>8550</v>
      </c>
    </row>
    <row r="12" spans="1:7" ht="15" customHeight="1">
      <c r="A12" s="491" t="s">
        <v>484</v>
      </c>
      <c r="B12" s="492">
        <v>29000</v>
      </c>
      <c r="C12" s="492">
        <v>0</v>
      </c>
      <c r="D12" s="492">
        <v>0</v>
      </c>
      <c r="E12" s="492">
        <v>21750</v>
      </c>
      <c r="F12" s="493">
        <v>21750</v>
      </c>
      <c r="G12" s="494">
        <v>21750</v>
      </c>
    </row>
    <row r="13" spans="1:7" ht="15" customHeight="1">
      <c r="A13" s="491" t="s">
        <v>485</v>
      </c>
      <c r="B13" s="492">
        <v>1700</v>
      </c>
      <c r="C13" s="492">
        <v>1700</v>
      </c>
      <c r="D13" s="492">
        <v>1700</v>
      </c>
      <c r="E13" s="492"/>
      <c r="F13" s="493">
        <v>0</v>
      </c>
      <c r="G13" s="494">
        <v>0</v>
      </c>
    </row>
    <row r="14" spans="1:7" ht="15" customHeight="1">
      <c r="A14" s="491" t="s">
        <v>288</v>
      </c>
      <c r="B14" s="492">
        <v>11000</v>
      </c>
      <c r="C14" s="492">
        <v>8500</v>
      </c>
      <c r="D14" s="492">
        <v>8500</v>
      </c>
      <c r="E14" s="492"/>
      <c r="F14" s="493">
        <v>0</v>
      </c>
      <c r="G14" s="494">
        <v>0</v>
      </c>
    </row>
    <row r="15" spans="1:7" ht="15" customHeight="1">
      <c r="A15" s="491" t="s">
        <v>289</v>
      </c>
      <c r="B15" s="492">
        <v>2100</v>
      </c>
      <c r="C15" s="492">
        <v>2100</v>
      </c>
      <c r="D15" s="492">
        <v>2100</v>
      </c>
      <c r="E15" s="492"/>
      <c r="F15" s="493">
        <v>0</v>
      </c>
      <c r="G15" s="494">
        <v>0</v>
      </c>
    </row>
    <row r="16" spans="1:7" ht="15" customHeight="1">
      <c r="A16" s="491" t="s">
        <v>486</v>
      </c>
      <c r="B16" s="492">
        <v>8500</v>
      </c>
      <c r="C16" s="492">
        <v>0</v>
      </c>
      <c r="D16" s="492">
        <v>0</v>
      </c>
      <c r="E16" s="492">
        <v>8500</v>
      </c>
      <c r="F16" s="493">
        <v>8500</v>
      </c>
      <c r="G16" s="494">
        <v>8500</v>
      </c>
    </row>
    <row r="17" spans="1:7" ht="15" customHeight="1">
      <c r="A17" s="491" t="s">
        <v>487</v>
      </c>
      <c r="B17" s="492">
        <v>4000</v>
      </c>
      <c r="C17" s="492">
        <v>4000</v>
      </c>
      <c r="D17" s="492">
        <v>4000</v>
      </c>
      <c r="E17" s="492"/>
      <c r="F17" s="493">
        <v>0</v>
      </c>
      <c r="G17" s="494">
        <v>0</v>
      </c>
    </row>
    <row r="18" spans="1:7" ht="15" customHeight="1">
      <c r="A18" s="491" t="s">
        <v>488</v>
      </c>
      <c r="B18" s="492">
        <v>150</v>
      </c>
      <c r="C18" s="492">
        <v>150</v>
      </c>
      <c r="D18" s="492">
        <v>150</v>
      </c>
      <c r="E18" s="492"/>
      <c r="F18" s="493">
        <v>0</v>
      </c>
      <c r="G18" s="494">
        <v>0</v>
      </c>
    </row>
    <row r="19" spans="1:7" ht="15" customHeight="1">
      <c r="A19" s="491" t="s">
        <v>301</v>
      </c>
      <c r="B19" s="492">
        <v>1500</v>
      </c>
      <c r="C19" s="492">
        <v>0</v>
      </c>
      <c r="D19" s="492">
        <v>0</v>
      </c>
      <c r="E19" s="492">
        <v>1500</v>
      </c>
      <c r="F19" s="493">
        <v>1500</v>
      </c>
      <c r="G19" s="494">
        <v>1500</v>
      </c>
    </row>
    <row r="20" spans="1:7" ht="15" customHeight="1">
      <c r="A20" s="491" t="s">
        <v>489</v>
      </c>
      <c r="B20" s="492"/>
      <c r="C20" s="492">
        <v>0</v>
      </c>
      <c r="D20" s="492">
        <v>0</v>
      </c>
      <c r="E20" s="492"/>
      <c r="F20" s="493">
        <v>0</v>
      </c>
      <c r="G20" s="494">
        <v>0</v>
      </c>
    </row>
    <row r="21" spans="1:7" ht="15" customHeight="1">
      <c r="A21" s="491" t="s">
        <v>490</v>
      </c>
      <c r="B21" s="492"/>
      <c r="C21" s="492">
        <v>0</v>
      </c>
      <c r="D21" s="492">
        <v>0</v>
      </c>
      <c r="E21" s="492"/>
      <c r="F21" s="493">
        <v>0</v>
      </c>
      <c r="G21" s="494">
        <v>0</v>
      </c>
    </row>
    <row r="22" spans="1:7" ht="15" customHeight="1">
      <c r="A22" s="491" t="s">
        <v>287</v>
      </c>
      <c r="B22" s="492">
        <v>300</v>
      </c>
      <c r="C22" s="492">
        <v>0</v>
      </c>
      <c r="D22" s="492">
        <v>0</v>
      </c>
      <c r="E22" s="492">
        <v>300</v>
      </c>
      <c r="F22" s="493">
        <v>300</v>
      </c>
      <c r="G22" s="494">
        <v>300</v>
      </c>
    </row>
    <row r="23" spans="1:7" ht="15" customHeight="1">
      <c r="A23" s="491" t="s">
        <v>491</v>
      </c>
      <c r="B23" s="492"/>
      <c r="C23" s="492">
        <v>0</v>
      </c>
      <c r="D23" s="492">
        <v>0</v>
      </c>
      <c r="E23" s="492"/>
      <c r="F23" s="493">
        <v>0</v>
      </c>
      <c r="G23" s="494">
        <v>0</v>
      </c>
    </row>
    <row r="24" spans="1:7" ht="15" customHeight="1">
      <c r="A24" s="491" t="s">
        <v>492</v>
      </c>
      <c r="B24" s="492"/>
      <c r="C24" s="492">
        <v>0</v>
      </c>
      <c r="D24" s="492">
        <v>0</v>
      </c>
      <c r="E24" s="492"/>
      <c r="F24" s="493">
        <v>0</v>
      </c>
      <c r="G24" s="494">
        <v>0</v>
      </c>
    </row>
    <row r="25" spans="1:7" ht="15" customHeight="1">
      <c r="A25" s="491" t="s">
        <v>493</v>
      </c>
      <c r="B25" s="492">
        <v>28000</v>
      </c>
      <c r="C25" s="492">
        <v>28000</v>
      </c>
      <c r="D25" s="492">
        <v>28000</v>
      </c>
      <c r="E25" s="492"/>
      <c r="F25" s="493">
        <v>0</v>
      </c>
      <c r="G25" s="494">
        <v>0</v>
      </c>
    </row>
    <row r="26" spans="1:7" s="230" customFormat="1" ht="15" customHeight="1">
      <c r="A26" s="495" t="s">
        <v>494</v>
      </c>
      <c r="B26" s="496">
        <f>SUM(B5+B6+B7+B8+B9+B10+B11+B12+B13+B14+B15+B16+B17+B18+B19+B22+B25)</f>
        <v>189350</v>
      </c>
      <c r="C26" s="496">
        <f>SUM(C5:C25)</f>
        <v>45950</v>
      </c>
      <c r="D26" s="496">
        <f>SUM(D5:D25)</f>
        <v>45950</v>
      </c>
      <c r="E26" s="496">
        <f>SUM(E5+E6+E7+E8+E9+E10+E11+E12+E13+E14+E15+E16+E17+E18+E19+E22+E25)</f>
        <v>118490</v>
      </c>
      <c r="F26" s="497">
        <f>SUM(F5:F25)</f>
        <v>118490</v>
      </c>
      <c r="G26" s="498">
        <f>SUM(G5:G25)</f>
        <v>118490</v>
      </c>
    </row>
    <row r="27" spans="1:7" ht="15" customHeight="1">
      <c r="A27" s="499"/>
      <c r="B27" s="500"/>
      <c r="C27" s="500"/>
      <c r="D27" s="500"/>
      <c r="E27" s="492"/>
      <c r="F27" s="493"/>
      <c r="G27" s="494"/>
    </row>
    <row r="28" spans="1:7" ht="15" customHeight="1">
      <c r="A28" s="491" t="s">
        <v>495</v>
      </c>
      <c r="B28" s="492">
        <v>4000</v>
      </c>
      <c r="C28" s="492">
        <v>4000</v>
      </c>
      <c r="D28" s="492">
        <v>4000</v>
      </c>
      <c r="E28" s="492"/>
      <c r="F28" s="493">
        <v>0</v>
      </c>
      <c r="G28" s="494">
        <v>0</v>
      </c>
    </row>
    <row r="29" spans="1:7" ht="15" customHeight="1">
      <c r="A29" s="491" t="s">
        <v>295</v>
      </c>
      <c r="B29" s="492">
        <v>1500</v>
      </c>
      <c r="C29" s="492">
        <v>1500</v>
      </c>
      <c r="D29" s="492">
        <v>1500</v>
      </c>
      <c r="E29" s="492"/>
      <c r="F29" s="493">
        <v>0</v>
      </c>
      <c r="G29" s="494">
        <v>0</v>
      </c>
    </row>
    <row r="30" spans="1:7" ht="15" customHeight="1">
      <c r="A30" s="491" t="s">
        <v>294</v>
      </c>
      <c r="B30" s="492">
        <v>2000</v>
      </c>
      <c r="C30" s="492">
        <f>2000+2500</f>
        <v>4500</v>
      </c>
      <c r="D30" s="492">
        <f>2000+2500</f>
        <v>4500</v>
      </c>
      <c r="E30" s="492"/>
      <c r="F30" s="493">
        <v>0</v>
      </c>
      <c r="G30" s="494">
        <v>0</v>
      </c>
    </row>
    <row r="31" spans="1:7" ht="15" customHeight="1">
      <c r="A31" s="491" t="s">
        <v>496</v>
      </c>
      <c r="B31" s="492">
        <v>5000</v>
      </c>
      <c r="C31" s="492">
        <v>5000</v>
      </c>
      <c r="D31" s="492">
        <v>5000</v>
      </c>
      <c r="E31" s="492"/>
      <c r="F31" s="493">
        <v>0</v>
      </c>
      <c r="G31" s="494">
        <v>0</v>
      </c>
    </row>
    <row r="32" spans="1:7" s="230" customFormat="1" ht="15" customHeight="1">
      <c r="A32" s="495" t="s">
        <v>497</v>
      </c>
      <c r="B32" s="496">
        <f>SUM(B28+B29+B30+B31)</f>
        <v>12500</v>
      </c>
      <c r="C32" s="496">
        <f>SUM(C28:C31)</f>
        <v>15000</v>
      </c>
      <c r="D32" s="496">
        <f>SUM(D28:D31)</f>
        <v>15000</v>
      </c>
      <c r="E32" s="496">
        <f>SUM(E28:E31)</f>
        <v>0</v>
      </c>
      <c r="F32" s="497">
        <v>0</v>
      </c>
      <c r="G32" s="498">
        <v>0</v>
      </c>
    </row>
    <row r="33" spans="1:7" ht="15" customHeight="1">
      <c r="A33" s="491"/>
      <c r="B33" s="492"/>
      <c r="C33" s="492"/>
      <c r="D33" s="492"/>
      <c r="E33" s="492"/>
      <c r="F33" s="493"/>
      <c r="G33" s="494"/>
    </row>
    <row r="34" spans="1:7" s="230" customFormat="1" ht="15" customHeight="1">
      <c r="A34" s="495" t="s">
        <v>498</v>
      </c>
      <c r="B34" s="496">
        <f>SUM(B26+B32)</f>
        <v>201850</v>
      </c>
      <c r="C34" s="496">
        <f>SUM(C26+C32)</f>
        <v>60950</v>
      </c>
      <c r="D34" s="496">
        <f>SUM(D26+D32)</f>
        <v>60950</v>
      </c>
      <c r="E34" s="496">
        <f>SUM(E26+E32)</f>
        <v>118490</v>
      </c>
      <c r="F34" s="497">
        <f>F26+F32</f>
        <v>118490</v>
      </c>
      <c r="G34" s="498">
        <f>G26+G32</f>
        <v>118490</v>
      </c>
    </row>
    <row r="35" spans="1:7" ht="15" customHeight="1">
      <c r="A35" s="53"/>
      <c r="B35" s="492"/>
      <c r="C35" s="492"/>
      <c r="D35" s="492"/>
      <c r="E35" s="492"/>
      <c r="F35" s="493"/>
      <c r="G35" s="494"/>
    </row>
    <row r="36" spans="1:7" s="230" customFormat="1" ht="15" customHeight="1">
      <c r="A36" s="34" t="s">
        <v>499</v>
      </c>
      <c r="B36" s="496">
        <f aca="true" t="shared" si="0" ref="B36:G36">SUM(B37+B38)</f>
        <v>7368</v>
      </c>
      <c r="C36" s="496">
        <f t="shared" si="0"/>
        <v>408</v>
      </c>
      <c r="D36" s="496">
        <f t="shared" si="0"/>
        <v>408</v>
      </c>
      <c r="E36" s="496">
        <f t="shared" si="0"/>
        <v>5220</v>
      </c>
      <c r="F36" s="501">
        <f t="shared" si="0"/>
        <v>5220</v>
      </c>
      <c r="G36" s="502">
        <f t="shared" si="0"/>
        <v>5220</v>
      </c>
    </row>
    <row r="37" spans="1:7" ht="15" customHeight="1">
      <c r="A37" s="53" t="s">
        <v>500</v>
      </c>
      <c r="B37" s="492">
        <v>6960</v>
      </c>
      <c r="C37" s="492">
        <v>0</v>
      </c>
      <c r="D37" s="492">
        <v>0</v>
      </c>
      <c r="E37" s="492">
        <v>5220</v>
      </c>
      <c r="F37" s="493">
        <v>5220</v>
      </c>
      <c r="G37" s="494">
        <v>5220</v>
      </c>
    </row>
    <row r="38" spans="1:7" ht="15" customHeight="1">
      <c r="A38" s="53" t="s">
        <v>501</v>
      </c>
      <c r="B38" s="492">
        <v>408</v>
      </c>
      <c r="C38" s="492">
        <v>408</v>
      </c>
      <c r="D38" s="492">
        <v>408</v>
      </c>
      <c r="E38" s="492"/>
      <c r="F38" s="493">
        <v>0</v>
      </c>
      <c r="G38" s="494">
        <v>0</v>
      </c>
    </row>
    <row r="39" spans="1:7" ht="15" customHeight="1">
      <c r="A39" s="53"/>
      <c r="B39" s="492"/>
      <c r="C39" s="492"/>
      <c r="D39" s="492"/>
      <c r="E39" s="492"/>
      <c r="F39" s="493"/>
      <c r="G39" s="494"/>
    </row>
    <row r="40" spans="1:7" s="210" customFormat="1" ht="15" customHeight="1">
      <c r="A40" s="503" t="s">
        <v>107</v>
      </c>
      <c r="B40" s="504">
        <f aca="true" t="shared" si="1" ref="B40:G40">SUM(B34+B36)</f>
        <v>209218</v>
      </c>
      <c r="C40" s="504">
        <f t="shared" si="1"/>
        <v>61358</v>
      </c>
      <c r="D40" s="504">
        <f t="shared" si="1"/>
        <v>61358</v>
      </c>
      <c r="E40" s="504">
        <f t="shared" si="1"/>
        <v>123710</v>
      </c>
      <c r="F40" s="505">
        <f t="shared" si="1"/>
        <v>123710</v>
      </c>
      <c r="G40" s="506">
        <f t="shared" si="1"/>
        <v>123710</v>
      </c>
    </row>
  </sheetData>
  <sheetProtection selectLockedCells="1" selectUnlockedCells="1"/>
  <mergeCells count="2">
    <mergeCell ref="A1:G1"/>
    <mergeCell ref="A2:G2"/>
  </mergeCells>
  <printOptions horizontalCentered="1"/>
  <pageMargins left="0.39375" right="0.39375" top="0.7875" bottom="0.31527777777777777" header="0.4722222222222222" footer="0.5118055555555555"/>
  <pageSetup horizontalDpi="300" verticalDpi="300" orientation="landscape" paperSize="9" scale="79"/>
  <headerFooter alignWithMargins="0">
    <oddHeader>&amp;L&amp;8 9. melléklet 24/2012.(VIII.31.) önkormányzati rendelethez
"9. melléklet a 3/2012.(II.16.) önkormányzati rendelethez"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40"/>
  <sheetViews>
    <sheetView view="pageBreakPreview" zoomScaleSheetLayoutView="100" workbookViewId="0" topLeftCell="A1">
      <selection activeCell="D4" sqref="D4"/>
    </sheetView>
  </sheetViews>
  <sheetFormatPr defaultColWidth="9.00390625" defaultRowHeight="12.75"/>
  <cols>
    <col min="1" max="1" width="61.375" style="0" customWidth="1"/>
    <col min="2" max="3" width="10.75390625" style="0" customWidth="1"/>
    <col min="4" max="4" width="12.875" style="0" customWidth="1"/>
  </cols>
  <sheetData>
    <row r="1" spans="1:4" ht="12.75" customHeight="1">
      <c r="A1" s="480" t="s">
        <v>502</v>
      </c>
      <c r="B1" s="480"/>
      <c r="C1" s="480"/>
      <c r="D1" s="480"/>
    </row>
    <row r="2" spans="1:4" ht="12.75" customHeight="1">
      <c r="A2" s="480" t="s">
        <v>475</v>
      </c>
      <c r="B2" s="480"/>
      <c r="C2" s="480"/>
      <c r="D2" s="480"/>
    </row>
    <row r="3" spans="1:4" ht="16.5">
      <c r="A3" s="262"/>
      <c r="B3" s="1"/>
      <c r="C3" s="1"/>
      <c r="D3" s="1"/>
    </row>
    <row r="4" spans="1:4" ht="55.5" customHeight="1">
      <c r="A4" s="481" t="s">
        <v>219</v>
      </c>
      <c r="B4" s="482" t="s">
        <v>6</v>
      </c>
      <c r="C4" s="507" t="s">
        <v>4</v>
      </c>
      <c r="D4" s="508" t="s">
        <v>5</v>
      </c>
    </row>
    <row r="5" spans="1:4" ht="15" customHeight="1">
      <c r="A5" s="486" t="s">
        <v>479</v>
      </c>
      <c r="B5" s="487">
        <v>0</v>
      </c>
      <c r="C5" s="509">
        <v>50000</v>
      </c>
      <c r="D5" s="510">
        <v>50000</v>
      </c>
    </row>
    <row r="6" spans="1:4" ht="15" customHeight="1">
      <c r="A6" s="491" t="s">
        <v>480</v>
      </c>
      <c r="B6" s="492">
        <v>0</v>
      </c>
      <c r="C6" s="511">
        <v>20000</v>
      </c>
      <c r="D6" s="512">
        <v>20000</v>
      </c>
    </row>
    <row r="7" spans="1:4" ht="15" customHeight="1">
      <c r="A7" s="491" t="s">
        <v>481</v>
      </c>
      <c r="B7" s="492">
        <v>0</v>
      </c>
      <c r="C7" s="511">
        <v>4000</v>
      </c>
      <c r="D7" s="512">
        <v>4000</v>
      </c>
    </row>
    <row r="8" spans="1:4" ht="15" customHeight="1">
      <c r="A8" s="491" t="s">
        <v>281</v>
      </c>
      <c r="B8" s="492">
        <v>0</v>
      </c>
      <c r="C8" s="511">
        <v>1300</v>
      </c>
      <c r="D8" s="512">
        <v>1300</v>
      </c>
    </row>
    <row r="9" spans="1:4" ht="15" customHeight="1">
      <c r="A9" s="491" t="s">
        <v>282</v>
      </c>
      <c r="B9" s="492">
        <v>0</v>
      </c>
      <c r="C9" s="511">
        <v>16800</v>
      </c>
      <c r="D9" s="512">
        <v>16800</v>
      </c>
    </row>
    <row r="10" spans="1:4" ht="15" customHeight="1">
      <c r="A10" s="491" t="s">
        <v>482</v>
      </c>
      <c r="B10" s="492">
        <v>0</v>
      </c>
      <c r="C10" s="511">
        <v>0</v>
      </c>
      <c r="D10" s="512">
        <v>0</v>
      </c>
    </row>
    <row r="11" spans="1:4" ht="15" customHeight="1">
      <c r="A11" s="491" t="s">
        <v>483</v>
      </c>
      <c r="B11" s="492">
        <v>0</v>
      </c>
      <c r="C11" s="511">
        <v>9500</v>
      </c>
      <c r="D11" s="512">
        <v>9500</v>
      </c>
    </row>
    <row r="12" spans="1:4" ht="15" customHeight="1">
      <c r="A12" s="491" t="s">
        <v>484</v>
      </c>
      <c r="B12" s="492">
        <v>0</v>
      </c>
      <c r="C12" s="511">
        <v>29000</v>
      </c>
      <c r="D12" s="512">
        <v>29000</v>
      </c>
    </row>
    <row r="13" spans="1:4" ht="15" customHeight="1">
      <c r="A13" s="491" t="s">
        <v>485</v>
      </c>
      <c r="B13" s="492">
        <v>0</v>
      </c>
      <c r="C13" s="511">
        <v>0</v>
      </c>
      <c r="D13" s="512">
        <v>0</v>
      </c>
    </row>
    <row r="14" spans="1:4" ht="15" customHeight="1">
      <c r="A14" s="491" t="s">
        <v>288</v>
      </c>
      <c r="B14" s="492">
        <v>0</v>
      </c>
      <c r="C14" s="511">
        <v>0</v>
      </c>
      <c r="D14" s="512">
        <v>0</v>
      </c>
    </row>
    <row r="15" spans="1:4" ht="15" customHeight="1">
      <c r="A15" s="491" t="s">
        <v>289</v>
      </c>
      <c r="B15" s="492">
        <v>0</v>
      </c>
      <c r="C15" s="511">
        <v>0</v>
      </c>
      <c r="D15" s="512">
        <v>0</v>
      </c>
    </row>
    <row r="16" spans="1:4" ht="15" customHeight="1">
      <c r="A16" s="491" t="s">
        <v>486</v>
      </c>
      <c r="B16" s="492">
        <v>0</v>
      </c>
      <c r="C16" s="511">
        <v>8500</v>
      </c>
      <c r="D16" s="512">
        <v>8500</v>
      </c>
    </row>
    <row r="17" spans="1:4" ht="15" customHeight="1">
      <c r="A17" s="491" t="s">
        <v>487</v>
      </c>
      <c r="B17" s="492">
        <v>0</v>
      </c>
      <c r="C17" s="511">
        <v>0</v>
      </c>
      <c r="D17" s="512">
        <v>0</v>
      </c>
    </row>
    <row r="18" spans="1:4" ht="15" customHeight="1">
      <c r="A18" s="491" t="s">
        <v>488</v>
      </c>
      <c r="B18" s="492">
        <v>0</v>
      </c>
      <c r="C18" s="511">
        <v>0</v>
      </c>
      <c r="D18" s="512">
        <v>0</v>
      </c>
    </row>
    <row r="19" spans="1:4" ht="15" customHeight="1">
      <c r="A19" s="491" t="s">
        <v>301</v>
      </c>
      <c r="B19" s="492">
        <v>0</v>
      </c>
      <c r="C19" s="511">
        <v>1500</v>
      </c>
      <c r="D19" s="512">
        <v>1500</v>
      </c>
    </row>
    <row r="20" spans="1:4" ht="15" customHeight="1">
      <c r="A20" s="491" t="s">
        <v>489</v>
      </c>
      <c r="B20" s="492">
        <v>0</v>
      </c>
      <c r="C20" s="511">
        <v>0</v>
      </c>
      <c r="D20" s="512">
        <v>0</v>
      </c>
    </row>
    <row r="21" spans="1:4" ht="15" customHeight="1">
      <c r="A21" s="491" t="s">
        <v>490</v>
      </c>
      <c r="B21" s="492">
        <v>0</v>
      </c>
      <c r="C21" s="511">
        <v>0</v>
      </c>
      <c r="D21" s="512">
        <v>0</v>
      </c>
    </row>
    <row r="22" spans="1:4" ht="15" customHeight="1">
      <c r="A22" s="491" t="s">
        <v>287</v>
      </c>
      <c r="B22" s="492">
        <v>0</v>
      </c>
      <c r="C22" s="511">
        <v>300</v>
      </c>
      <c r="D22" s="512">
        <v>300</v>
      </c>
    </row>
    <row r="23" spans="1:4" ht="15" customHeight="1">
      <c r="A23" s="491" t="s">
        <v>491</v>
      </c>
      <c r="B23" s="492">
        <v>0</v>
      </c>
      <c r="C23" s="511">
        <v>0</v>
      </c>
      <c r="D23" s="512">
        <v>0</v>
      </c>
    </row>
    <row r="24" spans="1:4" ht="15" customHeight="1">
      <c r="A24" s="491" t="s">
        <v>492</v>
      </c>
      <c r="B24" s="492">
        <v>0</v>
      </c>
      <c r="C24" s="511">
        <v>0</v>
      </c>
      <c r="D24" s="512">
        <v>0</v>
      </c>
    </row>
    <row r="25" spans="1:4" ht="15" customHeight="1">
      <c r="A25" s="491" t="s">
        <v>493</v>
      </c>
      <c r="B25" s="492">
        <v>0</v>
      </c>
      <c r="C25" s="511">
        <v>0</v>
      </c>
      <c r="D25" s="512">
        <v>0</v>
      </c>
    </row>
    <row r="26" spans="1:4" s="230" customFormat="1" ht="15" customHeight="1">
      <c r="A26" s="495" t="s">
        <v>494</v>
      </c>
      <c r="B26" s="496">
        <f>SUM(B5+B6+B7+B8+B9+B10+B11+B12+B13+B14+B15+B16+B17+B18+B19+B22+B25)</f>
        <v>0</v>
      </c>
      <c r="C26" s="501">
        <f>SUM(C5:C25)</f>
        <v>140900</v>
      </c>
      <c r="D26" s="502">
        <f>SUM(D5:D25)</f>
        <v>140900</v>
      </c>
    </row>
    <row r="27" spans="1:4" ht="15" customHeight="1">
      <c r="A27" s="499"/>
      <c r="B27" s="500"/>
      <c r="C27" s="513"/>
      <c r="D27" s="514"/>
    </row>
    <row r="28" spans="1:4" ht="15" customHeight="1">
      <c r="A28" s="491" t="s">
        <v>495</v>
      </c>
      <c r="B28" s="492">
        <v>0</v>
      </c>
      <c r="C28" s="511">
        <v>0</v>
      </c>
      <c r="D28" s="512">
        <v>0</v>
      </c>
    </row>
    <row r="29" spans="1:4" ht="15" customHeight="1">
      <c r="A29" s="491" t="s">
        <v>295</v>
      </c>
      <c r="B29" s="492">
        <v>0</v>
      </c>
      <c r="C29" s="511">
        <v>0</v>
      </c>
      <c r="D29" s="512">
        <v>0</v>
      </c>
    </row>
    <row r="30" spans="1:4" ht="15" customHeight="1">
      <c r="A30" s="491" t="s">
        <v>294</v>
      </c>
      <c r="B30" s="492">
        <v>0</v>
      </c>
      <c r="C30" s="511">
        <v>0</v>
      </c>
      <c r="D30" s="512">
        <v>0</v>
      </c>
    </row>
    <row r="31" spans="1:4" ht="15" customHeight="1">
      <c r="A31" s="491" t="s">
        <v>496</v>
      </c>
      <c r="B31" s="492">
        <v>0</v>
      </c>
      <c r="C31" s="511">
        <v>0</v>
      </c>
      <c r="D31" s="512">
        <v>0</v>
      </c>
    </row>
    <row r="32" spans="1:4" s="230" customFormat="1" ht="15" customHeight="1">
      <c r="A32" s="495" t="s">
        <v>497</v>
      </c>
      <c r="B32" s="496">
        <f>SUM(B28+B29+B30+B31)</f>
        <v>0</v>
      </c>
      <c r="C32" s="501">
        <f>SUM(C28+C29+C30+C31)</f>
        <v>0</v>
      </c>
      <c r="D32" s="502">
        <f>SUM(D28+D29+D30+D31)</f>
        <v>0</v>
      </c>
    </row>
    <row r="33" spans="1:4" ht="15" customHeight="1">
      <c r="A33" s="491"/>
      <c r="B33" s="492"/>
      <c r="C33" s="511"/>
      <c r="D33" s="512"/>
    </row>
    <row r="34" spans="1:4" s="230" customFormat="1" ht="15" customHeight="1">
      <c r="A34" s="495" t="s">
        <v>498</v>
      </c>
      <c r="B34" s="496">
        <f>SUM(B26+B32)</f>
        <v>0</v>
      </c>
      <c r="C34" s="501">
        <f>SUM(C26+C32)</f>
        <v>140900</v>
      </c>
      <c r="D34" s="502">
        <f>SUM(D26+D32)</f>
        <v>140900</v>
      </c>
    </row>
    <row r="35" spans="1:4" ht="15" customHeight="1">
      <c r="A35" s="53"/>
      <c r="B35" s="492"/>
      <c r="C35" s="511"/>
      <c r="D35" s="512"/>
    </row>
    <row r="36" spans="1:4" s="230" customFormat="1" ht="15" customHeight="1">
      <c r="A36" s="34" t="s">
        <v>499</v>
      </c>
      <c r="B36" s="496">
        <f>SUM(B37+B38)</f>
        <v>0</v>
      </c>
      <c r="C36" s="501">
        <f>SUM(C37+C38)</f>
        <v>6960</v>
      </c>
      <c r="D36" s="502">
        <f>SUM(D37+D38)</f>
        <v>6960</v>
      </c>
    </row>
    <row r="37" spans="1:4" ht="15" customHeight="1">
      <c r="A37" s="53" t="s">
        <v>500</v>
      </c>
      <c r="B37" s="492">
        <v>0</v>
      </c>
      <c r="C37" s="511">
        <v>6960</v>
      </c>
      <c r="D37" s="512">
        <v>6960</v>
      </c>
    </row>
    <row r="38" spans="1:4" ht="15" customHeight="1">
      <c r="A38" s="53" t="s">
        <v>501</v>
      </c>
      <c r="B38" s="492">
        <v>0</v>
      </c>
      <c r="C38" s="511"/>
      <c r="D38" s="512"/>
    </row>
    <row r="39" spans="1:4" ht="15" customHeight="1">
      <c r="A39" s="53"/>
      <c r="B39" s="492"/>
      <c r="C39" s="511"/>
      <c r="D39" s="512"/>
    </row>
    <row r="40" spans="1:4" s="210" customFormat="1" ht="15" customHeight="1">
      <c r="A40" s="503" t="s">
        <v>107</v>
      </c>
      <c r="B40" s="504">
        <f>SUM(B34+B36)</f>
        <v>0</v>
      </c>
      <c r="C40" s="505">
        <f>SUM(C34+C36)</f>
        <v>147860</v>
      </c>
      <c r="D40" s="506">
        <f>SUM(D34+D36)</f>
        <v>147860</v>
      </c>
    </row>
  </sheetData>
  <sheetProtection selectLockedCells="1" selectUnlockedCells="1"/>
  <mergeCells count="2">
    <mergeCell ref="A1:D1"/>
    <mergeCell ref="A2:D2"/>
  </mergeCells>
  <printOptions/>
  <pageMargins left="0.39375" right="0.39375" top="1.05" bottom="0.9840277777777777" header="0.3902777777777778" footer="0.5118055555555555"/>
  <pageSetup horizontalDpi="300" verticalDpi="300" orientation="portrait" paperSize="9"/>
  <headerFooter alignWithMargins="0">
    <oddHeader>&amp;L9.melléklet a 24/2012. (VIII.31.)önkormányzati rendelethez
"9.melléklet a 3/2012.(II.16.) önkormányzati rendelethez"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86"/>
  <sheetViews>
    <sheetView view="pageBreakPreview" zoomScaleSheetLayoutView="100" workbookViewId="0" topLeftCell="A1">
      <selection activeCell="D78" sqref="D78"/>
    </sheetView>
  </sheetViews>
  <sheetFormatPr defaultColWidth="9.00390625" defaultRowHeight="12.75"/>
  <cols>
    <col min="1" max="1" width="76.375" style="440" customWidth="1"/>
    <col min="2" max="3" width="10.125" style="441" customWidth="1"/>
    <col min="4" max="4" width="12.625" style="441" customWidth="1"/>
    <col min="5" max="16384" width="9.125" style="440" customWidth="1"/>
  </cols>
  <sheetData>
    <row r="1" spans="1:4" ht="12.75">
      <c r="A1" s="515"/>
      <c r="B1" s="516"/>
      <c r="C1" s="516"/>
      <c r="D1" s="516"/>
    </row>
    <row r="2" spans="1:4" ht="12.75">
      <c r="A2" s="517" t="s">
        <v>503</v>
      </c>
      <c r="B2" s="517"/>
      <c r="C2" s="517"/>
      <c r="D2" s="517"/>
    </row>
    <row r="3" spans="1:4" ht="16.5">
      <c r="A3" s="518"/>
      <c r="B3" s="516"/>
      <c r="C3" s="516"/>
      <c r="D3" s="516"/>
    </row>
    <row r="4" spans="1:4" ht="12.75" customHeight="1">
      <c r="A4" s="519" t="s">
        <v>504</v>
      </c>
      <c r="B4" s="520" t="s">
        <v>6</v>
      </c>
      <c r="C4" s="521" t="s">
        <v>4</v>
      </c>
      <c r="D4" s="508" t="s">
        <v>5</v>
      </c>
    </row>
    <row r="5" spans="1:4" ht="12.75">
      <c r="A5" s="448" t="s">
        <v>505</v>
      </c>
      <c r="B5" s="449">
        <v>78000</v>
      </c>
      <c r="C5" s="522">
        <v>78000</v>
      </c>
      <c r="D5" s="450">
        <v>78000</v>
      </c>
    </row>
    <row r="6" spans="1:4" ht="12.75">
      <c r="A6" s="454" t="s">
        <v>506</v>
      </c>
      <c r="B6" s="455">
        <v>400</v>
      </c>
      <c r="C6" s="523">
        <v>400</v>
      </c>
      <c r="D6" s="456">
        <v>400</v>
      </c>
    </row>
    <row r="7" spans="1:4" ht="12.75">
      <c r="A7" s="454" t="s">
        <v>507</v>
      </c>
      <c r="B7" s="455">
        <v>68553</v>
      </c>
      <c r="C7" s="523">
        <f>68553-5000</f>
        <v>63553</v>
      </c>
      <c r="D7" s="456">
        <v>53553</v>
      </c>
    </row>
    <row r="8" spans="1:4" ht="12.75">
      <c r="A8" s="454" t="s">
        <v>508</v>
      </c>
      <c r="B8" s="455"/>
      <c r="C8" s="523">
        <v>1800</v>
      </c>
      <c r="D8" s="456">
        <v>1800</v>
      </c>
    </row>
    <row r="9" spans="1:4" ht="12.75">
      <c r="A9" s="454" t="s">
        <v>509</v>
      </c>
      <c r="B9" s="455">
        <v>60500</v>
      </c>
      <c r="C9" s="523">
        <v>60500</v>
      </c>
      <c r="D9" s="456">
        <v>60500</v>
      </c>
    </row>
    <row r="10" spans="1:4" ht="12.75">
      <c r="A10" s="454" t="s">
        <v>510</v>
      </c>
      <c r="B10" s="455"/>
      <c r="C10" s="523"/>
      <c r="D10" s="456">
        <v>3964</v>
      </c>
    </row>
    <row r="11" spans="1:4" ht="12.75">
      <c r="A11" s="454" t="s">
        <v>511</v>
      </c>
      <c r="B11" s="455"/>
      <c r="C11" s="523"/>
      <c r="D11" s="456">
        <v>20000</v>
      </c>
    </row>
    <row r="12" spans="1:4" ht="12.75">
      <c r="A12" s="454" t="s">
        <v>512</v>
      </c>
      <c r="B12" s="455">
        <v>27887</v>
      </c>
      <c r="C12" s="523">
        <v>27887</v>
      </c>
      <c r="D12" s="456">
        <v>27887</v>
      </c>
    </row>
    <row r="13" spans="1:4" ht="12.75">
      <c r="A13" s="454" t="s">
        <v>513</v>
      </c>
      <c r="B13" s="455">
        <v>12000</v>
      </c>
      <c r="C13" s="523">
        <v>12000</v>
      </c>
      <c r="D13" s="456">
        <v>12000</v>
      </c>
    </row>
    <row r="14" spans="1:4" ht="12.75">
      <c r="A14" s="454" t="s">
        <v>514</v>
      </c>
      <c r="B14" s="455">
        <v>7000</v>
      </c>
      <c r="C14" s="523">
        <v>7000</v>
      </c>
      <c r="D14" s="456">
        <v>7000</v>
      </c>
    </row>
    <row r="15" spans="1:4" ht="12.75">
      <c r="A15" s="454" t="s">
        <v>515</v>
      </c>
      <c r="B15" s="455">
        <v>4000</v>
      </c>
      <c r="C15" s="523">
        <v>4000</v>
      </c>
      <c r="D15" s="456">
        <v>4000</v>
      </c>
    </row>
    <row r="16" spans="1:4" ht="12.75">
      <c r="A16" s="454" t="s">
        <v>516</v>
      </c>
      <c r="B16" s="455">
        <v>1000</v>
      </c>
      <c r="C16" s="523">
        <v>1000</v>
      </c>
      <c r="D16" s="456">
        <v>1000</v>
      </c>
    </row>
    <row r="17" spans="1:4" ht="12.75">
      <c r="A17" s="454" t="s">
        <v>517</v>
      </c>
      <c r="B17" s="455">
        <v>1000</v>
      </c>
      <c r="C17" s="523">
        <v>1000</v>
      </c>
      <c r="D17" s="456">
        <v>1000</v>
      </c>
    </row>
    <row r="18" spans="1:4" ht="12.75">
      <c r="A18" s="454" t="s">
        <v>518</v>
      </c>
      <c r="B18" s="455">
        <v>3000</v>
      </c>
      <c r="C18" s="523">
        <v>2600</v>
      </c>
      <c r="D18" s="456">
        <v>2400</v>
      </c>
    </row>
    <row r="19" spans="1:4" ht="12.75">
      <c r="A19" s="454" t="s">
        <v>519</v>
      </c>
      <c r="B19" s="455">
        <v>5000</v>
      </c>
      <c r="C19" s="523">
        <v>3750</v>
      </c>
      <c r="D19" s="456">
        <v>3750</v>
      </c>
    </row>
    <row r="20" spans="1:4" ht="12.75">
      <c r="A20" s="454" t="s">
        <v>520</v>
      </c>
      <c r="B20" s="455">
        <v>3000</v>
      </c>
      <c r="C20" s="523">
        <v>3000</v>
      </c>
      <c r="D20" s="456">
        <v>2710</v>
      </c>
    </row>
    <row r="21" spans="1:4" ht="12.75">
      <c r="A21" s="454" t="s">
        <v>521</v>
      </c>
      <c r="B21" s="455">
        <v>1000</v>
      </c>
      <c r="C21" s="523">
        <v>1000</v>
      </c>
      <c r="D21" s="456">
        <v>1000</v>
      </c>
    </row>
    <row r="22" spans="1:4" ht="12.75">
      <c r="A22" s="454" t="s">
        <v>522</v>
      </c>
      <c r="B22" s="455">
        <v>4000</v>
      </c>
      <c r="C22" s="523">
        <v>4000</v>
      </c>
      <c r="D22" s="456">
        <v>4000</v>
      </c>
    </row>
    <row r="23" spans="1:4" ht="12.75">
      <c r="A23" s="454" t="s">
        <v>523</v>
      </c>
      <c r="B23" s="455">
        <v>1000</v>
      </c>
      <c r="C23" s="523">
        <v>1000</v>
      </c>
      <c r="D23" s="456">
        <v>1000</v>
      </c>
    </row>
    <row r="24" spans="1:4" ht="12.75">
      <c r="A24" s="454" t="s">
        <v>524</v>
      </c>
      <c r="B24" s="455">
        <v>5250</v>
      </c>
      <c r="C24" s="523">
        <v>5250</v>
      </c>
      <c r="D24" s="456">
        <v>5500</v>
      </c>
    </row>
    <row r="25" spans="1:4" ht="12.75">
      <c r="A25" s="454" t="s">
        <v>525</v>
      </c>
      <c r="B25" s="455">
        <v>850</v>
      </c>
      <c r="C25" s="523">
        <v>850</v>
      </c>
      <c r="D25" s="456">
        <v>850</v>
      </c>
    </row>
    <row r="26" spans="1:4" ht="12.75">
      <c r="A26" s="454" t="s">
        <v>526</v>
      </c>
      <c r="B26" s="455">
        <v>80</v>
      </c>
      <c r="C26" s="523">
        <v>80</v>
      </c>
      <c r="D26" s="456">
        <v>80</v>
      </c>
    </row>
    <row r="27" spans="1:4" ht="12.75">
      <c r="A27" s="454" t="s">
        <v>256</v>
      </c>
      <c r="B27" s="455">
        <v>2000</v>
      </c>
      <c r="C27" s="523">
        <v>2000</v>
      </c>
      <c r="D27" s="456">
        <v>2000</v>
      </c>
    </row>
    <row r="28" spans="1:4" ht="25.5">
      <c r="A28" s="524" t="s">
        <v>527</v>
      </c>
      <c r="B28" s="455">
        <f>13000-5000</f>
        <v>8000</v>
      </c>
      <c r="C28" s="523">
        <v>8000</v>
      </c>
      <c r="D28" s="456">
        <v>33000</v>
      </c>
    </row>
    <row r="29" spans="1:4" ht="12.75">
      <c r="A29" s="454" t="s">
        <v>528</v>
      </c>
      <c r="B29" s="455">
        <v>500</v>
      </c>
      <c r="C29" s="523">
        <v>500</v>
      </c>
      <c r="D29" s="456">
        <v>500</v>
      </c>
    </row>
    <row r="30" spans="1:4" ht="12.75">
      <c r="A30" s="454" t="s">
        <v>529</v>
      </c>
      <c r="B30" s="455">
        <v>40000</v>
      </c>
      <c r="C30" s="523">
        <v>40000</v>
      </c>
      <c r="D30" s="456">
        <v>40000</v>
      </c>
    </row>
    <row r="31" spans="1:4" ht="12.75">
      <c r="A31" s="454" t="s">
        <v>530</v>
      </c>
      <c r="B31" s="455">
        <v>3000</v>
      </c>
      <c r="C31" s="523">
        <v>3000</v>
      </c>
      <c r="D31" s="456">
        <v>3000</v>
      </c>
    </row>
    <row r="32" spans="1:4" ht="12.75">
      <c r="A32" s="454" t="s">
        <v>531</v>
      </c>
      <c r="B32" s="455">
        <v>1500</v>
      </c>
      <c r="C32" s="523">
        <v>1500</v>
      </c>
      <c r="D32" s="456">
        <v>1500</v>
      </c>
    </row>
    <row r="33" spans="1:4" ht="12.75">
      <c r="A33" s="454" t="s">
        <v>532</v>
      </c>
      <c r="B33" s="455">
        <v>500</v>
      </c>
      <c r="C33" s="523">
        <v>500</v>
      </c>
      <c r="D33" s="456">
        <v>500</v>
      </c>
    </row>
    <row r="34" spans="1:4" ht="12.75">
      <c r="A34" s="454" t="s">
        <v>533</v>
      </c>
      <c r="B34" s="455">
        <v>2400</v>
      </c>
      <c r="C34" s="523">
        <v>2400</v>
      </c>
      <c r="D34" s="456">
        <v>2400</v>
      </c>
    </row>
    <row r="35" spans="1:4" ht="12.75">
      <c r="A35" s="454" t="s">
        <v>534</v>
      </c>
      <c r="B35" s="455">
        <v>680</v>
      </c>
      <c r="C35" s="523">
        <v>680</v>
      </c>
      <c r="D35" s="456">
        <v>680</v>
      </c>
    </row>
    <row r="36" spans="1:4" ht="12.75">
      <c r="A36" s="454" t="s">
        <v>535</v>
      </c>
      <c r="B36" s="455">
        <v>320</v>
      </c>
      <c r="C36" s="523">
        <v>320</v>
      </c>
      <c r="D36" s="456">
        <v>320</v>
      </c>
    </row>
    <row r="37" spans="1:4" ht="12.75">
      <c r="A37" s="454" t="s">
        <v>536</v>
      </c>
      <c r="B37" s="455">
        <v>50</v>
      </c>
      <c r="C37" s="523">
        <v>50</v>
      </c>
      <c r="D37" s="456">
        <v>50</v>
      </c>
    </row>
    <row r="38" spans="1:4" ht="12.75">
      <c r="A38" s="454" t="s">
        <v>537</v>
      </c>
      <c r="B38" s="455">
        <v>2000</v>
      </c>
      <c r="C38" s="523">
        <v>0</v>
      </c>
      <c r="D38" s="456">
        <v>0</v>
      </c>
    </row>
    <row r="39" spans="1:4" ht="12.75">
      <c r="A39" s="454" t="s">
        <v>538</v>
      </c>
      <c r="B39" s="455">
        <v>2000</v>
      </c>
      <c r="C39" s="523">
        <v>2000</v>
      </c>
      <c r="D39" s="456">
        <v>2000</v>
      </c>
    </row>
    <row r="40" spans="1:4" ht="12.75">
      <c r="A40" s="525" t="s">
        <v>539</v>
      </c>
      <c r="B40" s="455"/>
      <c r="C40" s="523"/>
      <c r="D40" s="456"/>
    </row>
    <row r="41" spans="1:4" ht="12.75">
      <c r="A41" s="454" t="s">
        <v>540</v>
      </c>
      <c r="B41" s="455"/>
      <c r="C41" s="523"/>
      <c r="D41" s="456">
        <v>200</v>
      </c>
    </row>
    <row r="42" spans="1:4" ht="12.75">
      <c r="A42" s="454" t="s">
        <v>541</v>
      </c>
      <c r="B42" s="455"/>
      <c r="C42" s="523"/>
      <c r="D42" s="456">
        <v>150</v>
      </c>
    </row>
    <row r="43" spans="1:4" ht="12.75">
      <c r="A43" s="454" t="s">
        <v>542</v>
      </c>
      <c r="B43" s="455"/>
      <c r="C43" s="523"/>
      <c r="D43" s="456">
        <v>125</v>
      </c>
    </row>
    <row r="44" spans="1:4" ht="12.75">
      <c r="A44" s="454" t="s">
        <v>543</v>
      </c>
      <c r="B44" s="455"/>
      <c r="C44" s="523"/>
      <c r="D44" s="456">
        <v>250</v>
      </c>
    </row>
    <row r="45" spans="1:4" ht="12.75">
      <c r="A45" s="454" t="s">
        <v>544</v>
      </c>
      <c r="B45" s="455"/>
      <c r="C45" s="523"/>
      <c r="D45" s="456">
        <v>80</v>
      </c>
    </row>
    <row r="46" spans="1:4" ht="12.75">
      <c r="A46" s="454" t="s">
        <v>545</v>
      </c>
      <c r="B46" s="455"/>
      <c r="C46" s="523"/>
      <c r="D46" s="456">
        <v>50</v>
      </c>
    </row>
    <row r="47" spans="1:4" ht="12.75">
      <c r="A47" s="454" t="s">
        <v>546</v>
      </c>
      <c r="B47" s="455"/>
      <c r="C47" s="523"/>
      <c r="D47" s="456">
        <v>100</v>
      </c>
    </row>
    <row r="48" spans="1:4" ht="12.75">
      <c r="A48" s="454" t="s">
        <v>547</v>
      </c>
      <c r="B48" s="455"/>
      <c r="C48" s="523"/>
      <c r="D48" s="456">
        <v>50</v>
      </c>
    </row>
    <row r="49" spans="1:4" ht="12.75">
      <c r="A49" s="454" t="s">
        <v>548</v>
      </c>
      <c r="B49" s="455"/>
      <c r="C49" s="523"/>
      <c r="D49" s="456">
        <v>300</v>
      </c>
    </row>
    <row r="50" spans="1:4" ht="12.75">
      <c r="A50" s="454" t="s">
        <v>549</v>
      </c>
      <c r="B50" s="455"/>
      <c r="C50" s="523"/>
      <c r="D50" s="456">
        <v>500</v>
      </c>
    </row>
    <row r="51" spans="1:4" ht="12.75">
      <c r="A51" s="454" t="s">
        <v>550</v>
      </c>
      <c r="B51" s="455"/>
      <c r="C51" s="523"/>
      <c r="D51" s="456">
        <v>300</v>
      </c>
    </row>
    <row r="52" spans="1:4" ht="12.75">
      <c r="A52" s="454" t="s">
        <v>551</v>
      </c>
      <c r="B52" s="455"/>
      <c r="C52" s="523">
        <v>100</v>
      </c>
      <c r="D52" s="456">
        <v>100</v>
      </c>
    </row>
    <row r="53" spans="1:4" ht="12.75">
      <c r="A53" s="454" t="s">
        <v>552</v>
      </c>
      <c r="B53" s="455"/>
      <c r="C53" s="523">
        <v>150</v>
      </c>
      <c r="D53" s="456">
        <v>150</v>
      </c>
    </row>
    <row r="54" spans="1:4" ht="12.75">
      <c r="A54" s="454" t="s">
        <v>553</v>
      </c>
      <c r="B54" s="455"/>
      <c r="C54" s="523">
        <v>150</v>
      </c>
      <c r="D54" s="456">
        <v>150</v>
      </c>
    </row>
    <row r="55" spans="1:4" s="530" customFormat="1" ht="13.5">
      <c r="A55" s="526" t="s">
        <v>554</v>
      </c>
      <c r="B55" s="527">
        <f>SUM(B5:B39)</f>
        <v>346470</v>
      </c>
      <c r="C55" s="528">
        <f>SUM(C5:C54)</f>
        <v>340020</v>
      </c>
      <c r="D55" s="529">
        <f>SUM(D5:D54)</f>
        <v>380849</v>
      </c>
    </row>
    <row r="56" spans="1:4" ht="12.75">
      <c r="A56" s="454"/>
      <c r="B56" s="455"/>
      <c r="C56" s="523"/>
      <c r="D56" s="456"/>
    </row>
    <row r="57" spans="1:4" ht="12.75" customHeight="1">
      <c r="A57" s="531" t="s">
        <v>555</v>
      </c>
      <c r="B57" s="532"/>
      <c r="C57" s="533"/>
      <c r="D57" s="534"/>
    </row>
    <row r="58" spans="1:4" ht="12.75">
      <c r="A58" s="454" t="s">
        <v>556</v>
      </c>
      <c r="B58" s="455">
        <v>1000</v>
      </c>
      <c r="C58" s="523">
        <v>1000</v>
      </c>
      <c r="D58" s="456">
        <v>1000</v>
      </c>
    </row>
    <row r="59" spans="1:4" ht="12.75">
      <c r="A59" s="454" t="s">
        <v>557</v>
      </c>
      <c r="B59" s="455">
        <v>4000</v>
      </c>
      <c r="C59" s="523">
        <v>4000</v>
      </c>
      <c r="D59" s="456">
        <v>4000</v>
      </c>
    </row>
    <row r="60" spans="1:4" ht="25.5">
      <c r="A60" s="524" t="s">
        <v>558</v>
      </c>
      <c r="B60" s="455"/>
      <c r="C60" s="523"/>
      <c r="D60" s="456">
        <v>10000</v>
      </c>
    </row>
    <row r="61" spans="1:4" ht="12.75">
      <c r="A61" s="454" t="s">
        <v>559</v>
      </c>
      <c r="B61" s="455"/>
      <c r="C61" s="523"/>
      <c r="D61" s="456">
        <v>1800</v>
      </c>
    </row>
    <row r="62" spans="1:4" ht="12.75">
      <c r="A62" s="454" t="s">
        <v>560</v>
      </c>
      <c r="B62" s="455"/>
      <c r="C62" s="523"/>
      <c r="D62" s="456">
        <v>9000</v>
      </c>
    </row>
    <row r="63" spans="1:4" ht="12.75">
      <c r="A63" s="454" t="s">
        <v>561</v>
      </c>
      <c r="B63" s="455">
        <v>8750</v>
      </c>
      <c r="C63" s="523">
        <v>8750</v>
      </c>
      <c r="D63" s="456">
        <v>8750</v>
      </c>
    </row>
    <row r="64" spans="1:4" ht="12.75">
      <c r="A64" s="454" t="s">
        <v>562</v>
      </c>
      <c r="B64" s="455">
        <v>17052</v>
      </c>
      <c r="C64" s="523">
        <v>17052</v>
      </c>
      <c r="D64" s="456">
        <v>17052</v>
      </c>
    </row>
    <row r="65" spans="1:4" ht="12.75">
      <c r="A65" s="454" t="s">
        <v>563</v>
      </c>
      <c r="B65" s="455">
        <v>500</v>
      </c>
      <c r="C65" s="523">
        <v>500</v>
      </c>
      <c r="D65" s="456">
        <v>500</v>
      </c>
    </row>
    <row r="66" spans="1:4" ht="12.75">
      <c r="A66" s="454" t="s">
        <v>564</v>
      </c>
      <c r="B66" s="455">
        <v>3975</v>
      </c>
      <c r="C66" s="523">
        <v>3975</v>
      </c>
      <c r="D66" s="456">
        <v>3975</v>
      </c>
    </row>
    <row r="67" spans="1:4" ht="12.75">
      <c r="A67" s="454" t="s">
        <v>565</v>
      </c>
      <c r="B67" s="455">
        <v>1575</v>
      </c>
      <c r="C67" s="523">
        <v>1575</v>
      </c>
      <c r="D67" s="456">
        <v>1575</v>
      </c>
    </row>
    <row r="68" spans="1:4" ht="12.75">
      <c r="A68" s="454" t="s">
        <v>566</v>
      </c>
      <c r="B68" s="455">
        <v>4500</v>
      </c>
      <c r="C68" s="523">
        <v>4500</v>
      </c>
      <c r="D68" s="456">
        <v>4500</v>
      </c>
    </row>
    <row r="69" spans="1:4" ht="12.75">
      <c r="A69" s="454" t="s">
        <v>567</v>
      </c>
      <c r="B69" s="455">
        <v>1000</v>
      </c>
      <c r="C69" s="523">
        <v>1000</v>
      </c>
      <c r="D69" s="456">
        <v>1000</v>
      </c>
    </row>
    <row r="70" spans="1:4" ht="12.75">
      <c r="A70" s="454" t="s">
        <v>568</v>
      </c>
      <c r="B70" s="455"/>
      <c r="C70" s="523">
        <v>54</v>
      </c>
      <c r="D70" s="456">
        <v>54</v>
      </c>
    </row>
    <row r="71" spans="1:4" s="530" customFormat="1" ht="13.5">
      <c r="A71" s="526" t="s">
        <v>554</v>
      </c>
      <c r="B71" s="527">
        <f>SUM(B58:B69)</f>
        <v>42352</v>
      </c>
      <c r="C71" s="528">
        <f>SUM(C58:C70)</f>
        <v>42406</v>
      </c>
      <c r="D71" s="535">
        <f>SUM(D58:D70)</f>
        <v>63206</v>
      </c>
    </row>
    <row r="72" spans="1:4" ht="12.75">
      <c r="A72" s="454"/>
      <c r="B72" s="455"/>
      <c r="C72" s="523"/>
      <c r="D72" s="456"/>
    </row>
    <row r="73" spans="1:4" s="447" customFormat="1" ht="13.5">
      <c r="A73" s="536" t="s">
        <v>107</v>
      </c>
      <c r="B73" s="537">
        <f>SUM(B55,B71)</f>
        <v>388822</v>
      </c>
      <c r="C73" s="538">
        <f>SUM(C55,C71)</f>
        <v>382426</v>
      </c>
      <c r="D73" s="539">
        <f>SUM(D55,D71)</f>
        <v>444055</v>
      </c>
    </row>
    <row r="75" spans="1:4" ht="12.75">
      <c r="A75" s="515"/>
      <c r="B75" s="516"/>
      <c r="C75" s="516"/>
      <c r="D75" s="516"/>
    </row>
    <row r="76" spans="1:4" ht="12.75">
      <c r="A76" s="517" t="s">
        <v>569</v>
      </c>
      <c r="B76" s="517"/>
      <c r="C76" s="517"/>
      <c r="D76" s="517"/>
    </row>
    <row r="77" ht="13.5">
      <c r="A77" s="475"/>
    </row>
    <row r="78" spans="1:4" ht="13.5">
      <c r="A78" s="540" t="s">
        <v>555</v>
      </c>
      <c r="B78" s="541" t="s">
        <v>6</v>
      </c>
      <c r="C78" s="542" t="s">
        <v>4</v>
      </c>
      <c r="D78" s="508" t="s">
        <v>5</v>
      </c>
    </row>
    <row r="79" spans="1:4" ht="12.75">
      <c r="A79" s="543"/>
      <c r="B79" s="449"/>
      <c r="C79" s="522"/>
      <c r="D79" s="450"/>
    </row>
    <row r="80" spans="1:4" ht="12.75">
      <c r="A80" s="454" t="s">
        <v>562</v>
      </c>
      <c r="B80" s="455">
        <v>10000</v>
      </c>
      <c r="C80" s="523">
        <v>10000</v>
      </c>
      <c r="D80" s="456">
        <v>10000</v>
      </c>
    </row>
    <row r="81" spans="1:4" ht="12.75">
      <c r="A81" s="454" t="s">
        <v>563</v>
      </c>
      <c r="B81" s="455">
        <v>3500</v>
      </c>
      <c r="C81" s="523">
        <v>3500</v>
      </c>
      <c r="D81" s="456">
        <v>3500</v>
      </c>
    </row>
    <row r="82" spans="1:4" ht="12.75">
      <c r="A82" s="454" t="s">
        <v>570</v>
      </c>
      <c r="B82" s="455">
        <v>1384</v>
      </c>
      <c r="C82" s="523">
        <v>1384</v>
      </c>
      <c r="D82" s="456">
        <v>1384</v>
      </c>
    </row>
    <row r="83" spans="1:4" ht="12.75">
      <c r="A83" s="454" t="s">
        <v>571</v>
      </c>
      <c r="B83" s="455">
        <v>2534</v>
      </c>
      <c r="C83" s="523">
        <v>2534</v>
      </c>
      <c r="D83" s="456">
        <v>2534</v>
      </c>
    </row>
    <row r="84" spans="1:4" ht="25.5">
      <c r="A84" s="457" t="s">
        <v>572</v>
      </c>
      <c r="B84" s="455"/>
      <c r="C84" s="523">
        <v>4950</v>
      </c>
      <c r="D84" s="456">
        <v>4950</v>
      </c>
    </row>
    <row r="85" spans="1:4" ht="12.75">
      <c r="A85" s="454"/>
      <c r="B85" s="455"/>
      <c r="C85" s="523"/>
      <c r="D85" s="456"/>
    </row>
    <row r="86" spans="1:4" ht="13.5">
      <c r="A86" s="544" t="s">
        <v>554</v>
      </c>
      <c r="B86" s="537">
        <f>SUM(B80:B83)</f>
        <v>17418</v>
      </c>
      <c r="C86" s="538">
        <f>SUM(C80:C84)</f>
        <v>22368</v>
      </c>
      <c r="D86" s="545">
        <f>SUM(D80:D84)</f>
        <v>22368</v>
      </c>
    </row>
  </sheetData>
  <sheetProtection selectLockedCells="1" selectUnlockedCells="1"/>
  <mergeCells count="2">
    <mergeCell ref="A2:D2"/>
    <mergeCell ref="A76:D76"/>
  </mergeCells>
  <printOptions horizontalCentered="1"/>
  <pageMargins left="0.15763888888888888" right="0.15763888888888888" top="0.679861111111111" bottom="0.39375" header="0.3798611111111111" footer="0.5118055555555555"/>
  <pageSetup horizontalDpi="300" verticalDpi="300" orientation="portrait" paperSize="9" scale="66"/>
  <headerFooter alignWithMargins="0">
    <oddHeader>&amp;L&amp;9 10. melléklet a 24/2012(VIII.31.) önkormányzati rendelethez
"10.melléklet a 3/2012.(II.16.) önkormányzati rendelethez"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74"/>
  <sheetViews>
    <sheetView view="pageBreakPreview" zoomScaleSheetLayoutView="100" workbookViewId="0" topLeftCell="A1">
      <selection activeCell="D68" sqref="D68"/>
    </sheetView>
  </sheetViews>
  <sheetFormatPr defaultColWidth="9.00390625" defaultRowHeight="12.75"/>
  <cols>
    <col min="1" max="1" width="80.00390625" style="440" customWidth="1"/>
    <col min="2" max="3" width="11.875" style="441" customWidth="1"/>
    <col min="4" max="4" width="12.75390625" style="441" customWidth="1"/>
    <col min="5" max="16384" width="9.125" style="440" customWidth="1"/>
  </cols>
  <sheetData>
    <row r="1" spans="1:4" ht="12.75">
      <c r="A1" s="546" t="s">
        <v>573</v>
      </c>
      <c r="B1" s="546"/>
      <c r="C1" s="546"/>
      <c r="D1" s="546"/>
    </row>
    <row r="2" spans="1:4" ht="12.75">
      <c r="A2" s="546" t="s">
        <v>574</v>
      </c>
      <c r="B2" s="546"/>
      <c r="C2" s="546"/>
      <c r="D2" s="546"/>
    </row>
    <row r="3" spans="1:4" ht="12.75">
      <c r="A3" s="517" t="s">
        <v>575</v>
      </c>
      <c r="B3" s="517"/>
      <c r="C3" s="517"/>
      <c r="D3" s="517"/>
    </row>
    <row r="4" spans="1:4" ht="13.5">
      <c r="A4" s="517"/>
      <c r="B4" s="547"/>
      <c r="C4" s="547"/>
      <c r="D4" s="547"/>
    </row>
    <row r="5" spans="1:4" ht="13.5">
      <c r="A5" s="548" t="s">
        <v>219</v>
      </c>
      <c r="B5" s="541" t="s">
        <v>3</v>
      </c>
      <c r="C5" s="542" t="s">
        <v>4</v>
      </c>
      <c r="D5" s="508" t="s">
        <v>5</v>
      </c>
    </row>
    <row r="6" spans="1:4" ht="12.75">
      <c r="A6" s="549"/>
      <c r="B6" s="550"/>
      <c r="C6" s="551"/>
      <c r="D6" s="552"/>
    </row>
    <row r="7" spans="1:4" ht="12.75">
      <c r="A7" s="451" t="s">
        <v>31</v>
      </c>
      <c r="B7" s="455"/>
      <c r="C7" s="523"/>
      <c r="D7" s="456"/>
    </row>
    <row r="8" spans="1:4" ht="12.75">
      <c r="A8" s="454" t="s">
        <v>576</v>
      </c>
      <c r="B8" s="455">
        <v>40800</v>
      </c>
      <c r="C8" s="523">
        <v>40800</v>
      </c>
      <c r="D8" s="456">
        <v>40800</v>
      </c>
    </row>
    <row r="9" spans="1:4" ht="12.75">
      <c r="A9" s="454" t="s">
        <v>297</v>
      </c>
      <c r="B9" s="455">
        <v>2450</v>
      </c>
      <c r="C9" s="523">
        <v>2450</v>
      </c>
      <c r="D9" s="456">
        <v>2450</v>
      </c>
    </row>
    <row r="10" spans="1:4" ht="12.75">
      <c r="A10" s="454" t="s">
        <v>577</v>
      </c>
      <c r="B10" s="455">
        <v>15193</v>
      </c>
      <c r="C10" s="523">
        <v>15193</v>
      </c>
      <c r="D10" s="456">
        <v>15193</v>
      </c>
    </row>
    <row r="11" spans="1:4" ht="12.75">
      <c r="A11" s="454" t="s">
        <v>578</v>
      </c>
      <c r="B11" s="455">
        <v>8000</v>
      </c>
      <c r="C11" s="523">
        <v>8000</v>
      </c>
      <c r="D11" s="456">
        <v>8000</v>
      </c>
    </row>
    <row r="12" spans="1:4" ht="12.75">
      <c r="A12" s="454" t="s">
        <v>301</v>
      </c>
      <c r="B12" s="455">
        <v>1500</v>
      </c>
      <c r="C12" s="523">
        <v>1500</v>
      </c>
      <c r="D12" s="456">
        <v>1500</v>
      </c>
    </row>
    <row r="13" spans="1:4" ht="12.75">
      <c r="A13" s="454" t="s">
        <v>579</v>
      </c>
      <c r="B13" s="455">
        <v>31500</v>
      </c>
      <c r="C13" s="523">
        <v>31500</v>
      </c>
      <c r="D13" s="456">
        <v>31500</v>
      </c>
    </row>
    <row r="14" spans="1:4" ht="12.75">
      <c r="A14" s="454" t="s">
        <v>580</v>
      </c>
      <c r="B14" s="455">
        <v>8500</v>
      </c>
      <c r="C14" s="523">
        <v>8500</v>
      </c>
      <c r="D14" s="456">
        <v>8500</v>
      </c>
    </row>
    <row r="15" spans="1:4" s="447" customFormat="1" ht="12.75">
      <c r="A15" s="451" t="s">
        <v>554</v>
      </c>
      <c r="B15" s="452">
        <f>SUM(B8:B14)</f>
        <v>107943</v>
      </c>
      <c r="C15" s="553">
        <f>SUM(C8:C14)</f>
        <v>107943</v>
      </c>
      <c r="D15" s="453">
        <f>SUM(D8:D14)</f>
        <v>107943</v>
      </c>
    </row>
    <row r="16" spans="1:4" ht="12.75">
      <c r="A16" s="454"/>
      <c r="B16" s="455"/>
      <c r="C16" s="523"/>
      <c r="D16" s="456"/>
    </row>
    <row r="17" spans="1:4" ht="12.75">
      <c r="A17" s="451" t="s">
        <v>581</v>
      </c>
      <c r="B17" s="455"/>
      <c r="C17" s="523"/>
      <c r="D17" s="456"/>
    </row>
    <row r="18" spans="1:4" ht="12.75">
      <c r="A18" s="454" t="s">
        <v>582</v>
      </c>
      <c r="B18" s="455">
        <v>9345</v>
      </c>
      <c r="C18" s="523">
        <v>9345</v>
      </c>
      <c r="D18" s="456">
        <v>9345</v>
      </c>
    </row>
    <row r="19" spans="1:4" ht="12.75">
      <c r="A19" s="454" t="s">
        <v>583</v>
      </c>
      <c r="B19" s="455">
        <v>10035</v>
      </c>
      <c r="C19" s="523">
        <v>10035</v>
      </c>
      <c r="D19" s="456">
        <v>10035</v>
      </c>
    </row>
    <row r="20" spans="1:4" ht="12.75">
      <c r="A20" s="454" t="s">
        <v>584</v>
      </c>
      <c r="B20" s="455">
        <v>301568</v>
      </c>
      <c r="C20" s="523">
        <v>301568</v>
      </c>
      <c r="D20" s="456">
        <v>301568</v>
      </c>
    </row>
    <row r="21" spans="1:4" ht="12.75">
      <c r="A21" s="454" t="s">
        <v>585</v>
      </c>
      <c r="B21" s="455">
        <v>34677</v>
      </c>
      <c r="C21" s="523">
        <v>34677</v>
      </c>
      <c r="D21" s="456">
        <v>34677</v>
      </c>
    </row>
    <row r="22" spans="1:4" ht="25.5">
      <c r="A22" s="457" t="s">
        <v>586</v>
      </c>
      <c r="B22" s="455">
        <v>435200</v>
      </c>
      <c r="C22" s="523">
        <v>435200</v>
      </c>
      <c r="D22" s="456">
        <v>435200</v>
      </c>
    </row>
    <row r="23" spans="1:4" ht="25.5">
      <c r="A23" s="457" t="s">
        <v>587</v>
      </c>
      <c r="B23" s="455">
        <v>312406</v>
      </c>
      <c r="C23" s="523">
        <v>312406</v>
      </c>
      <c r="D23" s="456">
        <v>312406</v>
      </c>
    </row>
    <row r="24" spans="1:4" ht="12.75">
      <c r="A24" s="457" t="s">
        <v>588</v>
      </c>
      <c r="B24" s="455"/>
      <c r="C24" s="523"/>
      <c r="D24" s="456">
        <v>4403</v>
      </c>
    </row>
    <row r="25" spans="1:4" s="447" customFormat="1" ht="12.75">
      <c r="A25" s="451" t="s">
        <v>554</v>
      </c>
      <c r="B25" s="452">
        <f>SUM(B18:B23)</f>
        <v>1103231</v>
      </c>
      <c r="C25" s="554">
        <f>SUM(C18:C23)</f>
        <v>1103231</v>
      </c>
      <c r="D25" s="453">
        <f>SUM(D18:D24)</f>
        <v>1107634</v>
      </c>
    </row>
    <row r="26" spans="1:4" ht="12.75">
      <c r="A26" s="454"/>
      <c r="B26" s="455"/>
      <c r="C26" s="523"/>
      <c r="D26" s="456"/>
    </row>
    <row r="27" spans="1:4" ht="12.75">
      <c r="A27" s="451" t="s">
        <v>589</v>
      </c>
      <c r="B27" s="455"/>
      <c r="C27" s="523"/>
      <c r="D27" s="456"/>
    </row>
    <row r="28" spans="1:4" ht="12.75">
      <c r="A28" s="454" t="s">
        <v>590</v>
      </c>
      <c r="B28" s="455">
        <v>8700</v>
      </c>
      <c r="C28" s="523">
        <v>8700</v>
      </c>
      <c r="D28" s="456">
        <v>8700</v>
      </c>
    </row>
    <row r="29" spans="1:4" ht="25.5">
      <c r="A29" s="457" t="s">
        <v>591</v>
      </c>
      <c r="B29" s="455">
        <v>600</v>
      </c>
      <c r="C29" s="523">
        <v>600</v>
      </c>
      <c r="D29" s="456">
        <v>600</v>
      </c>
    </row>
    <row r="30" spans="1:4" ht="12.75">
      <c r="A30" s="457" t="s">
        <v>592</v>
      </c>
      <c r="B30" s="455"/>
      <c r="C30" s="523"/>
      <c r="D30" s="456">
        <v>361</v>
      </c>
    </row>
    <row r="31" spans="1:4" s="447" customFormat="1" ht="12.75">
      <c r="A31" s="451" t="s">
        <v>554</v>
      </c>
      <c r="B31" s="452">
        <f>SUM(B28:B29)</f>
        <v>9300</v>
      </c>
      <c r="C31" s="553">
        <f>SUM(C28:C29)</f>
        <v>9300</v>
      </c>
      <c r="D31" s="453">
        <f>SUM(D28:D29:D30)</f>
        <v>9661</v>
      </c>
    </row>
    <row r="32" spans="1:4" ht="12.75">
      <c r="A32" s="454"/>
      <c r="B32" s="455"/>
      <c r="C32" s="523"/>
      <c r="D32" s="456"/>
    </row>
    <row r="33" spans="1:4" ht="12.75">
      <c r="A33" s="451" t="s">
        <v>593</v>
      </c>
      <c r="B33" s="455"/>
      <c r="C33" s="523"/>
      <c r="D33" s="456"/>
    </row>
    <row r="34" spans="1:4" ht="12.75">
      <c r="A34" s="454" t="s">
        <v>594</v>
      </c>
      <c r="B34" s="455">
        <v>1200</v>
      </c>
      <c r="C34" s="523">
        <v>1200</v>
      </c>
      <c r="D34" s="456">
        <v>1200</v>
      </c>
    </row>
    <row r="35" spans="1:4" ht="12.75">
      <c r="A35" s="454" t="s">
        <v>595</v>
      </c>
      <c r="B35" s="455">
        <v>10000</v>
      </c>
      <c r="C35" s="523">
        <v>10000</v>
      </c>
      <c r="D35" s="456">
        <v>10000</v>
      </c>
    </row>
    <row r="36" spans="1:4" s="447" customFormat="1" ht="12.75">
      <c r="A36" s="451" t="s">
        <v>554</v>
      </c>
      <c r="B36" s="452">
        <f>SUM(B34:B35)</f>
        <v>11200</v>
      </c>
      <c r="C36" s="553">
        <f>SUM(C34:C35)</f>
        <v>11200</v>
      </c>
      <c r="D36" s="453">
        <f>SUM(D34:D35)</f>
        <v>11200</v>
      </c>
    </row>
    <row r="37" spans="1:4" ht="12.75">
      <c r="A37" s="454"/>
      <c r="B37" s="455"/>
      <c r="C37" s="523"/>
      <c r="D37" s="456"/>
    </row>
    <row r="38" spans="1:4" ht="13.5">
      <c r="A38" s="460" t="s">
        <v>107</v>
      </c>
      <c r="B38" s="461">
        <f>SUM(B15,B25,B31,B36)</f>
        <v>1231674</v>
      </c>
      <c r="C38" s="555">
        <f>SUM(C15,C25,C31,C36)</f>
        <v>1231674</v>
      </c>
      <c r="D38" s="462">
        <f>SUM(D15,D25,D31,D36)</f>
        <v>1236438</v>
      </c>
    </row>
    <row r="40" ht="12.75">
      <c r="A40" s="475"/>
    </row>
    <row r="41" spans="1:4" ht="12.75">
      <c r="A41" s="556"/>
      <c r="B41" s="516"/>
      <c r="C41" s="516"/>
      <c r="D41" s="516"/>
    </row>
    <row r="42" spans="1:4" ht="12.75">
      <c r="A42" s="556"/>
      <c r="B42" s="516"/>
      <c r="C42" s="516"/>
      <c r="D42" s="516"/>
    </row>
    <row r="43" spans="1:4" ht="12.75">
      <c r="A43" s="546" t="s">
        <v>596</v>
      </c>
      <c r="B43" s="546"/>
      <c r="C43" s="546"/>
      <c r="D43" s="546"/>
    </row>
    <row r="44" spans="1:4" ht="12.75">
      <c r="A44" s="546" t="s">
        <v>597</v>
      </c>
      <c r="B44" s="546"/>
      <c r="C44" s="546"/>
      <c r="D44" s="546"/>
    </row>
    <row r="45" spans="1:4" ht="12.75">
      <c r="A45" s="517" t="s">
        <v>575</v>
      </c>
      <c r="B45" s="517"/>
      <c r="C45" s="517"/>
      <c r="D45" s="517"/>
    </row>
    <row r="46" ht="13.5">
      <c r="A46" s="475"/>
    </row>
    <row r="47" spans="1:4" ht="13.5">
      <c r="A47" s="548" t="s">
        <v>219</v>
      </c>
      <c r="B47" s="541" t="s">
        <v>3</v>
      </c>
      <c r="C47" s="542" t="s">
        <v>4</v>
      </c>
      <c r="D47" s="508" t="s">
        <v>5</v>
      </c>
    </row>
    <row r="48" spans="1:4" ht="12.75">
      <c r="A48" s="557"/>
      <c r="B48" s="558"/>
      <c r="C48" s="559"/>
      <c r="D48" s="560"/>
    </row>
    <row r="49" spans="1:4" ht="12.75">
      <c r="A49" s="451" t="s">
        <v>581</v>
      </c>
      <c r="B49" s="477"/>
      <c r="C49" s="477"/>
      <c r="D49" s="478"/>
    </row>
    <row r="50" spans="1:4" ht="12.75">
      <c r="A50" s="454" t="s">
        <v>401</v>
      </c>
      <c r="B50" s="455">
        <v>90000</v>
      </c>
      <c r="C50" s="455">
        <v>0</v>
      </c>
      <c r="D50" s="456"/>
    </row>
    <row r="51" spans="1:4" ht="12.75">
      <c r="A51" s="454" t="s">
        <v>598</v>
      </c>
      <c r="B51" s="455">
        <v>675316</v>
      </c>
      <c r="C51" s="455">
        <v>675316</v>
      </c>
      <c r="D51" s="456">
        <v>675316</v>
      </c>
    </row>
    <row r="52" spans="1:4" ht="12.75">
      <c r="A52" s="457" t="s">
        <v>599</v>
      </c>
      <c r="B52" s="455">
        <v>99780</v>
      </c>
      <c r="C52" s="455">
        <v>99780</v>
      </c>
      <c r="D52" s="456">
        <v>99780</v>
      </c>
    </row>
    <row r="53" spans="1:4" ht="12.75">
      <c r="A53" s="457" t="s">
        <v>600</v>
      </c>
      <c r="B53" s="455">
        <v>90625</v>
      </c>
      <c r="C53" s="455">
        <v>90625</v>
      </c>
      <c r="D53" s="456">
        <v>90625</v>
      </c>
    </row>
    <row r="54" spans="1:4" ht="15.75" customHeight="1">
      <c r="A54" s="457" t="s">
        <v>409</v>
      </c>
      <c r="B54" s="455">
        <v>13069</v>
      </c>
      <c r="C54" s="455">
        <v>13069</v>
      </c>
      <c r="D54" s="456">
        <v>13069</v>
      </c>
    </row>
    <row r="55" spans="1:4" ht="12.75">
      <c r="A55" s="457" t="s">
        <v>410</v>
      </c>
      <c r="B55" s="455">
        <v>49969</v>
      </c>
      <c r="C55" s="455">
        <v>49969</v>
      </c>
      <c r="D55" s="456">
        <v>49969</v>
      </c>
    </row>
    <row r="56" spans="1:4" ht="12.75">
      <c r="A56" s="457" t="s">
        <v>402</v>
      </c>
      <c r="B56" s="455">
        <v>148862</v>
      </c>
      <c r="C56" s="455">
        <v>0</v>
      </c>
      <c r="D56" s="456">
        <v>0</v>
      </c>
    </row>
    <row r="57" spans="1:4" ht="25.5">
      <c r="A57" s="457" t="s">
        <v>403</v>
      </c>
      <c r="B57" s="455">
        <v>283422</v>
      </c>
      <c r="C57" s="455">
        <v>283422</v>
      </c>
      <c r="D57" s="456">
        <v>283422</v>
      </c>
    </row>
    <row r="58" spans="1:4" ht="25.5">
      <c r="A58" s="457" t="s">
        <v>404</v>
      </c>
      <c r="B58" s="455">
        <v>95000</v>
      </c>
      <c r="C58" s="455">
        <v>95000</v>
      </c>
      <c r="D58" s="456">
        <v>95000</v>
      </c>
    </row>
    <row r="59" spans="1:4" ht="12.75">
      <c r="A59" s="454" t="s">
        <v>405</v>
      </c>
      <c r="B59" s="455">
        <v>42600</v>
      </c>
      <c r="C59" s="455">
        <v>42600</v>
      </c>
      <c r="D59" s="456">
        <v>42600</v>
      </c>
    </row>
    <row r="60" spans="1:4" ht="12.75">
      <c r="A60" s="561"/>
      <c r="B60" s="455"/>
      <c r="C60" s="455"/>
      <c r="D60" s="456"/>
    </row>
    <row r="61" spans="1:4" s="447" customFormat="1" ht="13.5">
      <c r="A61" s="536" t="s">
        <v>554</v>
      </c>
      <c r="B61" s="537">
        <f>SUM(B50:B59)</f>
        <v>1588643</v>
      </c>
      <c r="C61" s="537">
        <f>SUM(C50:C59)</f>
        <v>1349781</v>
      </c>
      <c r="D61" s="545">
        <f>SUM(D50:D59)</f>
        <v>1349781</v>
      </c>
    </row>
    <row r="62" ht="12.75">
      <c r="A62" s="475"/>
    </row>
    <row r="63" ht="12.75">
      <c r="A63" s="475"/>
    </row>
    <row r="64" spans="1:4" ht="12.75">
      <c r="A64" s="562" t="s">
        <v>601</v>
      </c>
      <c r="B64" s="562"/>
      <c r="C64" s="562"/>
      <c r="D64" s="562"/>
    </row>
    <row r="65" spans="1:4" ht="12.75">
      <c r="A65" s="562" t="s">
        <v>574</v>
      </c>
      <c r="B65" s="562"/>
      <c r="C65" s="562"/>
      <c r="D65" s="562"/>
    </row>
    <row r="66" spans="1:4" ht="12.75">
      <c r="A66" s="562" t="s">
        <v>575</v>
      </c>
      <c r="B66" s="562"/>
      <c r="C66" s="562"/>
      <c r="D66" s="562"/>
    </row>
    <row r="67" spans="1:4" ht="13.5">
      <c r="A67" s="563"/>
      <c r="B67" s="564"/>
      <c r="C67" s="564"/>
      <c r="D67" s="564"/>
    </row>
    <row r="68" spans="1:4" ht="13.5">
      <c r="A68" s="548" t="s">
        <v>219</v>
      </c>
      <c r="B68" s="541" t="s">
        <v>3</v>
      </c>
      <c r="C68" s="565" t="s">
        <v>4</v>
      </c>
      <c r="D68" s="508" t="s">
        <v>5</v>
      </c>
    </row>
    <row r="69" spans="1:4" ht="12.75">
      <c r="A69" s="549"/>
      <c r="B69" s="550"/>
      <c r="C69" s="566"/>
      <c r="D69" s="552"/>
    </row>
    <row r="70" spans="1:4" ht="12.75">
      <c r="A70" s="451" t="s">
        <v>31</v>
      </c>
      <c r="B70" s="455"/>
      <c r="C70" s="567"/>
      <c r="D70" s="456"/>
    </row>
    <row r="71" spans="1:4" ht="12.75">
      <c r="A71" s="454" t="s">
        <v>602</v>
      </c>
      <c r="B71" s="455">
        <v>12740</v>
      </c>
      <c r="C71" s="567">
        <v>12740</v>
      </c>
      <c r="D71" s="456">
        <v>12740</v>
      </c>
    </row>
    <row r="72" spans="1:4" ht="12.75">
      <c r="A72" s="471" t="s">
        <v>554</v>
      </c>
      <c r="B72" s="452">
        <f>SUM(B71)</f>
        <v>12740</v>
      </c>
      <c r="C72" s="553">
        <f>SUM(C71)</f>
        <v>12740</v>
      </c>
      <c r="D72" s="453">
        <f>SUM(D71)</f>
        <v>12740</v>
      </c>
    </row>
    <row r="73" spans="1:4" ht="12.75">
      <c r="A73" s="469"/>
      <c r="B73" s="455"/>
      <c r="C73" s="567"/>
      <c r="D73" s="456"/>
    </row>
    <row r="74" spans="1:4" ht="13.5">
      <c r="A74" s="568" t="s">
        <v>107</v>
      </c>
      <c r="B74" s="461">
        <f>SUM(B72)</f>
        <v>12740</v>
      </c>
      <c r="C74" s="461">
        <f>SUM(C72)</f>
        <v>12740</v>
      </c>
      <c r="D74" s="462">
        <f>SUM(D72)</f>
        <v>12740</v>
      </c>
    </row>
  </sheetData>
  <sheetProtection selectLockedCells="1" selectUnlockedCells="1"/>
  <mergeCells count="9">
    <mergeCell ref="A1:D1"/>
    <mergeCell ref="A2:D2"/>
    <mergeCell ref="A3:D3"/>
    <mergeCell ref="A43:D43"/>
    <mergeCell ref="A44:D44"/>
    <mergeCell ref="A45:D45"/>
    <mergeCell ref="A64:D64"/>
    <mergeCell ref="A65:D65"/>
    <mergeCell ref="A66:D66"/>
  </mergeCells>
  <printOptions horizontalCentered="1"/>
  <pageMargins left="0.39375" right="0.39375" top="0.7104166666666667" bottom="0.5" header="0.3902777777777778" footer="0.5118055555555555"/>
  <pageSetup horizontalDpi="300" verticalDpi="300" orientation="portrait" paperSize="9" scale="71"/>
  <headerFooter alignWithMargins="0">
    <oddHeader>&amp;L 11. melléklet a 24/2012.(VIII.31.) önkormányzati rendelethez
"11. melléklet a 3/2012.(II.16.) önkormányzati rendelethez"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44"/>
  <sheetViews>
    <sheetView view="pageBreakPreview" zoomScaleSheetLayoutView="100" workbookViewId="0" topLeftCell="A1">
      <selection activeCell="D6" sqref="D6"/>
    </sheetView>
  </sheetViews>
  <sheetFormatPr defaultColWidth="9.00390625" defaultRowHeight="12.75"/>
  <cols>
    <col min="1" max="1" width="46.875" style="479" customWidth="1"/>
    <col min="2" max="3" width="16.75390625" style="479" customWidth="1"/>
    <col min="4" max="4" width="14.25390625" style="479" customWidth="1"/>
    <col min="5" max="16384" width="9.125" style="479" customWidth="1"/>
  </cols>
  <sheetData>
    <row r="1" ht="12.75">
      <c r="A1" s="569"/>
    </row>
    <row r="2" ht="15.75">
      <c r="A2" s="570"/>
    </row>
    <row r="3" spans="1:4" ht="15" customHeight="1">
      <c r="A3" s="571" t="s">
        <v>603</v>
      </c>
      <c r="B3" s="571"/>
      <c r="C3" s="571"/>
      <c r="D3" s="571"/>
    </row>
    <row r="4" spans="1:4" ht="14.25" customHeight="1">
      <c r="A4" s="572"/>
      <c r="B4" s="573"/>
      <c r="C4" s="573"/>
      <c r="D4" s="573"/>
    </row>
    <row r="5" spans="1:4" ht="22.5" customHeight="1">
      <c r="A5" s="574" t="s">
        <v>604</v>
      </c>
      <c r="B5" s="575" t="s">
        <v>605</v>
      </c>
      <c r="C5" s="252" t="s">
        <v>605</v>
      </c>
      <c r="D5" s="252"/>
    </row>
    <row r="6" spans="1:4" ht="15" customHeight="1">
      <c r="A6" s="574"/>
      <c r="B6" s="576" t="s">
        <v>3</v>
      </c>
      <c r="C6" s="577" t="s">
        <v>4</v>
      </c>
      <c r="D6" s="578" t="s">
        <v>5</v>
      </c>
    </row>
    <row r="7" spans="1:4" ht="15" customHeight="1">
      <c r="A7" s="579" t="s">
        <v>606</v>
      </c>
      <c r="B7" s="580">
        <v>20</v>
      </c>
      <c r="C7" s="581">
        <v>20</v>
      </c>
      <c r="D7" s="582">
        <v>20</v>
      </c>
    </row>
    <row r="8" spans="1:4" ht="15" customHeight="1">
      <c r="A8" s="579" t="s">
        <v>607</v>
      </c>
      <c r="B8" s="580">
        <v>7</v>
      </c>
      <c r="C8" s="581">
        <v>7</v>
      </c>
      <c r="D8" s="582">
        <v>7</v>
      </c>
    </row>
    <row r="9" spans="1:4" ht="15" customHeight="1">
      <c r="A9" s="579" t="s">
        <v>389</v>
      </c>
      <c r="B9" s="580">
        <v>16.25</v>
      </c>
      <c r="C9" s="581">
        <v>16.25</v>
      </c>
      <c r="D9" s="582">
        <v>16.25</v>
      </c>
    </row>
    <row r="10" spans="1:4" ht="15" customHeight="1">
      <c r="A10" s="579" t="s">
        <v>608</v>
      </c>
      <c r="B10" s="580">
        <v>21</v>
      </c>
      <c r="C10" s="581">
        <v>21</v>
      </c>
      <c r="D10" s="582">
        <v>21</v>
      </c>
    </row>
    <row r="11" spans="1:4" ht="15" customHeight="1">
      <c r="A11" s="579" t="s">
        <v>609</v>
      </c>
      <c r="B11" s="580">
        <v>15.5</v>
      </c>
      <c r="C11" s="581">
        <v>15.5</v>
      </c>
      <c r="D11" s="582">
        <v>15.5</v>
      </c>
    </row>
    <row r="12" spans="1:4" ht="15" customHeight="1">
      <c r="A12" s="579" t="s">
        <v>610</v>
      </c>
      <c r="B12" s="580">
        <v>14</v>
      </c>
      <c r="C12" s="581">
        <v>14</v>
      </c>
      <c r="D12" s="582">
        <v>14</v>
      </c>
    </row>
    <row r="13" spans="1:4" ht="15" customHeight="1">
      <c r="A13" s="579" t="s">
        <v>611</v>
      </c>
      <c r="B13" s="580">
        <v>3.5</v>
      </c>
      <c r="C13" s="581">
        <v>3.5</v>
      </c>
      <c r="D13" s="582">
        <v>3.5</v>
      </c>
    </row>
    <row r="14" spans="1:4" ht="15" customHeight="1">
      <c r="A14" s="579" t="s">
        <v>459</v>
      </c>
      <c r="B14" s="580">
        <v>32</v>
      </c>
      <c r="C14" s="581">
        <v>32</v>
      </c>
      <c r="D14" s="582">
        <v>32</v>
      </c>
    </row>
    <row r="15" spans="1:4" ht="15" customHeight="1">
      <c r="A15" s="579" t="s">
        <v>612</v>
      </c>
      <c r="B15" s="580">
        <v>60.5</v>
      </c>
      <c r="C15" s="581">
        <v>60.5</v>
      </c>
      <c r="D15" s="582">
        <v>62.5</v>
      </c>
    </row>
    <row r="16" spans="1:4" ht="15" customHeight="1">
      <c r="A16" s="579" t="s">
        <v>613</v>
      </c>
      <c r="B16" s="580">
        <v>22</v>
      </c>
      <c r="C16" s="581">
        <v>22</v>
      </c>
      <c r="D16" s="582">
        <v>22</v>
      </c>
    </row>
    <row r="17" spans="1:4" ht="15" customHeight="1">
      <c r="A17" s="579" t="s">
        <v>614</v>
      </c>
      <c r="B17" s="580">
        <v>77.5</v>
      </c>
      <c r="C17" s="583">
        <v>78.5</v>
      </c>
      <c r="D17" s="582">
        <v>78.5</v>
      </c>
    </row>
    <row r="18" spans="1:4" ht="15" customHeight="1">
      <c r="A18" s="579" t="s">
        <v>615</v>
      </c>
      <c r="B18" s="580">
        <v>20</v>
      </c>
      <c r="C18" s="581">
        <v>20</v>
      </c>
      <c r="D18" s="582">
        <v>20</v>
      </c>
    </row>
    <row r="19" spans="1:4" ht="15" customHeight="1">
      <c r="A19" s="579" t="s">
        <v>616</v>
      </c>
      <c r="B19" s="580">
        <v>13</v>
      </c>
      <c r="C19" s="581">
        <v>13</v>
      </c>
      <c r="D19" s="582">
        <v>13</v>
      </c>
    </row>
    <row r="20" spans="1:4" ht="15" customHeight="1">
      <c r="A20" s="579" t="s">
        <v>617</v>
      </c>
      <c r="B20" s="580">
        <v>23</v>
      </c>
      <c r="C20" s="581">
        <v>23</v>
      </c>
      <c r="D20" s="582">
        <v>32.5</v>
      </c>
    </row>
    <row r="21" spans="1:4" ht="15.75" customHeight="1">
      <c r="A21" s="579" t="s">
        <v>618</v>
      </c>
      <c r="B21" s="580">
        <v>9.5</v>
      </c>
      <c r="C21" s="581">
        <v>9.5</v>
      </c>
      <c r="D21" s="582">
        <v>9.5</v>
      </c>
    </row>
    <row r="22" spans="1:4" ht="15" customHeight="1">
      <c r="A22" s="584" t="s">
        <v>619</v>
      </c>
      <c r="B22" s="585">
        <v>53.5</v>
      </c>
      <c r="C22" s="586">
        <v>53.5</v>
      </c>
      <c r="D22" s="587">
        <v>53.5</v>
      </c>
    </row>
    <row r="23" spans="1:4" ht="15" customHeight="1">
      <c r="A23" s="579" t="s">
        <v>620</v>
      </c>
      <c r="B23" s="580">
        <v>10</v>
      </c>
      <c r="C23" s="581">
        <v>10</v>
      </c>
      <c r="D23" s="582">
        <v>10</v>
      </c>
    </row>
    <row r="24" spans="1:4" ht="15" customHeight="1">
      <c r="A24" s="588" t="s">
        <v>621</v>
      </c>
      <c r="B24" s="589">
        <f>SUM(B7:B23)</f>
        <v>418.25</v>
      </c>
      <c r="C24" s="590">
        <f>SUM(C7:C23)</f>
        <v>419.25</v>
      </c>
      <c r="D24" s="591">
        <f>SUM(D7:D23)</f>
        <v>430.75</v>
      </c>
    </row>
    <row r="25" spans="1:4" ht="15" customHeight="1">
      <c r="A25" s="592" t="s">
        <v>148</v>
      </c>
      <c r="B25" s="593">
        <v>200</v>
      </c>
      <c r="C25" s="594">
        <v>200</v>
      </c>
      <c r="D25" s="595"/>
    </row>
    <row r="26" spans="1:4" ht="15" customHeight="1">
      <c r="A26" s="596" t="s">
        <v>622</v>
      </c>
      <c r="B26" s="597">
        <f>SUM(B24:B25)</f>
        <v>618.25</v>
      </c>
      <c r="C26" s="598">
        <f>SUM(C24:C25)</f>
        <v>619.25</v>
      </c>
      <c r="D26" s="599">
        <f>SUM(D24:D25)</f>
        <v>430.75</v>
      </c>
    </row>
    <row r="27" spans="1:4" ht="15" customHeight="1">
      <c r="A27" s="579"/>
      <c r="B27" s="580"/>
      <c r="C27" s="583"/>
      <c r="D27" s="582"/>
    </row>
    <row r="28" spans="1:4" ht="15" customHeight="1">
      <c r="A28" s="579" t="s">
        <v>623</v>
      </c>
      <c r="B28" s="580"/>
      <c r="C28" s="583"/>
      <c r="D28" s="582"/>
    </row>
    <row r="29" spans="1:4" ht="15" customHeight="1">
      <c r="A29" s="579" t="s">
        <v>624</v>
      </c>
      <c r="B29" s="580">
        <v>82</v>
      </c>
      <c r="C29" s="581">
        <v>82</v>
      </c>
      <c r="D29" s="582">
        <v>82</v>
      </c>
    </row>
    <row r="30" spans="1:4" ht="15" customHeight="1">
      <c r="A30" s="579" t="s">
        <v>625</v>
      </c>
      <c r="B30" s="600">
        <v>3</v>
      </c>
      <c r="C30" s="601">
        <v>3</v>
      </c>
      <c r="D30" s="602">
        <v>3</v>
      </c>
    </row>
    <row r="31" spans="1:4" ht="15" customHeight="1">
      <c r="A31" s="596" t="s">
        <v>626</v>
      </c>
      <c r="B31" s="603">
        <f>SUM(B29:B30)</f>
        <v>85</v>
      </c>
      <c r="C31" s="604">
        <f>SUM(C29:C30)</f>
        <v>85</v>
      </c>
      <c r="D31" s="605">
        <f>SUM(D29:D30)</f>
        <v>85</v>
      </c>
    </row>
    <row r="32" spans="1:4" ht="15" customHeight="1">
      <c r="A32" s="579"/>
      <c r="B32" s="600"/>
      <c r="C32" s="606"/>
      <c r="D32" s="602"/>
    </row>
    <row r="33" spans="1:4" ht="15" customHeight="1">
      <c r="A33" s="579" t="s">
        <v>627</v>
      </c>
      <c r="B33" s="607">
        <v>3</v>
      </c>
      <c r="C33" s="608">
        <v>3</v>
      </c>
      <c r="D33" s="609">
        <v>3</v>
      </c>
    </row>
    <row r="34" spans="1:4" s="610" customFormat="1" ht="15" customHeight="1">
      <c r="A34" s="596" t="s">
        <v>628</v>
      </c>
      <c r="B34" s="597">
        <f>SUM(B33)</f>
        <v>3</v>
      </c>
      <c r="C34" s="598">
        <f>SUM(C33)</f>
        <v>3</v>
      </c>
      <c r="D34" s="599">
        <f>SUM(D33)</f>
        <v>3</v>
      </c>
    </row>
    <row r="35" spans="1:4" ht="15" customHeight="1">
      <c r="A35" s="579"/>
      <c r="B35" s="607"/>
      <c r="C35" s="611"/>
      <c r="D35" s="609"/>
    </row>
    <row r="36" spans="1:4" ht="15" customHeight="1">
      <c r="A36" s="612" t="s">
        <v>107</v>
      </c>
      <c r="B36" s="613">
        <f>SUM(B26,B31,B34)</f>
        <v>706.25</v>
      </c>
      <c r="C36" s="614">
        <f>SUM(C26,C31,C34)</f>
        <v>707.25</v>
      </c>
      <c r="D36" s="615">
        <f>SUM(D26,D31,D34)</f>
        <v>518.75</v>
      </c>
    </row>
    <row r="37" spans="1:4" ht="18.75">
      <c r="A37" s="616"/>
      <c r="B37" s="617"/>
      <c r="C37" s="617"/>
      <c r="D37" s="617"/>
    </row>
    <row r="38" ht="15.75">
      <c r="A38" s="618"/>
    </row>
    <row r="39" spans="1:4" ht="12.75">
      <c r="A39" s="619" t="s">
        <v>629</v>
      </c>
      <c r="B39" s="619"/>
      <c r="C39" s="619"/>
      <c r="D39" s="619"/>
    </row>
    <row r="41" spans="1:4" ht="26.25">
      <c r="A41" s="620" t="s">
        <v>219</v>
      </c>
      <c r="B41" s="621" t="s">
        <v>630</v>
      </c>
      <c r="C41" s="622" t="s">
        <v>631</v>
      </c>
      <c r="D41" s="188" t="s">
        <v>632</v>
      </c>
    </row>
    <row r="42" spans="1:4" ht="12.75">
      <c r="A42" s="623" t="s">
        <v>633</v>
      </c>
      <c r="B42" s="624">
        <v>30</v>
      </c>
      <c r="C42" s="624">
        <v>30</v>
      </c>
      <c r="D42" s="625">
        <v>30</v>
      </c>
    </row>
    <row r="43" spans="1:4" ht="13.5">
      <c r="A43" s="626" t="s">
        <v>303</v>
      </c>
      <c r="B43" s="627">
        <v>34</v>
      </c>
      <c r="C43" s="627">
        <v>34</v>
      </c>
      <c r="D43" s="628">
        <v>34</v>
      </c>
    </row>
    <row r="44" spans="1:4" s="632" customFormat="1" ht="13.5">
      <c r="A44" s="629" t="s">
        <v>554</v>
      </c>
      <c r="B44" s="630">
        <f>SUM(B42:B43)</f>
        <v>64</v>
      </c>
      <c r="C44" s="630">
        <f>SUM(C42:C43)</f>
        <v>64</v>
      </c>
      <c r="D44" s="631">
        <f>SUM(D42:D43)</f>
        <v>64</v>
      </c>
    </row>
  </sheetData>
  <sheetProtection selectLockedCells="1" selectUnlockedCells="1"/>
  <mergeCells count="4">
    <mergeCell ref="A3:D3"/>
    <mergeCell ref="A5:A6"/>
    <mergeCell ref="C5:D5"/>
    <mergeCell ref="A39:D39"/>
  </mergeCells>
  <printOptions horizontalCentered="1"/>
  <pageMargins left="0.15763888888888888" right="0.15763888888888888" top="0.7604166666666667" bottom="0.9840277777777777" header="0.3902777777777778" footer="0.5118055555555555"/>
  <pageSetup horizontalDpi="300" verticalDpi="300" orientation="portrait" paperSize="9"/>
  <headerFooter alignWithMargins="0">
    <oddHeader>&amp;L&amp;8 12. melléklet a 24/2012.(VIII.31.) önkormányzati rendelethez
"12. melléklet a 3/2012. (II.16.) önkormányzati rendelethez"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97"/>
  <sheetViews>
    <sheetView view="pageBreakPreview" zoomScaleSheetLayoutView="100" workbookViewId="0" topLeftCell="A82">
      <selection activeCell="A97" sqref="A97"/>
    </sheetView>
  </sheetViews>
  <sheetFormatPr defaultColWidth="9.00390625" defaultRowHeight="12.75"/>
  <cols>
    <col min="1" max="1" width="68.375" style="633" customWidth="1"/>
    <col min="2" max="4" width="11.625" style="633" customWidth="1"/>
    <col min="5" max="5" width="15.25390625" style="633" customWidth="1"/>
    <col min="6" max="6" width="15.875" style="633" customWidth="1"/>
    <col min="7" max="7" width="16.375" style="634" customWidth="1"/>
    <col min="8" max="8" width="15.625" style="633" customWidth="1"/>
    <col min="9" max="9" width="15.875" style="633" customWidth="1"/>
    <col min="10" max="10" width="16.25390625" style="633" customWidth="1"/>
    <col min="11" max="12" width="17.375" style="633" customWidth="1"/>
    <col min="13" max="13" width="17.375" style="635" customWidth="1"/>
    <col min="14" max="14" width="15.00390625" style="635" customWidth="1"/>
    <col min="15" max="16384" width="9.125" style="635" customWidth="1"/>
  </cols>
  <sheetData>
    <row r="1" spans="1:12" s="638" customFormat="1" ht="12.75">
      <c r="A1" s="636"/>
      <c r="B1" s="636"/>
      <c r="C1" s="636"/>
      <c r="D1" s="636"/>
      <c r="E1" s="636"/>
      <c r="F1" s="636"/>
      <c r="G1" s="637"/>
      <c r="H1" s="636"/>
      <c r="I1" s="636"/>
      <c r="J1" s="636"/>
      <c r="K1" s="636"/>
      <c r="L1" s="636"/>
    </row>
    <row r="2" spans="1:13" s="638" customFormat="1" ht="12.75" customHeight="1">
      <c r="A2" s="639" t="s">
        <v>634</v>
      </c>
      <c r="B2" s="639"/>
      <c r="C2" s="639"/>
      <c r="D2" s="639"/>
      <c r="E2" s="639"/>
      <c r="F2" s="639"/>
      <c r="G2" s="639"/>
      <c r="H2" s="639"/>
      <c r="I2" s="639"/>
      <c r="J2" s="639"/>
      <c r="K2" s="639"/>
      <c r="L2" s="639"/>
      <c r="M2" s="639"/>
    </row>
    <row r="3" spans="1:12" s="638" customFormat="1" ht="12.75">
      <c r="A3" s="636"/>
      <c r="B3" s="636"/>
      <c r="C3" s="636"/>
      <c r="D3" s="636"/>
      <c r="E3" s="636"/>
      <c r="F3" s="636"/>
      <c r="G3" s="637"/>
      <c r="H3" s="636"/>
      <c r="I3" s="636"/>
      <c r="J3" s="636"/>
      <c r="K3" s="636"/>
      <c r="L3" s="636"/>
    </row>
    <row r="4" spans="1:12" s="638" customFormat="1" ht="13.5">
      <c r="A4" s="636"/>
      <c r="B4" s="636"/>
      <c r="C4" s="636"/>
      <c r="D4" s="636"/>
      <c r="E4" s="636"/>
      <c r="F4" s="636"/>
      <c r="G4" s="637"/>
      <c r="H4" s="636"/>
      <c r="I4" s="636"/>
      <c r="J4" s="636"/>
      <c r="K4" s="636"/>
      <c r="L4" s="636"/>
    </row>
    <row r="5" spans="1:13" s="638" customFormat="1" ht="14.25" customHeight="1">
      <c r="A5" s="640" t="s">
        <v>219</v>
      </c>
      <c r="B5" s="641" t="s">
        <v>635</v>
      </c>
      <c r="C5" s="641" t="s">
        <v>636</v>
      </c>
      <c r="D5" s="642" t="s">
        <v>637</v>
      </c>
      <c r="E5" s="643" t="s">
        <v>638</v>
      </c>
      <c r="F5" s="643"/>
      <c r="G5" s="643"/>
      <c r="H5" s="643"/>
      <c r="I5" s="643"/>
      <c r="J5" s="643"/>
      <c r="K5" s="640" t="s">
        <v>639</v>
      </c>
      <c r="L5" s="644" t="s">
        <v>640</v>
      </c>
      <c r="M5" s="642" t="s">
        <v>641</v>
      </c>
    </row>
    <row r="6" spans="1:13" s="638" customFormat="1" ht="57" customHeight="1">
      <c r="A6" s="640"/>
      <c r="B6" s="641"/>
      <c r="C6" s="641"/>
      <c r="D6" s="642"/>
      <c r="E6" s="645" t="s">
        <v>642</v>
      </c>
      <c r="F6" s="646" t="s">
        <v>643</v>
      </c>
      <c r="G6" s="647" t="s">
        <v>644</v>
      </c>
      <c r="H6" s="645" t="s">
        <v>645</v>
      </c>
      <c r="I6" s="646" t="s">
        <v>646</v>
      </c>
      <c r="J6" s="648" t="s">
        <v>647</v>
      </c>
      <c r="K6" s="640"/>
      <c r="L6" s="644"/>
      <c r="M6" s="642"/>
    </row>
    <row r="7" spans="1:13" s="657" customFormat="1" ht="12.75">
      <c r="A7" s="649" t="s">
        <v>648</v>
      </c>
      <c r="B7" s="650">
        <f aca="true" t="shared" si="0" ref="B7:J7">SUM(B9,B27,B32,B38)</f>
        <v>2586721</v>
      </c>
      <c r="C7" s="650">
        <f t="shared" si="0"/>
        <v>2249944</v>
      </c>
      <c r="D7" s="651">
        <f t="shared" si="0"/>
        <v>2241428</v>
      </c>
      <c r="E7" s="652">
        <f t="shared" si="0"/>
        <v>1588643</v>
      </c>
      <c r="F7" s="653">
        <f t="shared" si="0"/>
        <v>1349781</v>
      </c>
      <c r="G7" s="651">
        <f t="shared" si="0"/>
        <v>1349781</v>
      </c>
      <c r="H7" s="654">
        <f t="shared" si="0"/>
        <v>998078</v>
      </c>
      <c r="I7" s="654">
        <f t="shared" si="0"/>
        <v>900163</v>
      </c>
      <c r="J7" s="651">
        <f t="shared" si="0"/>
        <v>891647</v>
      </c>
      <c r="K7" s="654">
        <f>H7</f>
        <v>998078</v>
      </c>
      <c r="L7" s="655">
        <f>I7</f>
        <v>900163</v>
      </c>
      <c r="M7" s="656">
        <f>J7</f>
        <v>891647</v>
      </c>
    </row>
    <row r="8" spans="1:13" s="638" customFormat="1" ht="12.75">
      <c r="A8" s="658"/>
      <c r="B8" s="659"/>
      <c r="C8" s="659"/>
      <c r="D8" s="660"/>
      <c r="E8" s="661"/>
      <c r="F8" s="662"/>
      <c r="G8" s="663"/>
      <c r="H8" s="664"/>
      <c r="I8" s="662"/>
      <c r="J8" s="665"/>
      <c r="K8" s="666"/>
      <c r="L8" s="667"/>
      <c r="M8" s="668"/>
    </row>
    <row r="9" spans="1:13" s="657" customFormat="1" ht="12.75">
      <c r="A9" s="669" t="s">
        <v>355</v>
      </c>
      <c r="B9" s="670">
        <f aca="true" t="shared" si="1" ref="B9:J9">SUM(B10:B25)</f>
        <v>2281858</v>
      </c>
      <c r="C9" s="670">
        <f t="shared" si="1"/>
        <v>2005681</v>
      </c>
      <c r="D9" s="671">
        <f t="shared" si="1"/>
        <v>1997165</v>
      </c>
      <c r="E9" s="672">
        <f t="shared" si="1"/>
        <v>1588643</v>
      </c>
      <c r="F9" s="670">
        <f t="shared" si="1"/>
        <v>1349781</v>
      </c>
      <c r="G9" s="671">
        <f t="shared" si="1"/>
        <v>1349781</v>
      </c>
      <c r="H9" s="673">
        <f t="shared" si="1"/>
        <v>693215</v>
      </c>
      <c r="I9" s="673">
        <f t="shared" si="1"/>
        <v>655900</v>
      </c>
      <c r="J9" s="671">
        <f t="shared" si="1"/>
        <v>647384</v>
      </c>
      <c r="K9" s="673">
        <f aca="true" t="shared" si="2" ref="K9:K25">H9</f>
        <v>693215</v>
      </c>
      <c r="L9" s="674">
        <f aca="true" t="shared" si="3" ref="L9:L25">I9</f>
        <v>655900</v>
      </c>
      <c r="M9" s="671">
        <f aca="true" t="shared" si="4" ref="M9:M25">J9</f>
        <v>647384</v>
      </c>
    </row>
    <row r="10" spans="1:13" s="638" customFormat="1" ht="12.75">
      <c r="A10" s="675" t="s">
        <v>396</v>
      </c>
      <c r="B10" s="659">
        <v>30000</v>
      </c>
      <c r="C10" s="676">
        <v>30000</v>
      </c>
      <c r="D10" s="456">
        <v>30000</v>
      </c>
      <c r="E10" s="661"/>
      <c r="F10" s="662"/>
      <c r="G10" s="663"/>
      <c r="H10" s="664">
        <f aca="true" t="shared" si="5" ref="H10:H25">B10-E10</f>
        <v>30000</v>
      </c>
      <c r="I10" s="662">
        <f aca="true" t="shared" si="6" ref="I10:I25">C10-F10</f>
        <v>30000</v>
      </c>
      <c r="J10" s="665">
        <f aca="true" t="shared" si="7" ref="J10:J25">D10-G10</f>
        <v>30000</v>
      </c>
      <c r="K10" s="666">
        <f t="shared" si="2"/>
        <v>30000</v>
      </c>
      <c r="L10" s="667">
        <f t="shared" si="3"/>
        <v>30000</v>
      </c>
      <c r="M10" s="677">
        <f t="shared" si="4"/>
        <v>30000</v>
      </c>
    </row>
    <row r="11" spans="1:13" s="638" customFormat="1" ht="25.5">
      <c r="A11" s="675" t="s">
        <v>397</v>
      </c>
      <c r="B11" s="659">
        <v>1400</v>
      </c>
      <c r="C11" s="676">
        <v>1400</v>
      </c>
      <c r="D11" s="456">
        <v>1400</v>
      </c>
      <c r="E11" s="661"/>
      <c r="F11" s="662"/>
      <c r="G11" s="663"/>
      <c r="H11" s="664">
        <f t="shared" si="5"/>
        <v>1400</v>
      </c>
      <c r="I11" s="662">
        <f t="shared" si="6"/>
        <v>1400</v>
      </c>
      <c r="J11" s="665">
        <f t="shared" si="7"/>
        <v>1400</v>
      </c>
      <c r="K11" s="666">
        <f t="shared" si="2"/>
        <v>1400</v>
      </c>
      <c r="L11" s="667">
        <f t="shared" si="3"/>
        <v>1400</v>
      </c>
      <c r="M11" s="677">
        <f t="shared" si="4"/>
        <v>1400</v>
      </c>
    </row>
    <row r="12" spans="1:13" s="638" customFormat="1" ht="25.5">
      <c r="A12" s="675" t="s">
        <v>398</v>
      </c>
      <c r="B12" s="659">
        <v>7000</v>
      </c>
      <c r="C12" s="676">
        <v>7000</v>
      </c>
      <c r="D12" s="456">
        <v>7000</v>
      </c>
      <c r="E12" s="661"/>
      <c r="F12" s="662"/>
      <c r="G12" s="663"/>
      <c r="H12" s="664">
        <f t="shared" si="5"/>
        <v>7000</v>
      </c>
      <c r="I12" s="662">
        <f t="shared" si="6"/>
        <v>7000</v>
      </c>
      <c r="J12" s="665">
        <f t="shared" si="7"/>
        <v>7000</v>
      </c>
      <c r="K12" s="666">
        <f t="shared" si="2"/>
        <v>7000</v>
      </c>
      <c r="L12" s="667">
        <f t="shared" si="3"/>
        <v>7000</v>
      </c>
      <c r="M12" s="677">
        <f t="shared" si="4"/>
        <v>7000</v>
      </c>
    </row>
    <row r="13" spans="1:13" s="638" customFormat="1" ht="38.25">
      <c r="A13" s="675" t="s">
        <v>359</v>
      </c>
      <c r="B13" s="659">
        <f>51216+7351+16723</f>
        <v>75290</v>
      </c>
      <c r="C13" s="676">
        <v>75290</v>
      </c>
      <c r="D13" s="456">
        <v>75290</v>
      </c>
      <c r="E13" s="661"/>
      <c r="F13" s="662"/>
      <c r="G13" s="663"/>
      <c r="H13" s="664">
        <f t="shared" si="5"/>
        <v>75290</v>
      </c>
      <c r="I13" s="662">
        <f t="shared" si="6"/>
        <v>75290</v>
      </c>
      <c r="J13" s="665">
        <f t="shared" si="7"/>
        <v>75290</v>
      </c>
      <c r="K13" s="666">
        <f t="shared" si="2"/>
        <v>75290</v>
      </c>
      <c r="L13" s="667">
        <f t="shared" si="3"/>
        <v>75290</v>
      </c>
      <c r="M13" s="677">
        <f t="shared" si="4"/>
        <v>75290</v>
      </c>
    </row>
    <row r="14" spans="1:13" s="638" customFormat="1" ht="25.5">
      <c r="A14" s="675" t="s">
        <v>399</v>
      </c>
      <c r="B14" s="659">
        <v>1147033</v>
      </c>
      <c r="C14" s="676">
        <v>1142083</v>
      </c>
      <c r="D14" s="456">
        <f>C14-4699</f>
        <v>1137384</v>
      </c>
      <c r="E14" s="661">
        <v>675316</v>
      </c>
      <c r="F14" s="662">
        <v>675316</v>
      </c>
      <c r="G14" s="665">
        <v>675316</v>
      </c>
      <c r="H14" s="664">
        <f t="shared" si="5"/>
        <v>471717</v>
      </c>
      <c r="I14" s="662">
        <f t="shared" si="6"/>
        <v>466767</v>
      </c>
      <c r="J14" s="665">
        <f t="shared" si="7"/>
        <v>462068</v>
      </c>
      <c r="K14" s="666">
        <f t="shared" si="2"/>
        <v>471717</v>
      </c>
      <c r="L14" s="667">
        <f t="shared" si="3"/>
        <v>466767</v>
      </c>
      <c r="M14" s="677">
        <f t="shared" si="4"/>
        <v>462068</v>
      </c>
    </row>
    <row r="15" spans="1:13" s="638" customFormat="1" ht="25.5">
      <c r="A15" s="675" t="s">
        <v>400</v>
      </c>
      <c r="B15" s="659">
        <v>15000</v>
      </c>
      <c r="C15" s="676">
        <v>15000</v>
      </c>
      <c r="D15" s="456">
        <v>15000</v>
      </c>
      <c r="E15" s="661"/>
      <c r="F15" s="662"/>
      <c r="G15" s="665"/>
      <c r="H15" s="664">
        <f t="shared" si="5"/>
        <v>15000</v>
      </c>
      <c r="I15" s="662">
        <f t="shared" si="6"/>
        <v>15000</v>
      </c>
      <c r="J15" s="665">
        <f t="shared" si="7"/>
        <v>15000</v>
      </c>
      <c r="K15" s="666">
        <f t="shared" si="2"/>
        <v>15000</v>
      </c>
      <c r="L15" s="667">
        <f t="shared" si="3"/>
        <v>15000</v>
      </c>
      <c r="M15" s="677">
        <f t="shared" si="4"/>
        <v>15000</v>
      </c>
    </row>
    <row r="16" spans="1:13" s="638" customFormat="1" ht="12.75">
      <c r="A16" s="675" t="s">
        <v>401</v>
      </c>
      <c r="B16" s="659">
        <v>100000</v>
      </c>
      <c r="C16" s="676">
        <v>0</v>
      </c>
      <c r="D16" s="456">
        <v>0</v>
      </c>
      <c r="E16" s="661">
        <v>90000</v>
      </c>
      <c r="F16" s="662">
        <v>0</v>
      </c>
      <c r="G16" s="665">
        <v>0</v>
      </c>
      <c r="H16" s="664">
        <f t="shared" si="5"/>
        <v>10000</v>
      </c>
      <c r="I16" s="662">
        <f t="shared" si="6"/>
        <v>0</v>
      </c>
      <c r="J16" s="665">
        <f t="shared" si="7"/>
        <v>0</v>
      </c>
      <c r="K16" s="666">
        <f t="shared" si="2"/>
        <v>10000</v>
      </c>
      <c r="L16" s="667">
        <f t="shared" si="3"/>
        <v>0</v>
      </c>
      <c r="M16" s="677">
        <f t="shared" si="4"/>
        <v>0</v>
      </c>
    </row>
    <row r="17" spans="1:13" s="638" customFormat="1" ht="12.75">
      <c r="A17" s="675" t="s">
        <v>402</v>
      </c>
      <c r="B17" s="659">
        <v>169202</v>
      </c>
      <c r="C17" s="676">
        <v>0</v>
      </c>
      <c r="D17" s="456">
        <v>0</v>
      </c>
      <c r="E17" s="661">
        <v>148862</v>
      </c>
      <c r="F17" s="662">
        <v>0</v>
      </c>
      <c r="G17" s="665">
        <v>0</v>
      </c>
      <c r="H17" s="664">
        <f t="shared" si="5"/>
        <v>20340</v>
      </c>
      <c r="I17" s="662">
        <f t="shared" si="6"/>
        <v>0</v>
      </c>
      <c r="J17" s="665">
        <f t="shared" si="7"/>
        <v>0</v>
      </c>
      <c r="K17" s="666">
        <f t="shared" si="2"/>
        <v>20340</v>
      </c>
      <c r="L17" s="667">
        <f t="shared" si="3"/>
        <v>0</v>
      </c>
      <c r="M17" s="677">
        <f t="shared" si="4"/>
        <v>0</v>
      </c>
    </row>
    <row r="18" spans="1:13" s="638" customFormat="1" ht="25.5">
      <c r="A18" s="675" t="s">
        <v>403</v>
      </c>
      <c r="B18" s="659">
        <v>298340</v>
      </c>
      <c r="C18" s="676">
        <v>298340</v>
      </c>
      <c r="D18" s="456">
        <v>298340</v>
      </c>
      <c r="E18" s="661">
        <v>283422</v>
      </c>
      <c r="F18" s="662">
        <v>283422</v>
      </c>
      <c r="G18" s="665">
        <v>283422</v>
      </c>
      <c r="H18" s="664">
        <f t="shared" si="5"/>
        <v>14918</v>
      </c>
      <c r="I18" s="662">
        <f t="shared" si="6"/>
        <v>14918</v>
      </c>
      <c r="J18" s="665">
        <f t="shared" si="7"/>
        <v>14918</v>
      </c>
      <c r="K18" s="666">
        <f t="shared" si="2"/>
        <v>14918</v>
      </c>
      <c r="L18" s="667">
        <f t="shared" si="3"/>
        <v>14918</v>
      </c>
      <c r="M18" s="677">
        <f t="shared" si="4"/>
        <v>14918</v>
      </c>
    </row>
    <row r="19" spans="1:13" s="638" customFormat="1" ht="38.25">
      <c r="A19" s="675" t="s">
        <v>404</v>
      </c>
      <c r="B19" s="659">
        <v>100000</v>
      </c>
      <c r="C19" s="676">
        <v>100000</v>
      </c>
      <c r="D19" s="456">
        <v>100000</v>
      </c>
      <c r="E19" s="661">
        <v>95000</v>
      </c>
      <c r="F19" s="662">
        <v>95000</v>
      </c>
      <c r="G19" s="665">
        <v>95000</v>
      </c>
      <c r="H19" s="664">
        <f t="shared" si="5"/>
        <v>5000</v>
      </c>
      <c r="I19" s="662">
        <f t="shared" si="6"/>
        <v>5000</v>
      </c>
      <c r="J19" s="665">
        <f t="shared" si="7"/>
        <v>5000</v>
      </c>
      <c r="K19" s="666">
        <f t="shared" si="2"/>
        <v>5000</v>
      </c>
      <c r="L19" s="667">
        <f t="shared" si="3"/>
        <v>5000</v>
      </c>
      <c r="M19" s="677">
        <f t="shared" si="4"/>
        <v>5000</v>
      </c>
    </row>
    <row r="20" spans="1:13" s="638" customFormat="1" ht="12.75">
      <c r="A20" s="675" t="s">
        <v>405</v>
      </c>
      <c r="B20" s="659">
        <v>45000</v>
      </c>
      <c r="C20" s="676">
        <v>45000</v>
      </c>
      <c r="D20" s="456">
        <v>45000</v>
      </c>
      <c r="E20" s="661">
        <v>42600</v>
      </c>
      <c r="F20" s="662">
        <v>42600</v>
      </c>
      <c r="G20" s="665">
        <v>42600</v>
      </c>
      <c r="H20" s="664">
        <f t="shared" si="5"/>
        <v>2400</v>
      </c>
      <c r="I20" s="662">
        <f t="shared" si="6"/>
        <v>2400</v>
      </c>
      <c r="J20" s="665">
        <f t="shared" si="7"/>
        <v>2400</v>
      </c>
      <c r="K20" s="666">
        <f t="shared" si="2"/>
        <v>2400</v>
      </c>
      <c r="L20" s="667">
        <f t="shared" si="3"/>
        <v>2400</v>
      </c>
      <c r="M20" s="677">
        <f t="shared" si="4"/>
        <v>2400</v>
      </c>
    </row>
    <row r="21" spans="1:13" s="638" customFormat="1" ht="12.75">
      <c r="A21" s="675" t="s">
        <v>406</v>
      </c>
      <c r="B21" s="659">
        <v>121629</v>
      </c>
      <c r="C21" s="676">
        <v>121629</v>
      </c>
      <c r="D21" s="456">
        <v>121629</v>
      </c>
      <c r="E21" s="661">
        <v>99780</v>
      </c>
      <c r="F21" s="662">
        <v>99780</v>
      </c>
      <c r="G21" s="665">
        <v>99780</v>
      </c>
      <c r="H21" s="664">
        <f t="shared" si="5"/>
        <v>21849</v>
      </c>
      <c r="I21" s="662">
        <f t="shared" si="6"/>
        <v>21849</v>
      </c>
      <c r="J21" s="665">
        <f t="shared" si="7"/>
        <v>21849</v>
      </c>
      <c r="K21" s="666">
        <f t="shared" si="2"/>
        <v>21849</v>
      </c>
      <c r="L21" s="667">
        <f t="shared" si="3"/>
        <v>21849</v>
      </c>
      <c r="M21" s="677">
        <f t="shared" si="4"/>
        <v>21849</v>
      </c>
    </row>
    <row r="22" spans="1:13" s="638" customFormat="1" ht="25.5">
      <c r="A22" s="675" t="s">
        <v>407</v>
      </c>
      <c r="B22" s="659">
        <v>92725</v>
      </c>
      <c r="C22" s="676">
        <v>92725</v>
      </c>
      <c r="D22" s="456">
        <v>92725</v>
      </c>
      <c r="E22" s="661">
        <v>90625</v>
      </c>
      <c r="F22" s="662">
        <v>90625</v>
      </c>
      <c r="G22" s="665">
        <v>90625</v>
      </c>
      <c r="H22" s="664">
        <f t="shared" si="5"/>
        <v>2100</v>
      </c>
      <c r="I22" s="662">
        <f t="shared" si="6"/>
        <v>2100</v>
      </c>
      <c r="J22" s="665">
        <f t="shared" si="7"/>
        <v>2100</v>
      </c>
      <c r="K22" s="666">
        <f t="shared" si="2"/>
        <v>2100</v>
      </c>
      <c r="L22" s="667">
        <f t="shared" si="3"/>
        <v>2100</v>
      </c>
      <c r="M22" s="677">
        <f t="shared" si="4"/>
        <v>2100</v>
      </c>
    </row>
    <row r="23" spans="1:13" s="638" customFormat="1" ht="12.75">
      <c r="A23" s="675" t="s">
        <v>408</v>
      </c>
      <c r="B23" s="659">
        <v>2864</v>
      </c>
      <c r="C23" s="676">
        <v>2864</v>
      </c>
      <c r="D23" s="456">
        <v>0</v>
      </c>
      <c r="E23" s="661"/>
      <c r="F23" s="662"/>
      <c r="G23" s="665"/>
      <c r="H23" s="664">
        <f t="shared" si="5"/>
        <v>2864</v>
      </c>
      <c r="I23" s="662">
        <f t="shared" si="6"/>
        <v>2864</v>
      </c>
      <c r="J23" s="665">
        <f t="shared" si="7"/>
        <v>0</v>
      </c>
      <c r="K23" s="666">
        <f t="shared" si="2"/>
        <v>2864</v>
      </c>
      <c r="L23" s="667">
        <f t="shared" si="3"/>
        <v>2864</v>
      </c>
      <c r="M23" s="677">
        <f t="shared" si="4"/>
        <v>0</v>
      </c>
    </row>
    <row r="24" spans="1:13" s="638" customFormat="1" ht="25.5">
      <c r="A24" s="675" t="s">
        <v>409</v>
      </c>
      <c r="B24" s="659">
        <v>16375</v>
      </c>
      <c r="C24" s="676">
        <v>16375</v>
      </c>
      <c r="D24" s="456">
        <f>C24-953</f>
        <v>15422</v>
      </c>
      <c r="E24" s="661">
        <v>13069</v>
      </c>
      <c r="F24" s="662">
        <v>13069</v>
      </c>
      <c r="G24" s="665">
        <v>13069</v>
      </c>
      <c r="H24" s="664">
        <f t="shared" si="5"/>
        <v>3306</v>
      </c>
      <c r="I24" s="662">
        <f t="shared" si="6"/>
        <v>3306</v>
      </c>
      <c r="J24" s="665">
        <f t="shared" si="7"/>
        <v>2353</v>
      </c>
      <c r="K24" s="666">
        <f t="shared" si="2"/>
        <v>3306</v>
      </c>
      <c r="L24" s="667">
        <f t="shared" si="3"/>
        <v>3306</v>
      </c>
      <c r="M24" s="677">
        <f t="shared" si="4"/>
        <v>2353</v>
      </c>
    </row>
    <row r="25" spans="1:13" s="638" customFormat="1" ht="12.75">
      <c r="A25" s="675" t="s">
        <v>410</v>
      </c>
      <c r="B25" s="659">
        <v>60000</v>
      </c>
      <c r="C25" s="676">
        <v>57975</v>
      </c>
      <c r="D25" s="456">
        <v>57975</v>
      </c>
      <c r="E25" s="661">
        <v>49969</v>
      </c>
      <c r="F25" s="662">
        <v>49969</v>
      </c>
      <c r="G25" s="665">
        <v>49969</v>
      </c>
      <c r="H25" s="664">
        <f t="shared" si="5"/>
        <v>10031</v>
      </c>
      <c r="I25" s="662">
        <f t="shared" si="6"/>
        <v>8006</v>
      </c>
      <c r="J25" s="665">
        <f t="shared" si="7"/>
        <v>8006</v>
      </c>
      <c r="K25" s="666">
        <f t="shared" si="2"/>
        <v>10031</v>
      </c>
      <c r="L25" s="667">
        <f t="shared" si="3"/>
        <v>8006</v>
      </c>
      <c r="M25" s="677">
        <f t="shared" si="4"/>
        <v>8006</v>
      </c>
    </row>
    <row r="26" spans="1:13" s="638" customFormat="1" ht="12.75">
      <c r="A26" s="675"/>
      <c r="B26" s="659"/>
      <c r="C26" s="659"/>
      <c r="D26" s="660"/>
      <c r="E26" s="661"/>
      <c r="F26" s="662"/>
      <c r="G26" s="663"/>
      <c r="H26" s="664"/>
      <c r="I26" s="662"/>
      <c r="J26" s="665"/>
      <c r="K26" s="666"/>
      <c r="L26" s="667"/>
      <c r="M26" s="677"/>
    </row>
    <row r="27" spans="1:13" s="638" customFormat="1" ht="12.75">
      <c r="A27" s="678" t="s">
        <v>365</v>
      </c>
      <c r="B27" s="670">
        <f>SUM(B28:B30)</f>
        <v>10350</v>
      </c>
      <c r="C27" s="670">
        <f>SUM(C28:C30)</f>
        <v>10350</v>
      </c>
      <c r="D27" s="671">
        <f>SUM(D28:D30)</f>
        <v>10350</v>
      </c>
      <c r="E27" s="672">
        <v>0</v>
      </c>
      <c r="F27" s="670">
        <v>0</v>
      </c>
      <c r="G27" s="679">
        <v>0</v>
      </c>
      <c r="H27" s="673">
        <f>SUM(H28:H30)</f>
        <v>10350</v>
      </c>
      <c r="I27" s="673">
        <f>SUM(I28:I30)</f>
        <v>10350</v>
      </c>
      <c r="J27" s="671">
        <f>SUM(J28:J30)</f>
        <v>10350</v>
      </c>
      <c r="K27" s="673">
        <f aca="true" t="shared" si="8" ref="K27:M30">H27</f>
        <v>10350</v>
      </c>
      <c r="L27" s="674">
        <f t="shared" si="8"/>
        <v>10350</v>
      </c>
      <c r="M27" s="671">
        <f t="shared" si="8"/>
        <v>10350</v>
      </c>
    </row>
    <row r="28" spans="1:13" s="638" customFormat="1" ht="25.5">
      <c r="A28" s="675" t="s">
        <v>411</v>
      </c>
      <c r="B28" s="659">
        <v>2000</v>
      </c>
      <c r="C28" s="659">
        <v>2000</v>
      </c>
      <c r="D28" s="456">
        <v>2000</v>
      </c>
      <c r="E28" s="661"/>
      <c r="F28" s="662"/>
      <c r="G28" s="663"/>
      <c r="H28" s="664">
        <f>B28-E28</f>
        <v>2000</v>
      </c>
      <c r="I28" s="662">
        <v>2000</v>
      </c>
      <c r="J28" s="665">
        <f>D28-G28</f>
        <v>2000</v>
      </c>
      <c r="K28" s="666">
        <f t="shared" si="8"/>
        <v>2000</v>
      </c>
      <c r="L28" s="667">
        <f t="shared" si="8"/>
        <v>2000</v>
      </c>
      <c r="M28" s="677">
        <f t="shared" si="8"/>
        <v>2000</v>
      </c>
    </row>
    <row r="29" spans="1:13" s="638" customFormat="1" ht="12.75">
      <c r="A29" s="675" t="s">
        <v>412</v>
      </c>
      <c r="B29" s="659">
        <v>3850</v>
      </c>
      <c r="C29" s="659">
        <v>3850</v>
      </c>
      <c r="D29" s="456">
        <v>3850</v>
      </c>
      <c r="E29" s="661"/>
      <c r="F29" s="662"/>
      <c r="G29" s="663"/>
      <c r="H29" s="664">
        <f>B29-E29</f>
        <v>3850</v>
      </c>
      <c r="I29" s="662">
        <v>3850</v>
      </c>
      <c r="J29" s="665">
        <f>D29-G29</f>
        <v>3850</v>
      </c>
      <c r="K29" s="666">
        <f t="shared" si="8"/>
        <v>3850</v>
      </c>
      <c r="L29" s="667">
        <f t="shared" si="8"/>
        <v>3850</v>
      </c>
      <c r="M29" s="677">
        <f t="shared" si="8"/>
        <v>3850</v>
      </c>
    </row>
    <row r="30" spans="1:13" s="638" customFormat="1" ht="12.75">
      <c r="A30" s="675" t="s">
        <v>413</v>
      </c>
      <c r="B30" s="659">
        <v>4500</v>
      </c>
      <c r="C30" s="659">
        <v>4500</v>
      </c>
      <c r="D30" s="456">
        <v>4500</v>
      </c>
      <c r="E30" s="661"/>
      <c r="F30" s="662"/>
      <c r="G30" s="663"/>
      <c r="H30" s="664">
        <f>B30-E30</f>
        <v>4500</v>
      </c>
      <c r="I30" s="662">
        <v>4500</v>
      </c>
      <c r="J30" s="665">
        <f>D30-G30</f>
        <v>4500</v>
      </c>
      <c r="K30" s="666">
        <f t="shared" si="8"/>
        <v>4500</v>
      </c>
      <c r="L30" s="667">
        <f t="shared" si="8"/>
        <v>4500</v>
      </c>
      <c r="M30" s="677">
        <f t="shared" si="8"/>
        <v>4500</v>
      </c>
    </row>
    <row r="31" spans="1:13" s="638" customFormat="1" ht="12.75">
      <c r="A31" s="675"/>
      <c r="B31" s="659"/>
      <c r="C31" s="659"/>
      <c r="D31" s="660"/>
      <c r="E31" s="661"/>
      <c r="F31" s="662"/>
      <c r="G31" s="663"/>
      <c r="H31" s="664"/>
      <c r="I31" s="662"/>
      <c r="J31" s="665"/>
      <c r="K31" s="666"/>
      <c r="L31" s="667"/>
      <c r="M31" s="677"/>
    </row>
    <row r="32" spans="1:13" s="638" customFormat="1" ht="12.75">
      <c r="A32" s="678" t="s">
        <v>414</v>
      </c>
      <c r="B32" s="670">
        <f>SUM(B33:B36)</f>
        <v>11400</v>
      </c>
      <c r="C32" s="670">
        <f>SUM(C33:C36)</f>
        <v>8800</v>
      </c>
      <c r="D32" s="671">
        <f>SUM(D33:D36)</f>
        <v>8800</v>
      </c>
      <c r="E32" s="672">
        <v>0</v>
      </c>
      <c r="F32" s="670">
        <v>0</v>
      </c>
      <c r="G32" s="679">
        <v>0</v>
      </c>
      <c r="H32" s="673">
        <f>SUM(H33:H36)</f>
        <v>11400</v>
      </c>
      <c r="I32" s="673">
        <f>SUM(I33:I36)</f>
        <v>8800</v>
      </c>
      <c r="J32" s="671">
        <f>SUM(J33:J36)</f>
        <v>8800</v>
      </c>
      <c r="K32" s="673">
        <f aca="true" t="shared" si="9" ref="K32:M36">H32</f>
        <v>11400</v>
      </c>
      <c r="L32" s="674">
        <f t="shared" si="9"/>
        <v>8800</v>
      </c>
      <c r="M32" s="671">
        <f t="shared" si="9"/>
        <v>8800</v>
      </c>
    </row>
    <row r="33" spans="1:13" s="638" customFormat="1" ht="12.75">
      <c r="A33" s="675" t="s">
        <v>415</v>
      </c>
      <c r="B33" s="659">
        <v>2600</v>
      </c>
      <c r="C33" s="659">
        <v>0</v>
      </c>
      <c r="D33" s="456">
        <v>0</v>
      </c>
      <c r="E33" s="661"/>
      <c r="F33" s="662"/>
      <c r="G33" s="663"/>
      <c r="H33" s="664">
        <f>B33-E33</f>
        <v>2600</v>
      </c>
      <c r="I33" s="662">
        <v>0</v>
      </c>
      <c r="J33" s="665">
        <f>D33-G33</f>
        <v>0</v>
      </c>
      <c r="K33" s="666">
        <f t="shared" si="9"/>
        <v>2600</v>
      </c>
      <c r="L33" s="667">
        <f t="shared" si="9"/>
        <v>0</v>
      </c>
      <c r="M33" s="677">
        <f t="shared" si="9"/>
        <v>0</v>
      </c>
    </row>
    <row r="34" spans="1:13" s="638" customFormat="1" ht="12.75">
      <c r="A34" s="675" t="s">
        <v>416</v>
      </c>
      <c r="B34" s="659">
        <v>6350</v>
      </c>
      <c r="C34" s="659">
        <v>6350</v>
      </c>
      <c r="D34" s="456">
        <v>6350</v>
      </c>
      <c r="E34" s="661"/>
      <c r="F34" s="662"/>
      <c r="G34" s="663"/>
      <c r="H34" s="664">
        <f>B34-E34</f>
        <v>6350</v>
      </c>
      <c r="I34" s="662">
        <v>6350</v>
      </c>
      <c r="J34" s="665">
        <f>D34-G34</f>
        <v>6350</v>
      </c>
      <c r="K34" s="666">
        <f t="shared" si="9"/>
        <v>6350</v>
      </c>
      <c r="L34" s="667">
        <f t="shared" si="9"/>
        <v>6350</v>
      </c>
      <c r="M34" s="677">
        <f t="shared" si="9"/>
        <v>6350</v>
      </c>
    </row>
    <row r="35" spans="1:13" s="638" customFormat="1" ht="12.75">
      <c r="A35" s="675" t="s">
        <v>417</v>
      </c>
      <c r="B35" s="659">
        <v>1500</v>
      </c>
      <c r="C35" s="659">
        <v>1500</v>
      </c>
      <c r="D35" s="456">
        <v>1500</v>
      </c>
      <c r="E35" s="661"/>
      <c r="F35" s="662"/>
      <c r="G35" s="663"/>
      <c r="H35" s="664">
        <f>B35-E35</f>
        <v>1500</v>
      </c>
      <c r="I35" s="662">
        <v>1500</v>
      </c>
      <c r="J35" s="665">
        <f>D35-G35</f>
        <v>1500</v>
      </c>
      <c r="K35" s="666">
        <f t="shared" si="9"/>
        <v>1500</v>
      </c>
      <c r="L35" s="667">
        <f t="shared" si="9"/>
        <v>1500</v>
      </c>
      <c r="M35" s="677">
        <f t="shared" si="9"/>
        <v>1500</v>
      </c>
    </row>
    <row r="36" spans="1:13" s="638" customFormat="1" ht="12.75">
      <c r="A36" s="675" t="s">
        <v>379</v>
      </c>
      <c r="B36" s="659">
        <v>950</v>
      </c>
      <c r="C36" s="659">
        <v>950</v>
      </c>
      <c r="D36" s="456">
        <v>950</v>
      </c>
      <c r="E36" s="661"/>
      <c r="F36" s="662"/>
      <c r="G36" s="663"/>
      <c r="H36" s="664">
        <f>B36-E36</f>
        <v>950</v>
      </c>
      <c r="I36" s="662">
        <v>950</v>
      </c>
      <c r="J36" s="665">
        <f>D36-G36</f>
        <v>950</v>
      </c>
      <c r="K36" s="666">
        <f t="shared" si="9"/>
        <v>950</v>
      </c>
      <c r="L36" s="667">
        <f t="shared" si="9"/>
        <v>950</v>
      </c>
      <c r="M36" s="677">
        <f t="shared" si="9"/>
        <v>950</v>
      </c>
    </row>
    <row r="37" spans="1:13" s="638" customFormat="1" ht="12.75">
      <c r="A37" s="675"/>
      <c r="B37" s="659"/>
      <c r="C37" s="659"/>
      <c r="D37" s="660"/>
      <c r="E37" s="661"/>
      <c r="F37" s="662"/>
      <c r="G37" s="663"/>
      <c r="H37" s="664"/>
      <c r="I37" s="662"/>
      <c r="J37" s="665"/>
      <c r="K37" s="666"/>
      <c r="L37" s="667"/>
      <c r="M37" s="677"/>
    </row>
    <row r="38" spans="1:13" s="638" customFormat="1" ht="12.75">
      <c r="A38" s="678" t="s">
        <v>376</v>
      </c>
      <c r="B38" s="670">
        <f>SUM(B39:B68)</f>
        <v>283113</v>
      </c>
      <c r="C38" s="670">
        <f>SUM(C39:C68)</f>
        <v>225113</v>
      </c>
      <c r="D38" s="671">
        <f>SUM(D39:D68)</f>
        <v>225113</v>
      </c>
      <c r="E38" s="672">
        <v>0</v>
      </c>
      <c r="F38" s="670">
        <v>0</v>
      </c>
      <c r="G38" s="679">
        <v>0</v>
      </c>
      <c r="H38" s="673">
        <f>SUM(H39:H68)</f>
        <v>283113</v>
      </c>
      <c r="I38" s="673">
        <f>SUM(I39:I68)</f>
        <v>225113</v>
      </c>
      <c r="J38" s="671">
        <f>SUM(J39:J68)</f>
        <v>225113</v>
      </c>
      <c r="K38" s="673">
        <f aca="true" t="shared" si="10" ref="K38:K68">H38</f>
        <v>283113</v>
      </c>
      <c r="L38" s="674">
        <f aca="true" t="shared" si="11" ref="L38:L68">I38</f>
        <v>225113</v>
      </c>
      <c r="M38" s="671">
        <f aca="true" t="shared" si="12" ref="M38:M68">J38</f>
        <v>225113</v>
      </c>
    </row>
    <row r="39" spans="1:13" s="638" customFormat="1" ht="12.75">
      <c r="A39" s="675" t="s">
        <v>418</v>
      </c>
      <c r="B39" s="659">
        <v>50000</v>
      </c>
      <c r="C39" s="659">
        <v>50000</v>
      </c>
      <c r="D39" s="456">
        <v>50000</v>
      </c>
      <c r="E39" s="661"/>
      <c r="F39" s="662"/>
      <c r="G39" s="663"/>
      <c r="H39" s="664">
        <f aca="true" t="shared" si="13" ref="H39:H68">B39-E39</f>
        <v>50000</v>
      </c>
      <c r="I39" s="662">
        <f aca="true" t="shared" si="14" ref="I39:I68">C39-F39</f>
        <v>50000</v>
      </c>
      <c r="J39" s="665">
        <f aca="true" t="shared" si="15" ref="J39:J68">D39-G39</f>
        <v>50000</v>
      </c>
      <c r="K39" s="666">
        <f t="shared" si="10"/>
        <v>50000</v>
      </c>
      <c r="L39" s="667">
        <f t="shared" si="11"/>
        <v>50000</v>
      </c>
      <c r="M39" s="677">
        <f t="shared" si="12"/>
        <v>50000</v>
      </c>
    </row>
    <row r="40" spans="1:13" s="638" customFormat="1" ht="12.75">
      <c r="A40" s="675" t="s">
        <v>419</v>
      </c>
      <c r="B40" s="659">
        <v>13000</v>
      </c>
      <c r="C40" s="659">
        <v>13000</v>
      </c>
      <c r="D40" s="456">
        <v>13000</v>
      </c>
      <c r="E40" s="661"/>
      <c r="F40" s="662"/>
      <c r="G40" s="663"/>
      <c r="H40" s="664">
        <f t="shared" si="13"/>
        <v>13000</v>
      </c>
      <c r="I40" s="662">
        <f t="shared" si="14"/>
        <v>13000</v>
      </c>
      <c r="J40" s="665">
        <f t="shared" si="15"/>
        <v>13000</v>
      </c>
      <c r="K40" s="666">
        <f t="shared" si="10"/>
        <v>13000</v>
      </c>
      <c r="L40" s="667">
        <f t="shared" si="11"/>
        <v>13000</v>
      </c>
      <c r="M40" s="677">
        <f t="shared" si="12"/>
        <v>13000</v>
      </c>
    </row>
    <row r="41" spans="1:13" s="638" customFormat="1" ht="12.75">
      <c r="A41" s="675" t="s">
        <v>420</v>
      </c>
      <c r="B41" s="659">
        <v>2000</v>
      </c>
      <c r="C41" s="659">
        <v>2000</v>
      </c>
      <c r="D41" s="456">
        <v>2000</v>
      </c>
      <c r="E41" s="661"/>
      <c r="F41" s="662"/>
      <c r="G41" s="663"/>
      <c r="H41" s="664">
        <f t="shared" si="13"/>
        <v>2000</v>
      </c>
      <c r="I41" s="662">
        <f t="shared" si="14"/>
        <v>2000</v>
      </c>
      <c r="J41" s="665">
        <f t="shared" si="15"/>
        <v>2000</v>
      </c>
      <c r="K41" s="666">
        <f t="shared" si="10"/>
        <v>2000</v>
      </c>
      <c r="L41" s="667">
        <f t="shared" si="11"/>
        <v>2000</v>
      </c>
      <c r="M41" s="677">
        <f t="shared" si="12"/>
        <v>2000</v>
      </c>
    </row>
    <row r="42" spans="1:13" s="638" customFormat="1" ht="12.75">
      <c r="A42" s="675" t="s">
        <v>421</v>
      </c>
      <c r="B42" s="659">
        <v>3000</v>
      </c>
      <c r="C42" s="659">
        <v>3000</v>
      </c>
      <c r="D42" s="456">
        <v>3000</v>
      </c>
      <c r="E42" s="661"/>
      <c r="F42" s="662"/>
      <c r="G42" s="663"/>
      <c r="H42" s="664">
        <f t="shared" si="13"/>
        <v>3000</v>
      </c>
      <c r="I42" s="662">
        <f t="shared" si="14"/>
        <v>3000</v>
      </c>
      <c r="J42" s="665">
        <f t="shared" si="15"/>
        <v>3000</v>
      </c>
      <c r="K42" s="666">
        <f t="shared" si="10"/>
        <v>3000</v>
      </c>
      <c r="L42" s="667">
        <f t="shared" si="11"/>
        <v>3000</v>
      </c>
      <c r="M42" s="677">
        <f t="shared" si="12"/>
        <v>3000</v>
      </c>
    </row>
    <row r="43" spans="1:13" s="638" customFormat="1" ht="12.75">
      <c r="A43" s="675" t="s">
        <v>422</v>
      </c>
      <c r="B43" s="659">
        <v>5000</v>
      </c>
      <c r="C43" s="659">
        <v>5000</v>
      </c>
      <c r="D43" s="456">
        <v>5000</v>
      </c>
      <c r="E43" s="661"/>
      <c r="F43" s="662"/>
      <c r="G43" s="663"/>
      <c r="H43" s="664">
        <f t="shared" si="13"/>
        <v>5000</v>
      </c>
      <c r="I43" s="662">
        <f t="shared" si="14"/>
        <v>5000</v>
      </c>
      <c r="J43" s="665">
        <f t="shared" si="15"/>
        <v>5000</v>
      </c>
      <c r="K43" s="666">
        <f t="shared" si="10"/>
        <v>5000</v>
      </c>
      <c r="L43" s="667">
        <f t="shared" si="11"/>
        <v>5000</v>
      </c>
      <c r="M43" s="677">
        <f t="shared" si="12"/>
        <v>5000</v>
      </c>
    </row>
    <row r="44" spans="1:13" s="638" customFormat="1" ht="12.75">
      <c r="A44" s="675" t="s">
        <v>423</v>
      </c>
      <c r="B44" s="659">
        <v>800</v>
      </c>
      <c r="C44" s="659">
        <v>800</v>
      </c>
      <c r="D44" s="456">
        <v>800</v>
      </c>
      <c r="E44" s="661"/>
      <c r="F44" s="662"/>
      <c r="G44" s="663"/>
      <c r="H44" s="664">
        <f t="shared" si="13"/>
        <v>800</v>
      </c>
      <c r="I44" s="662">
        <f t="shared" si="14"/>
        <v>800</v>
      </c>
      <c r="J44" s="665">
        <f t="shared" si="15"/>
        <v>800</v>
      </c>
      <c r="K44" s="666">
        <f t="shared" si="10"/>
        <v>800</v>
      </c>
      <c r="L44" s="667">
        <f t="shared" si="11"/>
        <v>800</v>
      </c>
      <c r="M44" s="677">
        <f t="shared" si="12"/>
        <v>800</v>
      </c>
    </row>
    <row r="45" spans="1:13" s="638" customFormat="1" ht="12.75">
      <c r="A45" s="675" t="s">
        <v>424</v>
      </c>
      <c r="B45" s="659">
        <v>1000</v>
      </c>
      <c r="C45" s="659">
        <v>1000</v>
      </c>
      <c r="D45" s="456">
        <v>1000</v>
      </c>
      <c r="E45" s="661"/>
      <c r="F45" s="662"/>
      <c r="G45" s="663"/>
      <c r="H45" s="664">
        <f t="shared" si="13"/>
        <v>1000</v>
      </c>
      <c r="I45" s="662">
        <f t="shared" si="14"/>
        <v>1000</v>
      </c>
      <c r="J45" s="665">
        <f t="shared" si="15"/>
        <v>1000</v>
      </c>
      <c r="K45" s="666">
        <f t="shared" si="10"/>
        <v>1000</v>
      </c>
      <c r="L45" s="667">
        <f t="shared" si="11"/>
        <v>1000</v>
      </c>
      <c r="M45" s="677">
        <f t="shared" si="12"/>
        <v>1000</v>
      </c>
    </row>
    <row r="46" spans="1:13" s="638" customFormat="1" ht="12.75">
      <c r="A46" s="675" t="s">
        <v>425</v>
      </c>
      <c r="B46" s="659">
        <v>6000</v>
      </c>
      <c r="C46" s="659">
        <v>6000</v>
      </c>
      <c r="D46" s="456">
        <v>6000</v>
      </c>
      <c r="E46" s="661"/>
      <c r="F46" s="662"/>
      <c r="G46" s="663"/>
      <c r="H46" s="664">
        <f t="shared" si="13"/>
        <v>6000</v>
      </c>
      <c r="I46" s="662">
        <f t="shared" si="14"/>
        <v>6000</v>
      </c>
      <c r="J46" s="665">
        <f t="shared" si="15"/>
        <v>6000</v>
      </c>
      <c r="K46" s="666">
        <f t="shared" si="10"/>
        <v>6000</v>
      </c>
      <c r="L46" s="667">
        <f t="shared" si="11"/>
        <v>6000</v>
      </c>
      <c r="M46" s="677">
        <f t="shared" si="12"/>
        <v>6000</v>
      </c>
    </row>
    <row r="47" spans="1:13" s="638" customFormat="1" ht="12.75">
      <c r="A47" s="675" t="s">
        <v>426</v>
      </c>
      <c r="B47" s="659">
        <v>2000</v>
      </c>
      <c r="C47" s="659">
        <v>2000</v>
      </c>
      <c r="D47" s="456">
        <v>2000</v>
      </c>
      <c r="E47" s="661"/>
      <c r="F47" s="662"/>
      <c r="G47" s="663"/>
      <c r="H47" s="664">
        <f t="shared" si="13"/>
        <v>2000</v>
      </c>
      <c r="I47" s="662">
        <f t="shared" si="14"/>
        <v>2000</v>
      </c>
      <c r="J47" s="665">
        <f t="shared" si="15"/>
        <v>2000</v>
      </c>
      <c r="K47" s="666">
        <f t="shared" si="10"/>
        <v>2000</v>
      </c>
      <c r="L47" s="667">
        <f t="shared" si="11"/>
        <v>2000</v>
      </c>
      <c r="M47" s="677">
        <f t="shared" si="12"/>
        <v>2000</v>
      </c>
    </row>
    <row r="48" spans="1:13" s="638" customFormat="1" ht="12.75">
      <c r="A48" s="680" t="s">
        <v>427</v>
      </c>
      <c r="B48" s="681">
        <v>15000</v>
      </c>
      <c r="C48" s="681">
        <v>15000</v>
      </c>
      <c r="D48" s="456">
        <v>15000</v>
      </c>
      <c r="E48" s="682"/>
      <c r="F48" s="683"/>
      <c r="G48" s="684"/>
      <c r="H48" s="685">
        <f t="shared" si="13"/>
        <v>15000</v>
      </c>
      <c r="I48" s="662">
        <f t="shared" si="14"/>
        <v>15000</v>
      </c>
      <c r="J48" s="665">
        <f t="shared" si="15"/>
        <v>15000</v>
      </c>
      <c r="K48" s="686">
        <f t="shared" si="10"/>
        <v>15000</v>
      </c>
      <c r="L48" s="667">
        <f t="shared" si="11"/>
        <v>15000</v>
      </c>
      <c r="M48" s="677">
        <f t="shared" si="12"/>
        <v>15000</v>
      </c>
    </row>
    <row r="49" spans="1:13" s="638" customFormat="1" ht="13.5">
      <c r="A49" s="687" t="s">
        <v>428</v>
      </c>
      <c r="B49" s="688">
        <v>38000</v>
      </c>
      <c r="C49" s="688">
        <v>0</v>
      </c>
      <c r="D49" s="456">
        <v>0</v>
      </c>
      <c r="E49" s="689"/>
      <c r="F49" s="690"/>
      <c r="G49" s="691"/>
      <c r="H49" s="692">
        <f t="shared" si="13"/>
        <v>38000</v>
      </c>
      <c r="I49" s="662">
        <f t="shared" si="14"/>
        <v>0</v>
      </c>
      <c r="J49" s="665">
        <f t="shared" si="15"/>
        <v>0</v>
      </c>
      <c r="K49" s="693">
        <f t="shared" si="10"/>
        <v>38000</v>
      </c>
      <c r="L49" s="667">
        <f t="shared" si="11"/>
        <v>0</v>
      </c>
      <c r="M49" s="677">
        <f t="shared" si="12"/>
        <v>0</v>
      </c>
    </row>
    <row r="50" spans="1:13" s="638" customFormat="1" ht="13.5">
      <c r="A50" s="680" t="s">
        <v>429</v>
      </c>
      <c r="B50" s="681">
        <v>1000</v>
      </c>
      <c r="C50" s="681">
        <v>1000</v>
      </c>
      <c r="D50" s="456">
        <v>1000</v>
      </c>
      <c r="E50" s="682"/>
      <c r="F50" s="683"/>
      <c r="G50" s="684"/>
      <c r="H50" s="685">
        <f t="shared" si="13"/>
        <v>1000</v>
      </c>
      <c r="I50" s="662">
        <f t="shared" si="14"/>
        <v>1000</v>
      </c>
      <c r="J50" s="665">
        <f t="shared" si="15"/>
        <v>1000</v>
      </c>
      <c r="K50" s="686">
        <f t="shared" si="10"/>
        <v>1000</v>
      </c>
      <c r="L50" s="667">
        <f t="shared" si="11"/>
        <v>1000</v>
      </c>
      <c r="M50" s="677">
        <f t="shared" si="12"/>
        <v>1000</v>
      </c>
    </row>
    <row r="51" spans="1:13" s="638" customFormat="1" ht="25.5">
      <c r="A51" s="675" t="s">
        <v>430</v>
      </c>
      <c r="B51" s="659">
        <v>3000</v>
      </c>
      <c r="C51" s="659">
        <v>3000</v>
      </c>
      <c r="D51" s="456">
        <v>3000</v>
      </c>
      <c r="E51" s="661"/>
      <c r="F51" s="662"/>
      <c r="G51" s="663"/>
      <c r="H51" s="664">
        <f t="shared" si="13"/>
        <v>3000</v>
      </c>
      <c r="I51" s="662">
        <f t="shared" si="14"/>
        <v>3000</v>
      </c>
      <c r="J51" s="665">
        <f t="shared" si="15"/>
        <v>3000</v>
      </c>
      <c r="K51" s="666">
        <f t="shared" si="10"/>
        <v>3000</v>
      </c>
      <c r="L51" s="667">
        <f t="shared" si="11"/>
        <v>3000</v>
      </c>
      <c r="M51" s="677">
        <f t="shared" si="12"/>
        <v>3000</v>
      </c>
    </row>
    <row r="52" spans="1:13" s="638" customFormat="1" ht="12.75">
      <c r="A52" s="675" t="s">
        <v>649</v>
      </c>
      <c r="B52" s="659">
        <v>15000</v>
      </c>
      <c r="C52" s="659">
        <v>15000</v>
      </c>
      <c r="D52" s="456">
        <v>15000</v>
      </c>
      <c r="E52" s="661"/>
      <c r="F52" s="662"/>
      <c r="G52" s="663"/>
      <c r="H52" s="664">
        <f t="shared" si="13"/>
        <v>15000</v>
      </c>
      <c r="I52" s="662">
        <f t="shared" si="14"/>
        <v>15000</v>
      </c>
      <c r="J52" s="665">
        <f t="shared" si="15"/>
        <v>15000</v>
      </c>
      <c r="K52" s="666">
        <f t="shared" si="10"/>
        <v>15000</v>
      </c>
      <c r="L52" s="667">
        <f t="shared" si="11"/>
        <v>15000</v>
      </c>
      <c r="M52" s="677">
        <f t="shared" si="12"/>
        <v>15000</v>
      </c>
    </row>
    <row r="53" spans="1:13" s="638" customFormat="1" ht="12.75">
      <c r="A53" s="675" t="s">
        <v>432</v>
      </c>
      <c r="B53" s="659">
        <v>1500</v>
      </c>
      <c r="C53" s="659">
        <v>1500</v>
      </c>
      <c r="D53" s="456">
        <v>1500</v>
      </c>
      <c r="E53" s="661"/>
      <c r="F53" s="662"/>
      <c r="G53" s="663"/>
      <c r="H53" s="664">
        <f t="shared" si="13"/>
        <v>1500</v>
      </c>
      <c r="I53" s="662">
        <f t="shared" si="14"/>
        <v>1500</v>
      </c>
      <c r="J53" s="665">
        <f t="shared" si="15"/>
        <v>1500</v>
      </c>
      <c r="K53" s="666">
        <f t="shared" si="10"/>
        <v>1500</v>
      </c>
      <c r="L53" s="667">
        <f t="shared" si="11"/>
        <v>1500</v>
      </c>
      <c r="M53" s="677">
        <f t="shared" si="12"/>
        <v>1500</v>
      </c>
    </row>
    <row r="54" spans="1:13" s="638" customFormat="1" ht="12.75">
      <c r="A54" s="675" t="s">
        <v>433</v>
      </c>
      <c r="B54" s="659">
        <v>4000</v>
      </c>
      <c r="C54" s="659">
        <v>4000</v>
      </c>
      <c r="D54" s="456">
        <v>4000</v>
      </c>
      <c r="E54" s="661"/>
      <c r="F54" s="662"/>
      <c r="G54" s="663"/>
      <c r="H54" s="664">
        <f t="shared" si="13"/>
        <v>4000</v>
      </c>
      <c r="I54" s="662">
        <f t="shared" si="14"/>
        <v>4000</v>
      </c>
      <c r="J54" s="665">
        <f t="shared" si="15"/>
        <v>4000</v>
      </c>
      <c r="K54" s="666">
        <f t="shared" si="10"/>
        <v>4000</v>
      </c>
      <c r="L54" s="667">
        <f t="shared" si="11"/>
        <v>4000</v>
      </c>
      <c r="M54" s="677">
        <f t="shared" si="12"/>
        <v>4000</v>
      </c>
    </row>
    <row r="55" spans="1:13" s="638" customFormat="1" ht="12.75">
      <c r="A55" s="675" t="s">
        <v>434</v>
      </c>
      <c r="B55" s="659">
        <v>40000</v>
      </c>
      <c r="C55" s="659">
        <v>40000</v>
      </c>
      <c r="D55" s="456">
        <v>40000</v>
      </c>
      <c r="E55" s="661"/>
      <c r="F55" s="662"/>
      <c r="G55" s="663"/>
      <c r="H55" s="664">
        <f t="shared" si="13"/>
        <v>40000</v>
      </c>
      <c r="I55" s="662">
        <f t="shared" si="14"/>
        <v>40000</v>
      </c>
      <c r="J55" s="665">
        <f t="shared" si="15"/>
        <v>40000</v>
      </c>
      <c r="K55" s="666">
        <f t="shared" si="10"/>
        <v>40000</v>
      </c>
      <c r="L55" s="667">
        <f t="shared" si="11"/>
        <v>40000</v>
      </c>
      <c r="M55" s="677">
        <f t="shared" si="12"/>
        <v>40000</v>
      </c>
    </row>
    <row r="56" spans="1:13" s="638" customFormat="1" ht="12.75">
      <c r="A56" s="675" t="s">
        <v>435</v>
      </c>
      <c r="B56" s="659">
        <v>30000</v>
      </c>
      <c r="C56" s="659">
        <v>10000</v>
      </c>
      <c r="D56" s="456">
        <v>10000</v>
      </c>
      <c r="E56" s="661"/>
      <c r="F56" s="662"/>
      <c r="G56" s="663"/>
      <c r="H56" s="664">
        <f t="shared" si="13"/>
        <v>30000</v>
      </c>
      <c r="I56" s="662">
        <f t="shared" si="14"/>
        <v>10000</v>
      </c>
      <c r="J56" s="665">
        <f t="shared" si="15"/>
        <v>10000</v>
      </c>
      <c r="K56" s="666">
        <f t="shared" si="10"/>
        <v>30000</v>
      </c>
      <c r="L56" s="667">
        <f t="shared" si="11"/>
        <v>10000</v>
      </c>
      <c r="M56" s="677">
        <f t="shared" si="12"/>
        <v>10000</v>
      </c>
    </row>
    <row r="57" spans="1:13" s="638" customFormat="1" ht="12.75">
      <c r="A57" s="675" t="s">
        <v>436</v>
      </c>
      <c r="B57" s="659">
        <v>13161</v>
      </c>
      <c r="C57" s="659">
        <v>13161</v>
      </c>
      <c r="D57" s="456">
        <v>13161</v>
      </c>
      <c r="E57" s="661"/>
      <c r="F57" s="662"/>
      <c r="G57" s="663"/>
      <c r="H57" s="664">
        <f t="shared" si="13"/>
        <v>13161</v>
      </c>
      <c r="I57" s="662">
        <f t="shared" si="14"/>
        <v>13161</v>
      </c>
      <c r="J57" s="665">
        <f t="shared" si="15"/>
        <v>13161</v>
      </c>
      <c r="K57" s="666">
        <f t="shared" si="10"/>
        <v>13161</v>
      </c>
      <c r="L57" s="667">
        <f t="shared" si="11"/>
        <v>13161</v>
      </c>
      <c r="M57" s="677">
        <f t="shared" si="12"/>
        <v>13161</v>
      </c>
    </row>
    <row r="58" spans="1:13" s="638" customFormat="1" ht="12.75">
      <c r="A58" s="675" t="s">
        <v>437</v>
      </c>
      <c r="B58" s="659">
        <v>1459</v>
      </c>
      <c r="C58" s="659">
        <v>1459</v>
      </c>
      <c r="D58" s="456">
        <v>1459</v>
      </c>
      <c r="E58" s="661"/>
      <c r="F58" s="662"/>
      <c r="G58" s="663"/>
      <c r="H58" s="664">
        <f t="shared" si="13"/>
        <v>1459</v>
      </c>
      <c r="I58" s="662">
        <f t="shared" si="14"/>
        <v>1459</v>
      </c>
      <c r="J58" s="665">
        <f t="shared" si="15"/>
        <v>1459</v>
      </c>
      <c r="K58" s="666">
        <f t="shared" si="10"/>
        <v>1459</v>
      </c>
      <c r="L58" s="667">
        <f t="shared" si="11"/>
        <v>1459</v>
      </c>
      <c r="M58" s="677">
        <f t="shared" si="12"/>
        <v>1459</v>
      </c>
    </row>
    <row r="59" spans="1:13" s="638" customFormat="1" ht="12.75">
      <c r="A59" s="675" t="s">
        <v>438</v>
      </c>
      <c r="B59" s="659">
        <v>1000</v>
      </c>
      <c r="C59" s="659">
        <v>1000</v>
      </c>
      <c r="D59" s="456">
        <v>1000</v>
      </c>
      <c r="E59" s="661"/>
      <c r="F59" s="662"/>
      <c r="G59" s="663"/>
      <c r="H59" s="664">
        <f t="shared" si="13"/>
        <v>1000</v>
      </c>
      <c r="I59" s="662">
        <f t="shared" si="14"/>
        <v>1000</v>
      </c>
      <c r="J59" s="665">
        <f t="shared" si="15"/>
        <v>1000</v>
      </c>
      <c r="K59" s="666">
        <f t="shared" si="10"/>
        <v>1000</v>
      </c>
      <c r="L59" s="667">
        <f t="shared" si="11"/>
        <v>1000</v>
      </c>
      <c r="M59" s="677">
        <f t="shared" si="12"/>
        <v>1000</v>
      </c>
    </row>
    <row r="60" spans="1:13" s="638" customFormat="1" ht="12.75">
      <c r="A60" s="675" t="s">
        <v>439</v>
      </c>
      <c r="B60" s="659">
        <v>2000</v>
      </c>
      <c r="C60" s="659">
        <v>2000</v>
      </c>
      <c r="D60" s="456">
        <v>2000</v>
      </c>
      <c r="E60" s="661"/>
      <c r="F60" s="662"/>
      <c r="G60" s="663"/>
      <c r="H60" s="664">
        <f t="shared" si="13"/>
        <v>2000</v>
      </c>
      <c r="I60" s="662">
        <f t="shared" si="14"/>
        <v>2000</v>
      </c>
      <c r="J60" s="665">
        <f t="shared" si="15"/>
        <v>2000</v>
      </c>
      <c r="K60" s="666">
        <f t="shared" si="10"/>
        <v>2000</v>
      </c>
      <c r="L60" s="667">
        <f t="shared" si="11"/>
        <v>2000</v>
      </c>
      <c r="M60" s="677">
        <f t="shared" si="12"/>
        <v>2000</v>
      </c>
    </row>
    <row r="61" spans="1:13" s="638" customFormat="1" ht="12.75">
      <c r="A61" s="675" t="s">
        <v>440</v>
      </c>
      <c r="B61" s="659">
        <v>650</v>
      </c>
      <c r="C61" s="659">
        <v>650</v>
      </c>
      <c r="D61" s="456">
        <v>650</v>
      </c>
      <c r="E61" s="661"/>
      <c r="F61" s="662"/>
      <c r="G61" s="663"/>
      <c r="H61" s="664">
        <f t="shared" si="13"/>
        <v>650</v>
      </c>
      <c r="I61" s="662">
        <f t="shared" si="14"/>
        <v>650</v>
      </c>
      <c r="J61" s="665">
        <f t="shared" si="15"/>
        <v>650</v>
      </c>
      <c r="K61" s="666">
        <f t="shared" si="10"/>
        <v>650</v>
      </c>
      <c r="L61" s="667">
        <f t="shared" si="11"/>
        <v>650</v>
      </c>
      <c r="M61" s="677">
        <f t="shared" si="12"/>
        <v>650</v>
      </c>
    </row>
    <row r="62" spans="1:13" s="638" customFormat="1" ht="12.75">
      <c r="A62" s="675" t="s">
        <v>441</v>
      </c>
      <c r="B62" s="659">
        <v>3000</v>
      </c>
      <c r="C62" s="659">
        <v>3000</v>
      </c>
      <c r="D62" s="456">
        <v>3000</v>
      </c>
      <c r="E62" s="661"/>
      <c r="F62" s="662"/>
      <c r="G62" s="663"/>
      <c r="H62" s="664">
        <f t="shared" si="13"/>
        <v>3000</v>
      </c>
      <c r="I62" s="662">
        <f t="shared" si="14"/>
        <v>3000</v>
      </c>
      <c r="J62" s="665">
        <f t="shared" si="15"/>
        <v>3000</v>
      </c>
      <c r="K62" s="666">
        <f t="shared" si="10"/>
        <v>3000</v>
      </c>
      <c r="L62" s="667">
        <f t="shared" si="11"/>
        <v>3000</v>
      </c>
      <c r="M62" s="677">
        <f t="shared" si="12"/>
        <v>3000</v>
      </c>
    </row>
    <row r="63" spans="1:13" s="638" customFormat="1" ht="25.5">
      <c r="A63" s="675" t="s">
        <v>442</v>
      </c>
      <c r="B63" s="659">
        <v>12700</v>
      </c>
      <c r="C63" s="659">
        <v>12700</v>
      </c>
      <c r="D63" s="456">
        <v>12700</v>
      </c>
      <c r="E63" s="661"/>
      <c r="F63" s="662"/>
      <c r="G63" s="663"/>
      <c r="H63" s="664">
        <f t="shared" si="13"/>
        <v>12700</v>
      </c>
      <c r="I63" s="662">
        <f t="shared" si="14"/>
        <v>12700</v>
      </c>
      <c r="J63" s="665">
        <f t="shared" si="15"/>
        <v>12700</v>
      </c>
      <c r="K63" s="666">
        <f t="shared" si="10"/>
        <v>12700</v>
      </c>
      <c r="L63" s="667">
        <f t="shared" si="11"/>
        <v>12700</v>
      </c>
      <c r="M63" s="677">
        <f t="shared" si="12"/>
        <v>12700</v>
      </c>
    </row>
    <row r="64" spans="1:13" s="638" customFormat="1" ht="12.75">
      <c r="A64" s="675" t="s">
        <v>443</v>
      </c>
      <c r="B64" s="659">
        <v>1016</v>
      </c>
      <c r="C64" s="659">
        <v>1016</v>
      </c>
      <c r="D64" s="456">
        <v>1016</v>
      </c>
      <c r="E64" s="661"/>
      <c r="F64" s="662"/>
      <c r="G64" s="663"/>
      <c r="H64" s="664">
        <f t="shared" si="13"/>
        <v>1016</v>
      </c>
      <c r="I64" s="662">
        <f t="shared" si="14"/>
        <v>1016</v>
      </c>
      <c r="J64" s="665">
        <f t="shared" si="15"/>
        <v>1016</v>
      </c>
      <c r="K64" s="666">
        <f t="shared" si="10"/>
        <v>1016</v>
      </c>
      <c r="L64" s="667">
        <f t="shared" si="11"/>
        <v>1016</v>
      </c>
      <c r="M64" s="677">
        <f t="shared" si="12"/>
        <v>1016</v>
      </c>
    </row>
    <row r="65" spans="1:13" s="638" customFormat="1" ht="12.75">
      <c r="A65" s="675" t="s">
        <v>444</v>
      </c>
      <c r="B65" s="659">
        <v>6350</v>
      </c>
      <c r="C65" s="659">
        <v>6350</v>
      </c>
      <c r="D65" s="456">
        <v>6350</v>
      </c>
      <c r="E65" s="661"/>
      <c r="F65" s="662"/>
      <c r="G65" s="663"/>
      <c r="H65" s="664">
        <f t="shared" si="13"/>
        <v>6350</v>
      </c>
      <c r="I65" s="662">
        <f t="shared" si="14"/>
        <v>6350</v>
      </c>
      <c r="J65" s="665">
        <f t="shared" si="15"/>
        <v>6350</v>
      </c>
      <c r="K65" s="666">
        <f t="shared" si="10"/>
        <v>6350</v>
      </c>
      <c r="L65" s="667">
        <f t="shared" si="11"/>
        <v>6350</v>
      </c>
      <c r="M65" s="677">
        <f t="shared" si="12"/>
        <v>6350</v>
      </c>
    </row>
    <row r="66" spans="1:13" s="638" customFormat="1" ht="12.75">
      <c r="A66" s="675" t="s">
        <v>445</v>
      </c>
      <c r="B66" s="659">
        <v>5000</v>
      </c>
      <c r="C66" s="659">
        <v>5000</v>
      </c>
      <c r="D66" s="456">
        <v>5000</v>
      </c>
      <c r="E66" s="661"/>
      <c r="F66" s="662"/>
      <c r="G66" s="663"/>
      <c r="H66" s="664">
        <f t="shared" si="13"/>
        <v>5000</v>
      </c>
      <c r="I66" s="662">
        <f t="shared" si="14"/>
        <v>5000</v>
      </c>
      <c r="J66" s="665">
        <f t="shared" si="15"/>
        <v>5000</v>
      </c>
      <c r="K66" s="666">
        <f t="shared" si="10"/>
        <v>5000</v>
      </c>
      <c r="L66" s="667">
        <f t="shared" si="11"/>
        <v>5000</v>
      </c>
      <c r="M66" s="677">
        <f t="shared" si="12"/>
        <v>5000</v>
      </c>
    </row>
    <row r="67" spans="1:13" s="638" customFormat="1" ht="12.75">
      <c r="A67" s="675" t="s">
        <v>446</v>
      </c>
      <c r="B67" s="659">
        <v>1905</v>
      </c>
      <c r="C67" s="659">
        <v>1905</v>
      </c>
      <c r="D67" s="456">
        <v>1905</v>
      </c>
      <c r="E67" s="661"/>
      <c r="F67" s="662"/>
      <c r="G67" s="663"/>
      <c r="H67" s="664">
        <f t="shared" si="13"/>
        <v>1905</v>
      </c>
      <c r="I67" s="662">
        <f t="shared" si="14"/>
        <v>1905</v>
      </c>
      <c r="J67" s="665">
        <f t="shared" si="15"/>
        <v>1905</v>
      </c>
      <c r="K67" s="666">
        <f t="shared" si="10"/>
        <v>1905</v>
      </c>
      <c r="L67" s="667">
        <f t="shared" si="11"/>
        <v>1905</v>
      </c>
      <c r="M67" s="677">
        <f t="shared" si="12"/>
        <v>1905</v>
      </c>
    </row>
    <row r="68" spans="1:13" s="638" customFormat="1" ht="12.75">
      <c r="A68" s="675" t="s">
        <v>447</v>
      </c>
      <c r="B68" s="659">
        <v>4572</v>
      </c>
      <c r="C68" s="659">
        <v>4572</v>
      </c>
      <c r="D68" s="456">
        <v>4572</v>
      </c>
      <c r="E68" s="661"/>
      <c r="F68" s="662"/>
      <c r="G68" s="663"/>
      <c r="H68" s="664">
        <f t="shared" si="13"/>
        <v>4572</v>
      </c>
      <c r="I68" s="662">
        <f t="shared" si="14"/>
        <v>4572</v>
      </c>
      <c r="J68" s="665">
        <f t="shared" si="15"/>
        <v>4572</v>
      </c>
      <c r="K68" s="666">
        <f t="shared" si="10"/>
        <v>4572</v>
      </c>
      <c r="L68" s="667">
        <f t="shared" si="11"/>
        <v>4572</v>
      </c>
      <c r="M68" s="677">
        <f t="shared" si="12"/>
        <v>4572</v>
      </c>
    </row>
    <row r="69" spans="1:13" s="638" customFormat="1" ht="12.75">
      <c r="A69" s="675"/>
      <c r="B69" s="659"/>
      <c r="C69" s="659"/>
      <c r="D69" s="660"/>
      <c r="E69" s="661"/>
      <c r="F69" s="662"/>
      <c r="G69" s="663"/>
      <c r="H69" s="664"/>
      <c r="I69" s="662"/>
      <c r="J69" s="665"/>
      <c r="K69" s="666"/>
      <c r="L69" s="667"/>
      <c r="M69" s="677"/>
    </row>
    <row r="70" spans="1:13" s="638" customFormat="1" ht="12.75">
      <c r="A70" s="678" t="s">
        <v>650</v>
      </c>
      <c r="B70" s="670">
        <f>SUM(B72,B79)</f>
        <v>39367</v>
      </c>
      <c r="C70" s="670">
        <f>SUM(C72,C79)</f>
        <v>35026</v>
      </c>
      <c r="D70" s="671">
        <f>SUM(D72,D79)</f>
        <v>34747</v>
      </c>
      <c r="E70" s="672">
        <v>0</v>
      </c>
      <c r="F70" s="670">
        <v>0</v>
      </c>
      <c r="G70" s="679">
        <v>0</v>
      </c>
      <c r="H70" s="673">
        <f>SUM(H72,H79)</f>
        <v>39367</v>
      </c>
      <c r="I70" s="673">
        <f>SUM(I72,I79)</f>
        <v>35026</v>
      </c>
      <c r="J70" s="671">
        <f>SUM(J72,J79)</f>
        <v>34747</v>
      </c>
      <c r="K70" s="673">
        <f>H70</f>
        <v>39367</v>
      </c>
      <c r="L70" s="674">
        <f>I70</f>
        <v>35026</v>
      </c>
      <c r="M70" s="671">
        <f>J70</f>
        <v>34747</v>
      </c>
    </row>
    <row r="71" spans="1:13" s="638" customFormat="1" ht="12.75">
      <c r="A71" s="675"/>
      <c r="B71" s="659"/>
      <c r="C71" s="659"/>
      <c r="D71" s="660"/>
      <c r="E71" s="661"/>
      <c r="F71" s="662"/>
      <c r="G71" s="663"/>
      <c r="H71" s="664"/>
      <c r="I71" s="662"/>
      <c r="J71" s="665"/>
      <c r="K71" s="666"/>
      <c r="L71" s="667"/>
      <c r="M71" s="677"/>
    </row>
    <row r="72" spans="1:13" s="638" customFormat="1" ht="12.75">
      <c r="A72" s="678" t="s">
        <v>365</v>
      </c>
      <c r="B72" s="670">
        <f>SUM(B73:B77)</f>
        <v>10413</v>
      </c>
      <c r="C72" s="670">
        <f>SUM(C73:C77)</f>
        <v>10413</v>
      </c>
      <c r="D72" s="671">
        <f>SUM(D73:D77)</f>
        <v>10413</v>
      </c>
      <c r="E72" s="672">
        <v>0</v>
      </c>
      <c r="F72" s="670">
        <v>0</v>
      </c>
      <c r="G72" s="679">
        <v>0</v>
      </c>
      <c r="H72" s="673">
        <f>SUM(H73:H77)</f>
        <v>10413</v>
      </c>
      <c r="I72" s="670">
        <v>10413</v>
      </c>
      <c r="J72" s="671">
        <v>10413</v>
      </c>
      <c r="K72" s="673">
        <f aca="true" t="shared" si="16" ref="K72:M77">H72</f>
        <v>10413</v>
      </c>
      <c r="L72" s="674">
        <f t="shared" si="16"/>
        <v>10413</v>
      </c>
      <c r="M72" s="671">
        <f t="shared" si="16"/>
        <v>10413</v>
      </c>
    </row>
    <row r="73" spans="1:13" s="638" customFormat="1" ht="12.75">
      <c r="A73" s="675" t="s">
        <v>462</v>
      </c>
      <c r="B73" s="659">
        <v>5000</v>
      </c>
      <c r="C73" s="659">
        <v>5000</v>
      </c>
      <c r="D73" s="456">
        <v>5000</v>
      </c>
      <c r="E73" s="661"/>
      <c r="F73" s="662"/>
      <c r="G73" s="663"/>
      <c r="H73" s="664">
        <f>B73-E73</f>
        <v>5000</v>
      </c>
      <c r="I73" s="662">
        <v>5000</v>
      </c>
      <c r="J73" s="665">
        <f>D73-G73</f>
        <v>5000</v>
      </c>
      <c r="K73" s="666">
        <f t="shared" si="16"/>
        <v>5000</v>
      </c>
      <c r="L73" s="667">
        <f t="shared" si="16"/>
        <v>5000</v>
      </c>
      <c r="M73" s="677">
        <f t="shared" si="16"/>
        <v>5000</v>
      </c>
    </row>
    <row r="74" spans="1:13" s="638" customFormat="1" ht="12.75">
      <c r="A74" s="675" t="s">
        <v>463</v>
      </c>
      <c r="B74" s="659">
        <v>500</v>
      </c>
      <c r="C74" s="659">
        <v>500</v>
      </c>
      <c r="D74" s="456">
        <v>500</v>
      </c>
      <c r="E74" s="661"/>
      <c r="F74" s="662"/>
      <c r="G74" s="663"/>
      <c r="H74" s="664">
        <f>B74-E74</f>
        <v>500</v>
      </c>
      <c r="I74" s="662">
        <v>500</v>
      </c>
      <c r="J74" s="665">
        <f>D74-G74</f>
        <v>500</v>
      </c>
      <c r="K74" s="666">
        <f t="shared" si="16"/>
        <v>500</v>
      </c>
      <c r="L74" s="667">
        <f t="shared" si="16"/>
        <v>500</v>
      </c>
      <c r="M74" s="677">
        <f t="shared" si="16"/>
        <v>500</v>
      </c>
    </row>
    <row r="75" spans="1:13" s="638" customFormat="1" ht="25.5">
      <c r="A75" s="675" t="s">
        <v>452</v>
      </c>
      <c r="B75" s="659">
        <f>5000-3638</f>
        <v>1362</v>
      </c>
      <c r="C75" s="659">
        <v>1362</v>
      </c>
      <c r="D75" s="456">
        <v>1362</v>
      </c>
      <c r="E75" s="661"/>
      <c r="F75" s="662"/>
      <c r="G75" s="663"/>
      <c r="H75" s="664">
        <f>B75-E75</f>
        <v>1362</v>
      </c>
      <c r="I75" s="662">
        <v>1362</v>
      </c>
      <c r="J75" s="665">
        <f>D75-G75</f>
        <v>1362</v>
      </c>
      <c r="K75" s="666">
        <f t="shared" si="16"/>
        <v>1362</v>
      </c>
      <c r="L75" s="667">
        <f t="shared" si="16"/>
        <v>1362</v>
      </c>
      <c r="M75" s="677">
        <f t="shared" si="16"/>
        <v>1362</v>
      </c>
    </row>
    <row r="76" spans="1:13" s="638" customFormat="1" ht="25.5">
      <c r="A76" s="675" t="s">
        <v>453</v>
      </c>
      <c r="B76" s="659">
        <f>5000-3713</f>
        <v>1287</v>
      </c>
      <c r="C76" s="659">
        <v>1287</v>
      </c>
      <c r="D76" s="456">
        <v>1287</v>
      </c>
      <c r="E76" s="661"/>
      <c r="F76" s="662"/>
      <c r="G76" s="663"/>
      <c r="H76" s="664">
        <f>B76-E76</f>
        <v>1287</v>
      </c>
      <c r="I76" s="662">
        <v>1287</v>
      </c>
      <c r="J76" s="665">
        <f>D76-G76</f>
        <v>1287</v>
      </c>
      <c r="K76" s="666">
        <f t="shared" si="16"/>
        <v>1287</v>
      </c>
      <c r="L76" s="667">
        <f t="shared" si="16"/>
        <v>1287</v>
      </c>
      <c r="M76" s="677">
        <f t="shared" si="16"/>
        <v>1287</v>
      </c>
    </row>
    <row r="77" spans="1:13" s="638" customFormat="1" ht="12.75">
      <c r="A77" s="675" t="s">
        <v>464</v>
      </c>
      <c r="B77" s="659">
        <v>2264</v>
      </c>
      <c r="C77" s="659">
        <v>2264</v>
      </c>
      <c r="D77" s="456">
        <v>2264</v>
      </c>
      <c r="E77" s="661"/>
      <c r="F77" s="662"/>
      <c r="G77" s="663"/>
      <c r="H77" s="664">
        <f>B77-E77</f>
        <v>2264</v>
      </c>
      <c r="I77" s="662">
        <v>2264</v>
      </c>
      <c r="J77" s="665">
        <f>D77-G77</f>
        <v>2264</v>
      </c>
      <c r="K77" s="666">
        <f t="shared" si="16"/>
        <v>2264</v>
      </c>
      <c r="L77" s="667">
        <f t="shared" si="16"/>
        <v>2264</v>
      </c>
      <c r="M77" s="677">
        <f t="shared" si="16"/>
        <v>2264</v>
      </c>
    </row>
    <row r="78" spans="1:13" s="638" customFormat="1" ht="12.75">
      <c r="A78" s="675"/>
      <c r="B78" s="659"/>
      <c r="C78" s="659"/>
      <c r="D78" s="660"/>
      <c r="E78" s="661"/>
      <c r="F78" s="662"/>
      <c r="G78" s="663"/>
      <c r="H78" s="664"/>
      <c r="I78" s="662"/>
      <c r="J78" s="665"/>
      <c r="K78" s="666"/>
      <c r="L78" s="667"/>
      <c r="M78" s="677"/>
    </row>
    <row r="79" spans="1:13" s="638" customFormat="1" ht="12.75">
      <c r="A79" s="678" t="s">
        <v>376</v>
      </c>
      <c r="B79" s="670">
        <f>SUM(B80:B88)</f>
        <v>28954</v>
      </c>
      <c r="C79" s="670">
        <f>SUM(C80:C88)</f>
        <v>24613</v>
      </c>
      <c r="D79" s="671">
        <f>SUM(D80:D88)</f>
        <v>24334</v>
      </c>
      <c r="E79" s="672">
        <v>0</v>
      </c>
      <c r="F79" s="670">
        <v>0</v>
      </c>
      <c r="G79" s="679">
        <v>0</v>
      </c>
      <c r="H79" s="673">
        <f>SUM(H80:H88)</f>
        <v>28954</v>
      </c>
      <c r="I79" s="670">
        <v>24613</v>
      </c>
      <c r="J79" s="671">
        <f>SUM(J80:J88)</f>
        <v>24334</v>
      </c>
      <c r="K79" s="673">
        <f aca="true" t="shared" si="17" ref="K79:K88">H79</f>
        <v>28954</v>
      </c>
      <c r="L79" s="674">
        <f aca="true" t="shared" si="18" ref="L79:L88">I79</f>
        <v>24613</v>
      </c>
      <c r="M79" s="671">
        <f aca="true" t="shared" si="19" ref="M79:M88">J79</f>
        <v>24334</v>
      </c>
    </row>
    <row r="80" spans="1:13" s="638" customFormat="1" ht="12.75">
      <c r="A80" s="675" t="s">
        <v>465</v>
      </c>
      <c r="B80" s="659">
        <v>3000</v>
      </c>
      <c r="C80" s="659">
        <v>1140</v>
      </c>
      <c r="D80" s="456">
        <f>C80-279</f>
        <v>861</v>
      </c>
      <c r="E80" s="661"/>
      <c r="F80" s="662"/>
      <c r="G80" s="663"/>
      <c r="H80" s="664">
        <f aca="true" t="shared" si="20" ref="H80:H88">B80-E80</f>
        <v>3000</v>
      </c>
      <c r="I80" s="662">
        <v>1140</v>
      </c>
      <c r="J80" s="665">
        <f aca="true" t="shared" si="21" ref="J80:J88">D80-G80</f>
        <v>861</v>
      </c>
      <c r="K80" s="666">
        <f t="shared" si="17"/>
        <v>3000</v>
      </c>
      <c r="L80" s="667">
        <f t="shared" si="18"/>
        <v>1140</v>
      </c>
      <c r="M80" s="677">
        <f t="shared" si="19"/>
        <v>861</v>
      </c>
    </row>
    <row r="81" spans="1:13" s="638" customFormat="1" ht="12.75">
      <c r="A81" s="675" t="s">
        <v>466</v>
      </c>
      <c r="B81" s="659">
        <v>8000</v>
      </c>
      <c r="C81" s="659">
        <v>5519</v>
      </c>
      <c r="D81" s="456">
        <v>5519</v>
      </c>
      <c r="E81" s="661"/>
      <c r="F81" s="662"/>
      <c r="G81" s="663"/>
      <c r="H81" s="664">
        <f t="shared" si="20"/>
        <v>8000</v>
      </c>
      <c r="I81" s="662">
        <v>5519</v>
      </c>
      <c r="J81" s="665">
        <f t="shared" si="21"/>
        <v>5519</v>
      </c>
      <c r="K81" s="666">
        <f t="shared" si="17"/>
        <v>8000</v>
      </c>
      <c r="L81" s="667">
        <f t="shared" si="18"/>
        <v>5519</v>
      </c>
      <c r="M81" s="677">
        <f t="shared" si="19"/>
        <v>5519</v>
      </c>
    </row>
    <row r="82" spans="1:13" s="638" customFormat="1" ht="12.75">
      <c r="A82" s="675" t="s">
        <v>467</v>
      </c>
      <c r="B82" s="659">
        <v>6350</v>
      </c>
      <c r="C82" s="659">
        <v>6350</v>
      </c>
      <c r="D82" s="456">
        <v>6350</v>
      </c>
      <c r="E82" s="661"/>
      <c r="F82" s="662"/>
      <c r="G82" s="663"/>
      <c r="H82" s="664">
        <f t="shared" si="20"/>
        <v>6350</v>
      </c>
      <c r="I82" s="662">
        <v>6350</v>
      </c>
      <c r="J82" s="665">
        <f t="shared" si="21"/>
        <v>6350</v>
      </c>
      <c r="K82" s="666">
        <f t="shared" si="17"/>
        <v>6350</v>
      </c>
      <c r="L82" s="667">
        <f t="shared" si="18"/>
        <v>6350</v>
      </c>
      <c r="M82" s="677">
        <f t="shared" si="19"/>
        <v>6350</v>
      </c>
    </row>
    <row r="83" spans="1:13" s="638" customFormat="1" ht="12.75">
      <c r="A83" s="675" t="s">
        <v>468</v>
      </c>
      <c r="B83" s="659">
        <v>254</v>
      </c>
      <c r="C83" s="659">
        <v>254</v>
      </c>
      <c r="D83" s="456">
        <v>254</v>
      </c>
      <c r="E83" s="661"/>
      <c r="F83" s="662"/>
      <c r="G83" s="663"/>
      <c r="H83" s="664">
        <f t="shared" si="20"/>
        <v>254</v>
      </c>
      <c r="I83" s="662">
        <v>254</v>
      </c>
      <c r="J83" s="665">
        <f t="shared" si="21"/>
        <v>254</v>
      </c>
      <c r="K83" s="666">
        <f t="shared" si="17"/>
        <v>254</v>
      </c>
      <c r="L83" s="667">
        <f t="shared" si="18"/>
        <v>254</v>
      </c>
      <c r="M83" s="677">
        <f t="shared" si="19"/>
        <v>254</v>
      </c>
    </row>
    <row r="84" spans="1:13" s="638" customFormat="1" ht="12.75">
      <c r="A84" s="675" t="s">
        <v>469</v>
      </c>
      <c r="B84" s="659">
        <v>1000</v>
      </c>
      <c r="C84" s="659">
        <v>1000</v>
      </c>
      <c r="D84" s="456">
        <v>1000</v>
      </c>
      <c r="E84" s="661"/>
      <c r="F84" s="662"/>
      <c r="G84" s="663"/>
      <c r="H84" s="664">
        <f t="shared" si="20"/>
        <v>1000</v>
      </c>
      <c r="I84" s="662">
        <v>1000</v>
      </c>
      <c r="J84" s="665">
        <f t="shared" si="21"/>
        <v>1000</v>
      </c>
      <c r="K84" s="666">
        <f t="shared" si="17"/>
        <v>1000</v>
      </c>
      <c r="L84" s="667">
        <f t="shared" si="18"/>
        <v>1000</v>
      </c>
      <c r="M84" s="677">
        <f t="shared" si="19"/>
        <v>1000</v>
      </c>
    </row>
    <row r="85" spans="1:13" s="638" customFormat="1" ht="12.75">
      <c r="A85" s="675" t="s">
        <v>470</v>
      </c>
      <c r="B85" s="659">
        <v>2000</v>
      </c>
      <c r="C85" s="659">
        <v>2000</v>
      </c>
      <c r="D85" s="456">
        <v>2000</v>
      </c>
      <c r="E85" s="661"/>
      <c r="F85" s="662"/>
      <c r="G85" s="663"/>
      <c r="H85" s="664">
        <f t="shared" si="20"/>
        <v>2000</v>
      </c>
      <c r="I85" s="662">
        <v>2000</v>
      </c>
      <c r="J85" s="665">
        <f t="shared" si="21"/>
        <v>2000</v>
      </c>
      <c r="K85" s="666">
        <f t="shared" si="17"/>
        <v>2000</v>
      </c>
      <c r="L85" s="667">
        <f t="shared" si="18"/>
        <v>2000</v>
      </c>
      <c r="M85" s="677">
        <f t="shared" si="19"/>
        <v>2000</v>
      </c>
    </row>
    <row r="86" spans="1:13" s="638" customFormat="1" ht="12.75">
      <c r="A86" s="675" t="s">
        <v>471</v>
      </c>
      <c r="B86" s="659">
        <v>6350</v>
      </c>
      <c r="C86" s="659">
        <v>6350</v>
      </c>
      <c r="D86" s="456">
        <v>6350</v>
      </c>
      <c r="E86" s="661"/>
      <c r="F86" s="662"/>
      <c r="G86" s="663"/>
      <c r="H86" s="664">
        <f t="shared" si="20"/>
        <v>6350</v>
      </c>
      <c r="I86" s="662">
        <v>6350</v>
      </c>
      <c r="J86" s="665">
        <f t="shared" si="21"/>
        <v>6350</v>
      </c>
      <c r="K86" s="666">
        <f t="shared" si="17"/>
        <v>6350</v>
      </c>
      <c r="L86" s="667">
        <f t="shared" si="18"/>
        <v>6350</v>
      </c>
      <c r="M86" s="677">
        <f t="shared" si="19"/>
        <v>6350</v>
      </c>
    </row>
    <row r="87" spans="1:13" s="638" customFormat="1" ht="12.75">
      <c r="A87" s="675" t="s">
        <v>472</v>
      </c>
      <c r="B87" s="659">
        <v>1000</v>
      </c>
      <c r="C87" s="659">
        <v>1000</v>
      </c>
      <c r="D87" s="456">
        <v>1000</v>
      </c>
      <c r="E87" s="661"/>
      <c r="F87" s="662"/>
      <c r="G87" s="663"/>
      <c r="H87" s="664">
        <f t="shared" si="20"/>
        <v>1000</v>
      </c>
      <c r="I87" s="662">
        <v>1000</v>
      </c>
      <c r="J87" s="665">
        <f t="shared" si="21"/>
        <v>1000</v>
      </c>
      <c r="K87" s="666">
        <f t="shared" si="17"/>
        <v>1000</v>
      </c>
      <c r="L87" s="667">
        <f t="shared" si="18"/>
        <v>1000</v>
      </c>
      <c r="M87" s="677">
        <f t="shared" si="19"/>
        <v>1000</v>
      </c>
    </row>
    <row r="88" spans="1:13" s="638" customFormat="1" ht="12.75">
      <c r="A88" s="675" t="s">
        <v>473</v>
      </c>
      <c r="B88" s="659">
        <v>1000</v>
      </c>
      <c r="C88" s="659">
        <v>1000</v>
      </c>
      <c r="D88" s="456">
        <v>1000</v>
      </c>
      <c r="E88" s="661"/>
      <c r="F88" s="662"/>
      <c r="G88" s="663"/>
      <c r="H88" s="664">
        <f t="shared" si="20"/>
        <v>1000</v>
      </c>
      <c r="I88" s="662">
        <v>1000</v>
      </c>
      <c r="J88" s="665">
        <f t="shared" si="21"/>
        <v>1000</v>
      </c>
      <c r="K88" s="666">
        <f t="shared" si="17"/>
        <v>1000</v>
      </c>
      <c r="L88" s="667">
        <f t="shared" si="18"/>
        <v>1000</v>
      </c>
      <c r="M88" s="677">
        <f t="shared" si="19"/>
        <v>1000</v>
      </c>
    </row>
    <row r="89" spans="1:13" s="638" customFormat="1" ht="12.75">
      <c r="A89" s="675"/>
      <c r="B89" s="659"/>
      <c r="C89" s="659"/>
      <c r="D89" s="660"/>
      <c r="E89" s="661"/>
      <c r="F89" s="662"/>
      <c r="G89" s="663"/>
      <c r="H89" s="664"/>
      <c r="I89" s="662"/>
      <c r="J89" s="665"/>
      <c r="K89" s="666"/>
      <c r="L89" s="667"/>
      <c r="M89" s="677"/>
    </row>
    <row r="90" spans="1:13" s="638" customFormat="1" ht="25.5">
      <c r="A90" s="678" t="s">
        <v>651</v>
      </c>
      <c r="B90" s="670">
        <f>SUM(B91:B94)</f>
        <v>17418</v>
      </c>
      <c r="C90" s="670">
        <f>SUM(C91:C95)</f>
        <v>22368</v>
      </c>
      <c r="D90" s="671">
        <f>SUM(D91:D95)</f>
        <v>53868</v>
      </c>
      <c r="E90" s="672">
        <v>0</v>
      </c>
      <c r="F90" s="670">
        <v>0</v>
      </c>
      <c r="G90" s="671">
        <v>0</v>
      </c>
      <c r="H90" s="673">
        <f>SUM(H91:H94)</f>
        <v>17418</v>
      </c>
      <c r="I90" s="670">
        <v>22368</v>
      </c>
      <c r="J90" s="671">
        <v>22368</v>
      </c>
      <c r="K90" s="673">
        <f aca="true" t="shared" si="22" ref="K90:M94">H90</f>
        <v>17418</v>
      </c>
      <c r="L90" s="674">
        <f t="shared" si="22"/>
        <v>22368</v>
      </c>
      <c r="M90" s="671">
        <f t="shared" si="22"/>
        <v>22368</v>
      </c>
    </row>
    <row r="91" spans="1:13" s="638" customFormat="1" ht="12.75">
      <c r="A91" s="675" t="s">
        <v>562</v>
      </c>
      <c r="B91" s="659">
        <v>10000</v>
      </c>
      <c r="C91" s="659">
        <v>10000</v>
      </c>
      <c r="D91" s="694">
        <v>10000</v>
      </c>
      <c r="E91" s="661"/>
      <c r="F91" s="662"/>
      <c r="G91" s="663"/>
      <c r="H91" s="664">
        <f>B91-E91</f>
        <v>10000</v>
      </c>
      <c r="I91" s="662">
        <v>10000</v>
      </c>
      <c r="J91" s="665">
        <f>D91-G91</f>
        <v>10000</v>
      </c>
      <c r="K91" s="666">
        <f t="shared" si="22"/>
        <v>10000</v>
      </c>
      <c r="L91" s="667">
        <f t="shared" si="22"/>
        <v>10000</v>
      </c>
      <c r="M91" s="677">
        <f t="shared" si="22"/>
        <v>10000</v>
      </c>
    </row>
    <row r="92" spans="1:13" s="638" customFormat="1" ht="12.75">
      <c r="A92" s="675" t="s">
        <v>563</v>
      </c>
      <c r="B92" s="659">
        <v>3500</v>
      </c>
      <c r="C92" s="659">
        <v>3500</v>
      </c>
      <c r="D92" s="694">
        <v>35000</v>
      </c>
      <c r="E92" s="661"/>
      <c r="F92" s="662"/>
      <c r="G92" s="663"/>
      <c r="H92" s="664">
        <f>B92-E92</f>
        <v>3500</v>
      </c>
      <c r="I92" s="662">
        <v>3500</v>
      </c>
      <c r="J92" s="665">
        <f>D92-G92</f>
        <v>35000</v>
      </c>
      <c r="K92" s="666">
        <f t="shared" si="22"/>
        <v>3500</v>
      </c>
      <c r="L92" s="667">
        <f t="shared" si="22"/>
        <v>3500</v>
      </c>
      <c r="M92" s="677">
        <f t="shared" si="22"/>
        <v>35000</v>
      </c>
    </row>
    <row r="93" spans="1:13" s="638" customFormat="1" ht="12.75">
      <c r="A93" s="675" t="s">
        <v>570</v>
      </c>
      <c r="B93" s="659">
        <v>1384</v>
      </c>
      <c r="C93" s="659">
        <v>1384</v>
      </c>
      <c r="D93" s="694">
        <v>1384</v>
      </c>
      <c r="E93" s="661"/>
      <c r="F93" s="662"/>
      <c r="G93" s="663"/>
      <c r="H93" s="664">
        <f>B93-E93</f>
        <v>1384</v>
      </c>
      <c r="I93" s="662">
        <v>1384</v>
      </c>
      <c r="J93" s="665">
        <f>D93-G93</f>
        <v>1384</v>
      </c>
      <c r="K93" s="666">
        <f t="shared" si="22"/>
        <v>1384</v>
      </c>
      <c r="L93" s="667">
        <f t="shared" si="22"/>
        <v>1384</v>
      </c>
      <c r="M93" s="677">
        <f t="shared" si="22"/>
        <v>1384</v>
      </c>
    </row>
    <row r="94" spans="1:13" s="638" customFormat="1" ht="12.75">
      <c r="A94" s="675" t="s">
        <v>571</v>
      </c>
      <c r="B94" s="659">
        <v>2534</v>
      </c>
      <c r="C94" s="659">
        <v>2534</v>
      </c>
      <c r="D94" s="694">
        <v>2534</v>
      </c>
      <c r="E94" s="661"/>
      <c r="F94" s="662"/>
      <c r="G94" s="663"/>
      <c r="H94" s="664">
        <f>B94-E94</f>
        <v>2534</v>
      </c>
      <c r="I94" s="662">
        <v>2534</v>
      </c>
      <c r="J94" s="665">
        <f>D94-G94</f>
        <v>2534</v>
      </c>
      <c r="K94" s="666">
        <f t="shared" si="22"/>
        <v>2534</v>
      </c>
      <c r="L94" s="667">
        <f t="shared" si="22"/>
        <v>2534</v>
      </c>
      <c r="M94" s="677">
        <f t="shared" si="22"/>
        <v>2534</v>
      </c>
    </row>
    <row r="95" spans="1:13" s="638" customFormat="1" ht="25.5">
      <c r="A95" s="675" t="s">
        <v>572</v>
      </c>
      <c r="B95" s="659"/>
      <c r="C95" s="659">
        <v>4950</v>
      </c>
      <c r="D95" s="694">
        <v>4950</v>
      </c>
      <c r="E95" s="661"/>
      <c r="F95" s="662"/>
      <c r="G95" s="663"/>
      <c r="H95" s="664"/>
      <c r="I95" s="662">
        <v>4950</v>
      </c>
      <c r="J95" s="665">
        <f>D95-G95</f>
        <v>4950</v>
      </c>
      <c r="K95" s="666"/>
      <c r="L95" s="667">
        <f>I95</f>
        <v>4950</v>
      </c>
      <c r="M95" s="677">
        <f>J95</f>
        <v>4950</v>
      </c>
    </row>
    <row r="96" spans="1:13" s="638" customFormat="1" ht="12.75">
      <c r="A96" s="695"/>
      <c r="B96" s="696"/>
      <c r="C96" s="696"/>
      <c r="D96" s="697"/>
      <c r="E96" s="698"/>
      <c r="F96" s="696"/>
      <c r="G96" s="699"/>
      <c r="H96" s="700"/>
      <c r="I96" s="696"/>
      <c r="J96" s="665"/>
      <c r="K96" s="666"/>
      <c r="L96" s="667"/>
      <c r="M96" s="677"/>
    </row>
    <row r="97" spans="1:13" s="657" customFormat="1" ht="13.5">
      <c r="A97" s="701" t="s">
        <v>652</v>
      </c>
      <c r="B97" s="702">
        <f aca="true" t="shared" si="23" ref="B97:J97">SUM(B7,B70,B90)</f>
        <v>2643506</v>
      </c>
      <c r="C97" s="702">
        <f t="shared" si="23"/>
        <v>2307338</v>
      </c>
      <c r="D97" s="703">
        <f t="shared" si="23"/>
        <v>2330043</v>
      </c>
      <c r="E97" s="704">
        <f t="shared" si="23"/>
        <v>1588643</v>
      </c>
      <c r="F97" s="702">
        <f t="shared" si="23"/>
        <v>1349781</v>
      </c>
      <c r="G97" s="702">
        <f t="shared" si="23"/>
        <v>1349781</v>
      </c>
      <c r="H97" s="705">
        <f t="shared" si="23"/>
        <v>1054863</v>
      </c>
      <c r="I97" s="702">
        <f t="shared" si="23"/>
        <v>957557</v>
      </c>
      <c r="J97" s="703">
        <f t="shared" si="23"/>
        <v>948762</v>
      </c>
      <c r="K97" s="706">
        <f>H97</f>
        <v>1054863</v>
      </c>
      <c r="L97" s="707">
        <f>I97</f>
        <v>957557</v>
      </c>
      <c r="M97" s="708">
        <f>J97</f>
        <v>948762</v>
      </c>
    </row>
  </sheetData>
  <sheetProtection selectLockedCells="1" selectUnlockedCells="1"/>
  <mergeCells count="9">
    <mergeCell ref="A2:M2"/>
    <mergeCell ref="A5:A6"/>
    <mergeCell ref="B5:B6"/>
    <mergeCell ref="C5:C6"/>
    <mergeCell ref="D5:D6"/>
    <mergeCell ref="E5:J5"/>
    <mergeCell ref="K5:K6"/>
    <mergeCell ref="L5:L6"/>
    <mergeCell ref="M5:M6"/>
  </mergeCells>
  <printOptions horizontalCentered="1"/>
  <pageMargins left="0.19652777777777777" right="0.19652777777777777" top="0.6604166666666667" bottom="0.5118055555555555" header="0.2902777777777778" footer="0.5118055555555555"/>
  <pageSetup horizontalDpi="300" verticalDpi="300" orientation="landscape" paperSize="9" scale="58"/>
  <headerFooter alignWithMargins="0">
    <oddHeader>&amp;L&amp;"Times New Roman,Normál"13. melléklet a 24/2012.(VIII.31.) önkormányzati rendelethez
"14. melléklet a 17/2012.(V.31.) önkormányzati rendelethez"
"15. melléklet a 3/2012.(II.16.) önkormányzati rendelethez"</oddHeader>
  </headerFooter>
  <rowBreaks count="1" manualBreakCount="1">
    <brk id="49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E36"/>
  <sheetViews>
    <sheetView tabSelected="1" view="pageBreakPreview" zoomScaleSheetLayoutView="100" workbookViewId="0" topLeftCell="A16">
      <selection activeCell="D8" sqref="D8"/>
    </sheetView>
  </sheetViews>
  <sheetFormatPr defaultColWidth="9.00390625" defaultRowHeight="12.75"/>
  <cols>
    <col min="1" max="1" width="79.875" style="709" customWidth="1"/>
    <col min="2" max="4" width="13.25390625" style="709" customWidth="1"/>
    <col min="5" max="16384" width="9.125" style="709" customWidth="1"/>
  </cols>
  <sheetData>
    <row r="1" ht="12.75">
      <c r="A1" s="710"/>
    </row>
    <row r="2" spans="1:4" ht="11.25" customHeight="1">
      <c r="A2" s="711"/>
      <c r="B2" s="711"/>
      <c r="C2" s="711"/>
      <c r="D2" s="711"/>
    </row>
    <row r="3" spans="1:4" ht="12.75">
      <c r="A3" s="711" t="s">
        <v>653</v>
      </c>
      <c r="B3" s="711"/>
      <c r="C3" s="711"/>
      <c r="D3" s="711"/>
    </row>
    <row r="4" spans="1:4" ht="12.75" customHeight="1">
      <c r="A4" s="711" t="s">
        <v>654</v>
      </c>
      <c r="B4" s="711"/>
      <c r="C4" s="711"/>
      <c r="D4" s="711"/>
    </row>
    <row r="5" spans="1:4" ht="10.5" customHeight="1">
      <c r="A5" s="711"/>
      <c r="B5" s="711"/>
      <c r="C5" s="711"/>
      <c r="D5" s="711"/>
    </row>
    <row r="6" spans="1:4" ht="12.75">
      <c r="A6" s="711" t="s">
        <v>655</v>
      </c>
      <c r="B6" s="711"/>
      <c r="C6" s="711"/>
      <c r="D6" s="711"/>
    </row>
    <row r="7" spans="1:4" ht="12" customHeight="1">
      <c r="A7" s="712"/>
      <c r="B7" s="712"/>
      <c r="C7" s="712"/>
      <c r="D7" s="712"/>
    </row>
    <row r="8" spans="1:4" ht="13.5">
      <c r="A8" s="713" t="s">
        <v>219</v>
      </c>
      <c r="B8" s="714" t="s">
        <v>3</v>
      </c>
      <c r="C8" s="715" t="s">
        <v>4</v>
      </c>
      <c r="D8" s="716" t="s">
        <v>5</v>
      </c>
    </row>
    <row r="9" spans="1:4" ht="12.75">
      <c r="A9" s="717"/>
      <c r="B9" s="718"/>
      <c r="C9" s="719"/>
      <c r="D9" s="720"/>
    </row>
    <row r="10" spans="1:4" ht="12.75">
      <c r="A10" s="721" t="s">
        <v>656</v>
      </c>
      <c r="B10" s="722"/>
      <c r="C10" s="723"/>
      <c r="D10" s="724"/>
    </row>
    <row r="11" spans="1:4" ht="12.75">
      <c r="A11" s="721"/>
      <c r="B11" s="722"/>
      <c r="C11" s="723"/>
      <c r="D11" s="724"/>
    </row>
    <row r="12" spans="1:4" ht="12.75">
      <c r="A12" s="725" t="s">
        <v>657</v>
      </c>
      <c r="B12" s="726">
        <v>120000</v>
      </c>
      <c r="C12" s="727">
        <v>127503</v>
      </c>
      <c r="D12" s="728">
        <v>127503</v>
      </c>
    </row>
    <row r="13" spans="1:4" ht="12.75">
      <c r="A13" s="725" t="s">
        <v>658</v>
      </c>
      <c r="B13" s="726">
        <v>670</v>
      </c>
      <c r="C13" s="727">
        <v>670</v>
      </c>
      <c r="D13" s="728">
        <v>670</v>
      </c>
    </row>
    <row r="14" spans="1:4" ht="12.75">
      <c r="A14" s="725"/>
      <c r="B14" s="726"/>
      <c r="C14" s="727"/>
      <c r="D14" s="728"/>
    </row>
    <row r="15" spans="1:4" ht="12.75">
      <c r="A15" s="725" t="s">
        <v>659</v>
      </c>
      <c r="B15" s="726">
        <f>SUM(B16:B18)</f>
        <v>54057</v>
      </c>
      <c r="C15" s="727">
        <v>54057</v>
      </c>
      <c r="D15" s="728">
        <v>54057</v>
      </c>
    </row>
    <row r="16" spans="1:5" s="734" customFormat="1" ht="12.75">
      <c r="A16" s="729" t="s">
        <v>660</v>
      </c>
      <c r="B16" s="730">
        <v>34677</v>
      </c>
      <c r="C16" s="731">
        <v>34677</v>
      </c>
      <c r="D16" s="732">
        <v>34677</v>
      </c>
      <c r="E16" s="733"/>
    </row>
    <row r="17" spans="1:4" s="734" customFormat="1" ht="12.75">
      <c r="A17" s="729" t="s">
        <v>661</v>
      </c>
      <c r="B17" s="730">
        <v>9345</v>
      </c>
      <c r="C17" s="731">
        <v>9345</v>
      </c>
      <c r="D17" s="732">
        <v>9345</v>
      </c>
    </row>
    <row r="18" spans="1:4" s="734" customFormat="1" ht="12.75">
      <c r="A18" s="729" t="s">
        <v>662</v>
      </c>
      <c r="B18" s="730">
        <v>10035</v>
      </c>
      <c r="C18" s="731">
        <v>10035</v>
      </c>
      <c r="D18" s="732">
        <v>10035</v>
      </c>
    </row>
    <row r="19" spans="1:4" s="734" customFormat="1" ht="12.75">
      <c r="A19" s="729"/>
      <c r="B19" s="730"/>
      <c r="C19" s="731"/>
      <c r="D19" s="732"/>
    </row>
    <row r="20" spans="1:4" ht="12.75">
      <c r="A20" s="735" t="s">
        <v>663</v>
      </c>
      <c r="B20" s="736">
        <f>SUM(B12:B13,B15)</f>
        <v>174727</v>
      </c>
      <c r="C20" s="737">
        <f>SUM(C12:C13,C15)</f>
        <v>182230</v>
      </c>
      <c r="D20" s="738">
        <v>182230</v>
      </c>
    </row>
    <row r="21" spans="1:4" ht="12.75">
      <c r="A21" s="725"/>
      <c r="B21" s="739"/>
      <c r="C21" s="740"/>
      <c r="D21" s="741"/>
    </row>
    <row r="22" spans="1:4" ht="12.75" customHeight="1">
      <c r="A22" s="742" t="s">
        <v>664</v>
      </c>
      <c r="B22" s="743"/>
      <c r="C22" s="744"/>
      <c r="D22" s="745"/>
    </row>
    <row r="23" spans="1:4" ht="12.75" customHeight="1">
      <c r="A23" s="742"/>
      <c r="B23" s="743"/>
      <c r="C23" s="744"/>
      <c r="D23" s="745"/>
    </row>
    <row r="24" spans="1:4" s="734" customFormat="1" ht="15" customHeight="1">
      <c r="A24" s="746" t="s">
        <v>665</v>
      </c>
      <c r="B24" s="747">
        <v>7746</v>
      </c>
      <c r="C24" s="748">
        <v>7746</v>
      </c>
      <c r="D24" s="749">
        <v>7746</v>
      </c>
    </row>
    <row r="25" spans="1:4" s="734" customFormat="1" ht="15" customHeight="1">
      <c r="A25" s="746" t="s">
        <v>666</v>
      </c>
      <c r="B25" s="747">
        <v>656</v>
      </c>
      <c r="C25" s="748">
        <v>656</v>
      </c>
      <c r="D25" s="749">
        <v>656</v>
      </c>
    </row>
    <row r="26" spans="1:4" ht="12.75">
      <c r="A26" s="725" t="s">
        <v>667</v>
      </c>
      <c r="B26" s="726">
        <v>134015</v>
      </c>
      <c r="C26" s="727">
        <v>134015</v>
      </c>
      <c r="D26" s="728">
        <v>134015</v>
      </c>
    </row>
    <row r="27" spans="1:4" ht="12.75">
      <c r="A27" s="725"/>
      <c r="B27" s="726"/>
      <c r="C27" s="727"/>
      <c r="D27" s="728"/>
    </row>
    <row r="28" spans="1:4" ht="12.75">
      <c r="A28" s="735" t="s">
        <v>668</v>
      </c>
      <c r="B28" s="726"/>
      <c r="C28" s="727"/>
      <c r="D28" s="728"/>
    </row>
    <row r="29" spans="1:4" ht="12.75">
      <c r="A29" s="725" t="s">
        <v>669</v>
      </c>
      <c r="B29" s="726"/>
      <c r="C29" s="727"/>
      <c r="D29" s="728">
        <v>4699</v>
      </c>
    </row>
    <row r="30" spans="1:4" ht="12.75">
      <c r="A30" s="725" t="s">
        <v>670</v>
      </c>
      <c r="B30" s="726"/>
      <c r="C30" s="727"/>
      <c r="D30" s="728">
        <v>953</v>
      </c>
    </row>
    <row r="31" spans="1:4" ht="12.75">
      <c r="A31" s="725" t="s">
        <v>671</v>
      </c>
      <c r="B31" s="726"/>
      <c r="C31" s="727"/>
      <c r="D31" s="728">
        <v>264</v>
      </c>
    </row>
    <row r="32" spans="1:4" ht="12.75">
      <c r="A32" s="725" t="s">
        <v>585</v>
      </c>
      <c r="B32" s="726">
        <v>32310</v>
      </c>
      <c r="C32" s="727">
        <v>32310</v>
      </c>
      <c r="D32" s="728">
        <v>32310</v>
      </c>
    </row>
    <row r="33" spans="1:4" ht="12.75">
      <c r="A33" s="735"/>
      <c r="B33" s="736"/>
      <c r="C33" s="737"/>
      <c r="D33" s="738"/>
    </row>
    <row r="34" spans="1:4" ht="12.75">
      <c r="A34" s="735" t="s">
        <v>672</v>
      </c>
      <c r="B34" s="736">
        <f>SUM(B24:B32)</f>
        <v>174727</v>
      </c>
      <c r="C34" s="737">
        <f>SUM(C24:C32)</f>
        <v>174727</v>
      </c>
      <c r="D34" s="738">
        <f>SUM(D24:D33)</f>
        <v>180643</v>
      </c>
    </row>
    <row r="35" spans="1:4" ht="12.75">
      <c r="A35" s="725"/>
      <c r="B35" s="739"/>
      <c r="C35" s="740"/>
      <c r="D35" s="741"/>
    </row>
    <row r="36" spans="1:4" ht="13.5">
      <c r="A36" s="750" t="s">
        <v>673</v>
      </c>
      <c r="B36" s="751">
        <f>B20-B34</f>
        <v>0</v>
      </c>
      <c r="C36" s="752">
        <f>C20-C34</f>
        <v>7503</v>
      </c>
      <c r="D36" s="753">
        <f>D20-D34</f>
        <v>1587</v>
      </c>
    </row>
  </sheetData>
  <sheetProtection selectLockedCells="1" selectUnlockedCells="1"/>
  <mergeCells count="4">
    <mergeCell ref="A2:D2"/>
    <mergeCell ref="A3:D3"/>
    <mergeCell ref="A4:D4"/>
    <mergeCell ref="A6:D6"/>
  </mergeCells>
  <printOptions horizontalCentered="1"/>
  <pageMargins left="0.3798611111111111" right="0.19652777777777777" top="1.0097222222222222" bottom="0.2361111111111111" header="0.5118055555555555" footer="0.5118055555555555"/>
  <pageSetup horizontalDpi="300" verticalDpi="300" orientation="portrait" paperSize="9" scale="78"/>
  <headerFooter alignWithMargins="0">
    <oddHeader>&amp;L14. melléklet a 24/2012.(VIII.31.) önkormányzati rendelethez
"15. melléklet a 7/2012.(V.31.) önkormányzati rendelethez"
"18. melléklet a 3/2012.(II.16) önkormányzati rendelethez"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6"/>
  <sheetViews>
    <sheetView view="pageBreakPreview" zoomScaleSheetLayoutView="100" workbookViewId="0" topLeftCell="B34">
      <selection activeCell="D38" sqref="D38"/>
    </sheetView>
  </sheetViews>
  <sheetFormatPr defaultColWidth="9.00390625" defaultRowHeight="12" customHeight="1"/>
  <cols>
    <col min="1" max="1" width="51.375" style="88" customWidth="1"/>
    <col min="2" max="2" width="11.75390625" style="88" customWidth="1"/>
    <col min="3" max="3" width="12.625" style="88" customWidth="1"/>
    <col min="4" max="4" width="16.00390625" style="88" customWidth="1"/>
    <col min="5" max="5" width="50.875" style="88" customWidth="1"/>
    <col min="6" max="6" width="11.125" style="88" customWidth="1"/>
    <col min="7" max="7" width="12.125" style="88" customWidth="1"/>
    <col min="8" max="8" width="15.625" style="88" customWidth="1"/>
    <col min="9" max="16384" width="9.125" style="88" customWidth="1"/>
  </cols>
  <sheetData>
    <row r="1" spans="1:5" ht="12.75">
      <c r="A1" s="89"/>
      <c r="B1" s="90"/>
      <c r="C1" s="90"/>
      <c r="D1" s="90"/>
      <c r="E1" s="91"/>
    </row>
    <row r="3" spans="1:8" s="93" customFormat="1" ht="15">
      <c r="A3" s="92" t="s">
        <v>79</v>
      </c>
      <c r="B3" s="92"/>
      <c r="C3" s="92"/>
      <c r="D3" s="92"/>
      <c r="E3" s="92"/>
      <c r="F3" s="92"/>
      <c r="G3" s="92"/>
      <c r="H3" s="92"/>
    </row>
    <row r="4" spans="1:5" ht="9.75" customHeight="1">
      <c r="A4" s="94"/>
      <c r="B4" s="94"/>
      <c r="C4" s="94"/>
      <c r="D4" s="94"/>
      <c r="E4" s="94"/>
    </row>
    <row r="5" spans="1:8" ht="14.25" customHeight="1">
      <c r="A5" s="95" t="s">
        <v>1</v>
      </c>
      <c r="B5" s="95"/>
      <c r="C5" s="95"/>
      <c r="D5" s="95"/>
      <c r="E5" s="95" t="s">
        <v>2</v>
      </c>
      <c r="F5" s="95"/>
      <c r="G5" s="95"/>
      <c r="H5" s="95"/>
    </row>
    <row r="6" spans="1:8" ht="21" customHeight="1">
      <c r="A6" s="96"/>
      <c r="B6" s="97" t="s">
        <v>3</v>
      </c>
      <c r="C6" s="97" t="s">
        <v>4</v>
      </c>
      <c r="D6" s="98" t="s">
        <v>5</v>
      </c>
      <c r="E6" s="96"/>
      <c r="F6" s="97" t="s">
        <v>3</v>
      </c>
      <c r="G6" s="97" t="s">
        <v>4</v>
      </c>
      <c r="H6" s="99" t="s">
        <v>5</v>
      </c>
    </row>
    <row r="7" spans="1:8" ht="15">
      <c r="A7" s="100" t="s">
        <v>80</v>
      </c>
      <c r="B7" s="101">
        <v>9000</v>
      </c>
      <c r="C7" s="101">
        <v>9000</v>
      </c>
      <c r="D7" s="101">
        <v>9000</v>
      </c>
      <c r="E7" s="102" t="s">
        <v>81</v>
      </c>
      <c r="F7" s="103">
        <v>1689559</v>
      </c>
      <c r="G7" s="103">
        <v>1737093</v>
      </c>
      <c r="H7" s="103">
        <v>1484823</v>
      </c>
    </row>
    <row r="8" spans="1:8" ht="15">
      <c r="A8" s="100" t="s">
        <v>82</v>
      </c>
      <c r="B8" s="101">
        <v>251021</v>
      </c>
      <c r="C8" s="101">
        <v>250902</v>
      </c>
      <c r="D8" s="101">
        <v>257888</v>
      </c>
      <c r="E8" s="104" t="s">
        <v>83</v>
      </c>
      <c r="F8" s="105">
        <v>459656</v>
      </c>
      <c r="G8" s="105">
        <v>472448</v>
      </c>
      <c r="H8" s="105">
        <v>398759</v>
      </c>
    </row>
    <row r="9" spans="1:8" ht="15">
      <c r="A9" s="106" t="s">
        <v>84</v>
      </c>
      <c r="B9" s="107">
        <v>1883807</v>
      </c>
      <c r="C9" s="107">
        <v>1883807</v>
      </c>
      <c r="D9" s="107">
        <v>1883807</v>
      </c>
      <c r="E9" s="108" t="s">
        <v>85</v>
      </c>
      <c r="F9" s="105">
        <v>1340843</v>
      </c>
      <c r="G9" s="105">
        <v>1403614</v>
      </c>
      <c r="H9" s="105">
        <v>1305862</v>
      </c>
    </row>
    <row r="10" spans="1:8" ht="15">
      <c r="A10" s="106" t="s">
        <v>86</v>
      </c>
      <c r="B10" s="107">
        <v>975132</v>
      </c>
      <c r="C10" s="107">
        <v>1003197</v>
      </c>
      <c r="D10" s="107">
        <v>1011277</v>
      </c>
      <c r="E10" s="104" t="s">
        <v>87</v>
      </c>
      <c r="F10" s="105">
        <v>346470</v>
      </c>
      <c r="G10" s="105">
        <v>340020</v>
      </c>
      <c r="H10" s="105">
        <v>380849</v>
      </c>
    </row>
    <row r="11" spans="1:8" ht="15">
      <c r="A11" s="106" t="s">
        <v>88</v>
      </c>
      <c r="B11" s="107">
        <v>932618</v>
      </c>
      <c r="C11" s="107">
        <v>935143</v>
      </c>
      <c r="D11" s="107">
        <v>458853</v>
      </c>
      <c r="E11" s="104" t="s">
        <v>89</v>
      </c>
      <c r="F11" s="105">
        <v>201850</v>
      </c>
      <c r="G11" s="105">
        <v>201850</v>
      </c>
      <c r="H11" s="105">
        <v>202076</v>
      </c>
    </row>
    <row r="12" spans="1:8" ht="15">
      <c r="A12" s="106" t="s">
        <v>90</v>
      </c>
      <c r="B12" s="107">
        <v>80700</v>
      </c>
      <c r="C12" s="107">
        <v>82700</v>
      </c>
      <c r="D12" s="107">
        <v>124316</v>
      </c>
      <c r="E12" s="104" t="s">
        <v>26</v>
      </c>
      <c r="F12" s="105">
        <v>9420</v>
      </c>
      <c r="G12" s="105">
        <v>9420</v>
      </c>
      <c r="H12" s="105">
        <v>9420</v>
      </c>
    </row>
    <row r="13" spans="1:8" ht="15">
      <c r="A13" s="109"/>
      <c r="B13" s="110"/>
      <c r="C13" s="110"/>
      <c r="D13" s="110"/>
      <c r="E13" s="104" t="s">
        <v>39</v>
      </c>
      <c r="F13" s="105">
        <v>13000</v>
      </c>
      <c r="G13" s="105">
        <v>9575</v>
      </c>
      <c r="H13" s="105">
        <v>4357</v>
      </c>
    </row>
    <row r="14" spans="1:8" ht="15">
      <c r="A14" s="106" t="s">
        <v>91</v>
      </c>
      <c r="B14" s="107"/>
      <c r="C14" s="107">
        <v>123334</v>
      </c>
      <c r="D14" s="107">
        <v>123334</v>
      </c>
      <c r="E14" s="111" t="s">
        <v>92</v>
      </c>
      <c r="F14" s="105">
        <v>136000</v>
      </c>
      <c r="G14" s="105">
        <v>102600</v>
      </c>
      <c r="H14" s="105">
        <v>20745</v>
      </c>
    </row>
    <row r="15" spans="1:8" ht="15">
      <c r="A15" s="112"/>
      <c r="B15" s="112"/>
      <c r="C15" s="112"/>
      <c r="D15" s="112"/>
      <c r="E15" s="113" t="s">
        <v>93</v>
      </c>
      <c r="F15" s="105">
        <f>SUM(F16:F17)</f>
        <v>23408</v>
      </c>
      <c r="G15" s="105">
        <f>SUM(G16:G17)</f>
        <v>23408</v>
      </c>
      <c r="H15" s="105">
        <f>SUM(H16:H17)</f>
        <v>23408</v>
      </c>
    </row>
    <row r="16" spans="1:8" ht="15">
      <c r="A16" s="106"/>
      <c r="B16" s="110"/>
      <c r="C16" s="110"/>
      <c r="D16" s="110"/>
      <c r="E16" s="114" t="s">
        <v>94</v>
      </c>
      <c r="F16" s="115">
        <v>22200</v>
      </c>
      <c r="G16" s="115">
        <v>22200</v>
      </c>
      <c r="H16" s="115">
        <v>22200</v>
      </c>
    </row>
    <row r="17" spans="1:8" ht="15">
      <c r="A17" s="106"/>
      <c r="B17" s="110"/>
      <c r="C17" s="110"/>
      <c r="D17" s="110"/>
      <c r="E17" s="114" t="s">
        <v>95</v>
      </c>
      <c r="F17" s="115">
        <v>1208</v>
      </c>
      <c r="G17" s="115">
        <v>1208</v>
      </c>
      <c r="H17" s="115">
        <v>1208</v>
      </c>
    </row>
    <row r="18" spans="1:8" ht="15">
      <c r="A18" s="112"/>
      <c r="B18" s="112"/>
      <c r="C18" s="112"/>
      <c r="D18" s="112"/>
      <c r="E18" s="104" t="s">
        <v>96</v>
      </c>
      <c r="F18" s="105">
        <f>SUM(F19:F19)</f>
        <v>2500</v>
      </c>
      <c r="G18" s="105">
        <f>SUM(G19:G19)</f>
        <v>2500</v>
      </c>
      <c r="H18" s="105">
        <v>61357</v>
      </c>
    </row>
    <row r="19" spans="1:8" ht="15">
      <c r="A19" s="106"/>
      <c r="B19" s="110"/>
      <c r="C19" s="110"/>
      <c r="D19" s="110"/>
      <c r="E19" s="116" t="s">
        <v>97</v>
      </c>
      <c r="F19" s="115">
        <v>2500</v>
      </c>
      <c r="G19" s="115">
        <v>2500</v>
      </c>
      <c r="H19" s="115">
        <v>2500</v>
      </c>
    </row>
    <row r="20" spans="1:8" ht="15">
      <c r="A20" s="106"/>
      <c r="B20" s="110"/>
      <c r="C20" s="115"/>
      <c r="D20" s="115"/>
      <c r="E20" s="117" t="s">
        <v>98</v>
      </c>
      <c r="F20" s="107"/>
      <c r="G20" s="105">
        <v>2000</v>
      </c>
      <c r="H20" s="105">
        <v>2000</v>
      </c>
    </row>
    <row r="21" spans="1:8" ht="15">
      <c r="A21" s="106"/>
      <c r="B21" s="110"/>
      <c r="C21" s="118"/>
      <c r="D21" s="110"/>
      <c r="E21" s="117" t="s">
        <v>99</v>
      </c>
      <c r="F21" s="107"/>
      <c r="G21" s="105">
        <v>15241</v>
      </c>
      <c r="H21" s="105">
        <v>15241</v>
      </c>
    </row>
    <row r="22" spans="1:8" ht="15">
      <c r="A22" s="119"/>
      <c r="B22" s="120"/>
      <c r="C22" s="121"/>
      <c r="D22" s="122"/>
      <c r="E22" s="123" t="s">
        <v>100</v>
      </c>
      <c r="F22" s="124"/>
      <c r="G22" s="125"/>
      <c r="H22" s="125">
        <v>3000</v>
      </c>
    </row>
    <row r="23" spans="1:8" ht="15">
      <c r="A23" s="119"/>
      <c r="B23" s="120"/>
      <c r="C23" s="121"/>
      <c r="D23" s="122"/>
      <c r="E23" s="123" t="s">
        <v>101</v>
      </c>
      <c r="F23" s="124"/>
      <c r="G23" s="125"/>
      <c r="H23" s="125">
        <v>38616</v>
      </c>
    </row>
    <row r="24" spans="1:8" ht="15.75">
      <c r="A24" s="126"/>
      <c r="B24" s="120"/>
      <c r="C24" s="127"/>
      <c r="D24" s="128"/>
      <c r="E24" s="129" t="s">
        <v>102</v>
      </c>
      <c r="F24" s="130"/>
      <c r="G24" s="131">
        <v>123538</v>
      </c>
      <c r="H24" s="131">
        <v>123538</v>
      </c>
    </row>
    <row r="25" spans="1:9" s="137" customFormat="1" ht="15">
      <c r="A25" s="132" t="s">
        <v>66</v>
      </c>
      <c r="B25" s="133">
        <f>SUM(B7:B12)</f>
        <v>4132278</v>
      </c>
      <c r="C25" s="134">
        <f>SUM(C7:C14)</f>
        <v>4288083</v>
      </c>
      <c r="D25" s="134">
        <f>SUM(D7:D14)</f>
        <v>3868475</v>
      </c>
      <c r="E25" s="135" t="s">
        <v>67</v>
      </c>
      <c r="F25" s="133">
        <f>SUM(F7:F15,F18)</f>
        <v>4222706</v>
      </c>
      <c r="G25" s="133">
        <f>SUM(G7,G8,G9,G10,G11,G12,G13,G14,G15,G18,G24)</f>
        <v>4426066</v>
      </c>
      <c r="H25" s="133">
        <f>SUM(H7:H15,H18,H24)</f>
        <v>4015194</v>
      </c>
      <c r="I25" s="136"/>
    </row>
    <row r="26" spans="1:9" s="137" customFormat="1" ht="14.25">
      <c r="A26" s="138" t="s">
        <v>103</v>
      </c>
      <c r="B26" s="139"/>
      <c r="C26" s="139"/>
      <c r="D26" s="139"/>
      <c r="E26" s="138"/>
      <c r="F26" s="139"/>
      <c r="G26" s="139"/>
      <c r="H26" s="139"/>
      <c r="I26" s="136"/>
    </row>
    <row r="27" spans="1:9" s="137" customFormat="1" ht="14.25">
      <c r="A27" s="140" t="s">
        <v>104</v>
      </c>
      <c r="B27" s="141"/>
      <c r="C27" s="141"/>
      <c r="D27" s="141"/>
      <c r="E27" s="140"/>
      <c r="F27" s="141"/>
      <c r="G27" s="141"/>
      <c r="H27" s="141"/>
      <c r="I27" s="136"/>
    </row>
    <row r="28" spans="1:9" s="137" customFormat="1" ht="15">
      <c r="A28" s="106" t="s">
        <v>105</v>
      </c>
      <c r="B28" s="107">
        <v>90428</v>
      </c>
      <c r="C28" s="141">
        <v>222981</v>
      </c>
      <c r="D28" s="141">
        <v>222981</v>
      </c>
      <c r="E28" s="140"/>
      <c r="F28" s="141"/>
      <c r="G28" s="141"/>
      <c r="H28" s="141"/>
      <c r="I28" s="136"/>
    </row>
    <row r="29" spans="1:9" s="137" customFormat="1" ht="30.75">
      <c r="A29" s="142" t="s">
        <v>106</v>
      </c>
      <c r="B29" s="107"/>
      <c r="C29" s="107"/>
      <c r="D29" s="107"/>
      <c r="E29" s="140"/>
      <c r="F29" s="141"/>
      <c r="G29" s="141"/>
      <c r="H29" s="141"/>
      <c r="I29" s="136"/>
    </row>
    <row r="30" spans="1:9" s="137" customFormat="1" ht="15">
      <c r="A30" s="143" t="s">
        <v>107</v>
      </c>
      <c r="B30" s="144">
        <f>SUM(B25,B28)</f>
        <v>4222706</v>
      </c>
      <c r="C30" s="144">
        <f>SUM(C25,C28)</f>
        <v>4511064</v>
      </c>
      <c r="D30" s="144">
        <f>SUM(D25,D28)</f>
        <v>4091456</v>
      </c>
      <c r="E30" s="143" t="s">
        <v>107</v>
      </c>
      <c r="F30" s="133">
        <f>SUM(F25)</f>
        <v>4222706</v>
      </c>
      <c r="G30" s="133">
        <f>SUM(G25)</f>
        <v>4426066</v>
      </c>
      <c r="H30" s="133">
        <f>SUM(H25)</f>
        <v>4015194</v>
      </c>
      <c r="I30" s="145">
        <f>B30-H30</f>
        <v>207512</v>
      </c>
    </row>
    <row r="31" spans="1:8" s="137" customFormat="1" ht="15">
      <c r="A31" s="146"/>
      <c r="B31" s="146"/>
      <c r="C31" s="146"/>
      <c r="D31" s="146"/>
      <c r="E31" s="146"/>
      <c r="F31" s="147"/>
      <c r="G31" s="147"/>
      <c r="H31" s="147"/>
    </row>
    <row r="32" spans="1:8" s="137" customFormat="1" ht="15">
      <c r="A32" s="146"/>
      <c r="B32" s="146"/>
      <c r="C32" s="146"/>
      <c r="D32" s="146"/>
      <c r="E32" s="94"/>
      <c r="F32" s="147"/>
      <c r="G32" s="147"/>
      <c r="H32" s="147"/>
    </row>
    <row r="33" spans="1:8" ht="15">
      <c r="A33" s="89"/>
      <c r="B33" s="148"/>
      <c r="C33" s="148"/>
      <c r="D33" s="148"/>
      <c r="F33" s="149"/>
      <c r="G33" s="149"/>
      <c r="H33" s="149"/>
    </row>
    <row r="34" spans="1:5" ht="13.5" customHeight="1">
      <c r="A34" s="94"/>
      <c r="B34" s="94"/>
      <c r="C34" s="94"/>
      <c r="D34" s="94"/>
      <c r="E34" s="150"/>
    </row>
    <row r="35" spans="1:8" s="93" customFormat="1" ht="15">
      <c r="A35" s="92" t="s">
        <v>108</v>
      </c>
      <c r="B35" s="92"/>
      <c r="C35" s="92"/>
      <c r="D35" s="92"/>
      <c r="E35" s="92"/>
      <c r="F35" s="92"/>
      <c r="G35" s="92"/>
      <c r="H35" s="92"/>
    </row>
    <row r="36" spans="1:5" ht="14.25" customHeight="1">
      <c r="A36" s="94"/>
      <c r="B36" s="94"/>
      <c r="C36" s="94"/>
      <c r="D36" s="94"/>
      <c r="E36" s="151"/>
    </row>
    <row r="37" spans="1:8" s="93" customFormat="1" ht="14.25">
      <c r="A37" s="95" t="s">
        <v>1</v>
      </c>
      <c r="B37" s="95"/>
      <c r="C37" s="95"/>
      <c r="D37" s="95"/>
      <c r="E37" s="95" t="s">
        <v>2</v>
      </c>
      <c r="F37" s="95"/>
      <c r="G37" s="95"/>
      <c r="H37" s="95"/>
    </row>
    <row r="38" spans="1:8" s="93" customFormat="1" ht="15">
      <c r="A38" s="152"/>
      <c r="B38" s="153" t="s">
        <v>3</v>
      </c>
      <c r="C38" s="154" t="s">
        <v>4</v>
      </c>
      <c r="D38" s="99" t="s">
        <v>5</v>
      </c>
      <c r="E38" s="155"/>
      <c r="F38" s="97" t="s">
        <v>6</v>
      </c>
      <c r="G38" s="97" t="s">
        <v>109</v>
      </c>
      <c r="H38" s="99" t="s">
        <v>5</v>
      </c>
    </row>
    <row r="39" spans="1:8" s="93" customFormat="1" ht="15">
      <c r="A39" s="100" t="s">
        <v>36</v>
      </c>
      <c r="B39" s="101">
        <v>355182</v>
      </c>
      <c r="C39" s="101">
        <v>355182</v>
      </c>
      <c r="D39" s="101">
        <v>399731</v>
      </c>
      <c r="E39" s="100" t="s">
        <v>110</v>
      </c>
      <c r="F39" s="101">
        <v>1540001</v>
      </c>
      <c r="G39" s="101">
        <v>1656297</v>
      </c>
      <c r="H39" s="101">
        <f>1667316+9762</f>
        <v>1677078</v>
      </c>
    </row>
    <row r="40" spans="1:8" s="93" customFormat="1" ht="15">
      <c r="A40" s="106" t="s">
        <v>111</v>
      </c>
      <c r="B40" s="107">
        <v>33113</v>
      </c>
      <c r="C40" s="107">
        <v>33113</v>
      </c>
      <c r="D40" s="107">
        <v>33113</v>
      </c>
      <c r="E40" s="106" t="s">
        <v>112</v>
      </c>
      <c r="F40" s="107">
        <v>32851</v>
      </c>
      <c r="G40" s="107">
        <v>37192</v>
      </c>
      <c r="H40" s="107">
        <v>67152</v>
      </c>
    </row>
    <row r="41" spans="1:8" ht="15">
      <c r="A41" s="100" t="s">
        <v>113</v>
      </c>
      <c r="B41" s="101">
        <v>1103231</v>
      </c>
      <c r="C41" s="101">
        <v>1103731</v>
      </c>
      <c r="D41" s="101">
        <v>1108134</v>
      </c>
      <c r="E41" s="156" t="s">
        <v>114</v>
      </c>
      <c r="F41" s="107">
        <v>42352</v>
      </c>
      <c r="G41" s="107">
        <v>42406</v>
      </c>
      <c r="H41" s="107">
        <v>63206</v>
      </c>
    </row>
    <row r="42" spans="1:8" ht="15">
      <c r="A42" s="100" t="s">
        <v>115</v>
      </c>
      <c r="B42" s="101"/>
      <c r="C42" s="101">
        <v>54</v>
      </c>
      <c r="D42" s="101">
        <v>54</v>
      </c>
      <c r="E42" s="156"/>
      <c r="F42" s="107"/>
      <c r="G42" s="107"/>
      <c r="H42" s="107"/>
    </row>
    <row r="43" spans="1:8" ht="30">
      <c r="A43" s="142" t="s">
        <v>116</v>
      </c>
      <c r="B43" s="107">
        <v>1588643</v>
      </c>
      <c r="C43" s="107">
        <v>1349781</v>
      </c>
      <c r="D43" s="107">
        <v>1349781</v>
      </c>
      <c r="E43" s="106" t="s">
        <v>49</v>
      </c>
      <c r="F43" s="107">
        <v>2643506</v>
      </c>
      <c r="G43" s="107">
        <v>2307338</v>
      </c>
      <c r="H43" s="107">
        <v>2298543</v>
      </c>
    </row>
    <row r="44" spans="1:8" ht="15">
      <c r="A44" s="157" t="s">
        <v>117</v>
      </c>
      <c r="B44" s="107">
        <v>11200</v>
      </c>
      <c r="C44" s="107">
        <v>11200</v>
      </c>
      <c r="D44" s="107">
        <v>11200</v>
      </c>
      <c r="E44" s="106" t="s">
        <v>118</v>
      </c>
      <c r="F44" s="107">
        <v>347</v>
      </c>
      <c r="G44" s="107">
        <v>347</v>
      </c>
      <c r="H44" s="107">
        <v>347</v>
      </c>
    </row>
    <row r="45" spans="1:8" ht="15">
      <c r="A45" s="106" t="s">
        <v>119</v>
      </c>
      <c r="B45" s="107">
        <f>SUM(B46:B47)</f>
        <v>6000</v>
      </c>
      <c r="C45" s="107">
        <f>SUM(C46:C47)</f>
        <v>6000</v>
      </c>
      <c r="D45" s="107">
        <v>6000</v>
      </c>
      <c r="E45" s="106" t="s">
        <v>120</v>
      </c>
      <c r="F45" s="107">
        <f>SUM(F46:F47)</f>
        <v>3000</v>
      </c>
      <c r="G45" s="107">
        <f>SUM(G46:G47)</f>
        <v>3000</v>
      </c>
      <c r="H45" s="107">
        <f>SUM(H46:H47)</f>
        <v>3000</v>
      </c>
    </row>
    <row r="46" spans="1:8" ht="15">
      <c r="A46" s="109" t="s">
        <v>121</v>
      </c>
      <c r="B46" s="110">
        <v>4500</v>
      </c>
      <c r="C46" s="110">
        <v>4500</v>
      </c>
      <c r="D46" s="110">
        <v>4500</v>
      </c>
      <c r="E46" s="109" t="s">
        <v>122</v>
      </c>
      <c r="F46" s="110">
        <v>1500</v>
      </c>
      <c r="G46" s="110">
        <v>1500</v>
      </c>
      <c r="H46" s="110">
        <v>1500</v>
      </c>
    </row>
    <row r="47" spans="1:8" ht="15">
      <c r="A47" s="109" t="s">
        <v>123</v>
      </c>
      <c r="B47" s="110">
        <v>1500</v>
      </c>
      <c r="C47" s="110">
        <v>1500</v>
      </c>
      <c r="D47" s="110">
        <v>1500</v>
      </c>
      <c r="E47" s="109" t="s">
        <v>124</v>
      </c>
      <c r="F47" s="110">
        <v>1500</v>
      </c>
      <c r="G47" s="110">
        <v>1500</v>
      </c>
      <c r="H47" s="110">
        <v>1500</v>
      </c>
    </row>
    <row r="48" spans="1:8" ht="15">
      <c r="A48" s="106" t="s">
        <v>125</v>
      </c>
      <c r="B48" s="107">
        <f>B49+B50</f>
        <v>156105</v>
      </c>
      <c r="C48" s="107">
        <f>C49+C50</f>
        <v>156105</v>
      </c>
      <c r="D48" s="107">
        <f>D49+D50</f>
        <v>156105</v>
      </c>
      <c r="E48" s="106" t="s">
        <v>126</v>
      </c>
      <c r="F48" s="107">
        <f>31412+13000</f>
        <v>44412</v>
      </c>
      <c r="G48" s="107">
        <v>20164</v>
      </c>
      <c r="H48" s="107">
        <f>15842-9762</f>
        <v>6080</v>
      </c>
    </row>
    <row r="49" spans="1:8" ht="15">
      <c r="A49" s="109" t="s">
        <v>127</v>
      </c>
      <c r="B49" s="110">
        <v>75000</v>
      </c>
      <c r="C49" s="110">
        <v>75000</v>
      </c>
      <c r="D49" s="110">
        <v>75000</v>
      </c>
      <c r="E49" s="106" t="s">
        <v>128</v>
      </c>
      <c r="F49" s="107">
        <v>14173</v>
      </c>
      <c r="G49" s="107">
        <v>14173</v>
      </c>
      <c r="H49" s="107">
        <v>14173</v>
      </c>
    </row>
    <row r="50" spans="1:8" ht="15">
      <c r="A50" s="109" t="s">
        <v>129</v>
      </c>
      <c r="B50" s="110">
        <v>81105</v>
      </c>
      <c r="C50" s="110">
        <v>81105</v>
      </c>
      <c r="D50" s="110">
        <v>81105</v>
      </c>
      <c r="E50" s="106" t="s">
        <v>130</v>
      </c>
      <c r="F50" s="107">
        <v>37822</v>
      </c>
      <c r="G50" s="107">
        <v>37822</v>
      </c>
      <c r="H50" s="107">
        <v>37822</v>
      </c>
    </row>
    <row r="51" spans="1:8" ht="15">
      <c r="A51" s="158" t="s">
        <v>131</v>
      </c>
      <c r="B51" s="124">
        <v>12500</v>
      </c>
      <c r="C51" s="124">
        <v>12500</v>
      </c>
      <c r="D51" s="124">
        <v>12500</v>
      </c>
      <c r="E51" s="106" t="s">
        <v>132</v>
      </c>
      <c r="F51" s="107">
        <v>57068</v>
      </c>
      <c r="G51" s="107">
        <v>57068</v>
      </c>
      <c r="H51" s="107">
        <v>57068</v>
      </c>
    </row>
    <row r="52" spans="1:9" ht="15">
      <c r="A52" s="112"/>
      <c r="B52" s="159"/>
      <c r="C52" s="160"/>
      <c r="D52" s="160"/>
      <c r="E52" s="158" t="s">
        <v>51</v>
      </c>
      <c r="F52" s="124">
        <f>SUM(F53:F54)</f>
        <v>4284</v>
      </c>
      <c r="G52" s="124">
        <f>SUM(G53:G54)</f>
        <v>4284</v>
      </c>
      <c r="H52" s="124">
        <f>SUM(H53:H54)</f>
        <v>4284</v>
      </c>
      <c r="I52" s="161"/>
    </row>
    <row r="53" spans="1:8" ht="15">
      <c r="A53" s="140" t="s">
        <v>91</v>
      </c>
      <c r="B53" s="162"/>
      <c r="C53" s="163">
        <v>327969</v>
      </c>
      <c r="D53" s="163">
        <v>327969</v>
      </c>
      <c r="E53" s="164" t="s">
        <v>133</v>
      </c>
      <c r="F53" s="122">
        <v>1123</v>
      </c>
      <c r="G53" s="122">
        <v>1123</v>
      </c>
      <c r="H53" s="122">
        <v>1123</v>
      </c>
    </row>
    <row r="54" spans="1:8" ht="15">
      <c r="A54" s="112"/>
      <c r="B54" s="159"/>
      <c r="C54" s="159"/>
      <c r="D54" s="159"/>
      <c r="E54" s="164" t="s">
        <v>134</v>
      </c>
      <c r="F54" s="122">
        <v>3161</v>
      </c>
      <c r="G54" s="122">
        <v>3161</v>
      </c>
      <c r="H54" s="122">
        <v>3161</v>
      </c>
    </row>
    <row r="55" spans="1:8" ht="15">
      <c r="A55" s="109"/>
      <c r="B55" s="105"/>
      <c r="C55" s="105"/>
      <c r="D55" s="105"/>
      <c r="E55" s="165" t="s">
        <v>135</v>
      </c>
      <c r="F55" s="107">
        <v>67006</v>
      </c>
      <c r="G55" s="107">
        <v>67006</v>
      </c>
      <c r="H55" s="105">
        <v>67006</v>
      </c>
    </row>
    <row r="56" spans="1:8" ht="15.75">
      <c r="A56" s="166"/>
      <c r="B56" s="167"/>
      <c r="C56" s="168"/>
      <c r="D56" s="168"/>
      <c r="E56" s="157" t="s">
        <v>136</v>
      </c>
      <c r="F56" s="167"/>
      <c r="G56" s="169">
        <v>327969</v>
      </c>
      <c r="H56" s="169">
        <v>327969</v>
      </c>
    </row>
    <row r="57" spans="1:10" ht="15">
      <c r="A57" s="132" t="s">
        <v>66</v>
      </c>
      <c r="B57" s="133">
        <f>SUM(B39:B45,B48,B51)</f>
        <v>3265974</v>
      </c>
      <c r="C57" s="133">
        <f>SUM(C39:C45,C48,C51,C53)</f>
        <v>3355635</v>
      </c>
      <c r="D57" s="133">
        <f>SUM(D39:D45,D48,D51,D53)</f>
        <v>3404587</v>
      </c>
      <c r="E57" s="132" t="s">
        <v>67</v>
      </c>
      <c r="F57" s="133">
        <f>F39+F40+F41+F43+F44+F45+F48+F50+F51+F52+F55+F49</f>
        <v>4486822</v>
      </c>
      <c r="G57" s="133">
        <f>SUM(G39:G45,G48:G52,G55:G56)</f>
        <v>4575066</v>
      </c>
      <c r="H57" s="133">
        <f>SUM(H39:H45,H48:H52,H55:H56)</f>
        <v>4623728</v>
      </c>
      <c r="I57" s="161"/>
      <c r="J57" s="161"/>
    </row>
    <row r="58" spans="1:8" ht="14.25">
      <c r="A58" s="170" t="s">
        <v>137</v>
      </c>
      <c r="B58" s="171"/>
      <c r="C58" s="171"/>
      <c r="D58" s="171"/>
      <c r="E58" s="172"/>
      <c r="F58" s="172"/>
      <c r="G58" s="172"/>
      <c r="H58" s="172"/>
    </row>
    <row r="59" spans="1:8" ht="14.25">
      <c r="A59" s="140" t="s">
        <v>104</v>
      </c>
      <c r="B59" s="171"/>
      <c r="C59" s="171"/>
      <c r="D59" s="171"/>
      <c r="E59" s="172"/>
      <c r="F59" s="172"/>
      <c r="G59" s="172"/>
      <c r="H59" s="172"/>
    </row>
    <row r="60" spans="1:8" ht="30">
      <c r="A60" s="142" t="s">
        <v>138</v>
      </c>
      <c r="B60" s="107">
        <f>180000+120000</f>
        <v>300000</v>
      </c>
      <c r="C60" s="107">
        <v>328132</v>
      </c>
      <c r="D60" s="107">
        <v>328132</v>
      </c>
      <c r="E60" s="140"/>
      <c r="F60" s="141"/>
      <c r="G60" s="141"/>
      <c r="H60" s="141"/>
    </row>
    <row r="61" spans="1:8" ht="30">
      <c r="A61" s="142" t="s">
        <v>72</v>
      </c>
      <c r="B61" s="107">
        <v>1054863</v>
      </c>
      <c r="C61" s="124">
        <v>957557</v>
      </c>
      <c r="D61" s="124">
        <v>948762</v>
      </c>
      <c r="E61" s="173" t="s">
        <v>139</v>
      </c>
      <c r="F61" s="174">
        <v>134015</v>
      </c>
      <c r="G61" s="174">
        <v>134015</v>
      </c>
      <c r="H61" s="174">
        <v>134015</v>
      </c>
    </row>
    <row r="62" spans="1:10" ht="15">
      <c r="A62" s="132" t="s">
        <v>107</v>
      </c>
      <c r="B62" s="133">
        <f>SUM(B57,B60:B61)</f>
        <v>4620837</v>
      </c>
      <c r="C62" s="133">
        <f>SUM(C57,C60:C61)</f>
        <v>4641324</v>
      </c>
      <c r="D62" s="133">
        <f>SUM(D57,D60:D61)</f>
        <v>4681481</v>
      </c>
      <c r="E62" s="132" t="s">
        <v>107</v>
      </c>
      <c r="F62" s="133">
        <f>SUM(F57,F61)</f>
        <v>4620837</v>
      </c>
      <c r="G62" s="133">
        <f>SUM(G57,G61)</f>
        <v>4709081</v>
      </c>
      <c r="H62" s="133">
        <f>SUM(H57,H61)</f>
        <v>4757743</v>
      </c>
      <c r="I62" s="175"/>
      <c r="J62" s="161"/>
    </row>
    <row r="63" spans="1:9" ht="14.25">
      <c r="A63" s="176"/>
      <c r="B63" s="177"/>
      <c r="C63" s="177"/>
      <c r="D63" s="177"/>
      <c r="E63" s="176"/>
      <c r="F63" s="177"/>
      <c r="G63" s="177"/>
      <c r="H63" s="177"/>
      <c r="I63" s="178"/>
    </row>
    <row r="64" spans="1:5" ht="12.75">
      <c r="A64" s="93"/>
      <c r="B64" s="136"/>
      <c r="C64" s="136"/>
      <c r="D64" s="136"/>
      <c r="E64" s="136"/>
    </row>
    <row r="65" spans="1:5" ht="12.75">
      <c r="A65" s="91"/>
      <c r="B65" s="179"/>
      <c r="C65" s="179"/>
      <c r="D65" s="179"/>
      <c r="E65" s="161"/>
    </row>
    <row r="66" spans="1:9" ht="14.25">
      <c r="A66" s="180" t="s">
        <v>140</v>
      </c>
      <c r="B66" s="181">
        <f>SUM(B30,B62)</f>
        <v>8843543</v>
      </c>
      <c r="C66" s="181">
        <v>9152388</v>
      </c>
      <c r="D66" s="181">
        <f>SUM(D30,D62)</f>
        <v>8772937</v>
      </c>
      <c r="E66" s="180" t="s">
        <v>141</v>
      </c>
      <c r="F66" s="182">
        <f>SUM(F30,F62)</f>
        <v>8843543</v>
      </c>
      <c r="G66" s="182">
        <f>SUM(G30,G62)</f>
        <v>9135147</v>
      </c>
      <c r="H66" s="182">
        <f>SUM(H30,H62)</f>
        <v>8772937</v>
      </c>
      <c r="I66" s="175"/>
    </row>
  </sheetData>
  <sheetProtection selectLockedCells="1" selectUnlockedCells="1"/>
  <mergeCells count="6">
    <mergeCell ref="A3:H3"/>
    <mergeCell ref="A5:D5"/>
    <mergeCell ref="E5:H5"/>
    <mergeCell ref="A35:H35"/>
    <mergeCell ref="A37:D37"/>
    <mergeCell ref="E37:H37"/>
  </mergeCells>
  <printOptions horizontalCentered="1"/>
  <pageMargins left="0" right="0" top="0.5118055555555555" bottom="0.9840277777777777" header="0.5118055555555555" footer="0.5118055555555555"/>
  <pageSetup horizontalDpi="300" verticalDpi="300" orientation="portrait" paperSize="9" scale="54"/>
  <headerFooter alignWithMargins="0">
    <oddHeader>&amp;L 2. melléklet a 24/2012.(VIII.31.) önkormányzati rendelethez
"2. melléklet a a 3/2012.(II.16.) önkormányzati rendelethez"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SheetLayoutView="100" workbookViewId="0" topLeftCell="K1">
      <selection activeCell="A2" sqref="A2"/>
    </sheetView>
  </sheetViews>
  <sheetFormatPr defaultColWidth="9.00390625" defaultRowHeight="12.75"/>
  <cols>
    <col min="1" max="1" width="45.875" style="0" customWidth="1"/>
    <col min="2" max="3" width="13.625" style="0" customWidth="1"/>
    <col min="4" max="4" width="14.00390625" style="0" customWidth="1"/>
    <col min="5" max="5" width="13.625" style="0" customWidth="1"/>
    <col min="6" max="7" width="13.375" style="0" customWidth="1"/>
    <col min="8" max="14" width="13.625" style="0" customWidth="1"/>
    <col min="15" max="16" width="13.75390625" style="0" customWidth="1"/>
    <col min="17" max="19" width="13.625" style="0" customWidth="1"/>
  </cols>
  <sheetData>
    <row r="1" spans="1:19" ht="12.75">
      <c r="A1" s="183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</row>
    <row r="2" spans="1:19" s="186" customFormat="1" ht="14.25">
      <c r="A2" s="185" t="s">
        <v>142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</row>
    <row r="3" spans="1:19" ht="8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84"/>
      <c r="R3" s="184"/>
      <c r="S3" s="184"/>
    </row>
    <row r="4" spans="1:19" ht="76.5" customHeight="1">
      <c r="A4" s="187" t="s">
        <v>143</v>
      </c>
      <c r="B4" s="188" t="s">
        <v>144</v>
      </c>
      <c r="C4" s="188"/>
      <c r="D4" s="188"/>
      <c r="E4" s="189" t="s">
        <v>145</v>
      </c>
      <c r="F4" s="189"/>
      <c r="G4" s="189"/>
      <c r="H4" s="189" t="s">
        <v>146</v>
      </c>
      <c r="I4" s="189"/>
      <c r="J4" s="189"/>
      <c r="K4" s="189" t="s">
        <v>147</v>
      </c>
      <c r="L4" s="189"/>
      <c r="M4" s="189"/>
      <c r="N4" s="189" t="s">
        <v>148</v>
      </c>
      <c r="O4" s="189"/>
      <c r="P4" s="189"/>
      <c r="Q4" s="190" t="s">
        <v>149</v>
      </c>
      <c r="R4" s="190"/>
      <c r="S4" s="190"/>
    </row>
    <row r="5" spans="1:19" ht="12.75" customHeight="1">
      <c r="A5" s="191"/>
      <c r="B5" s="192" t="s">
        <v>3</v>
      </c>
      <c r="C5" s="192" t="s">
        <v>4</v>
      </c>
      <c r="D5" s="193" t="s">
        <v>5</v>
      </c>
      <c r="E5" s="194" t="s">
        <v>3</v>
      </c>
      <c r="F5" s="192" t="s">
        <v>4</v>
      </c>
      <c r="G5" s="193" t="s">
        <v>5</v>
      </c>
      <c r="H5" s="194" t="s">
        <v>3</v>
      </c>
      <c r="I5" s="192" t="s">
        <v>4</v>
      </c>
      <c r="J5" s="193" t="s">
        <v>5</v>
      </c>
      <c r="K5" s="195" t="s">
        <v>3</v>
      </c>
      <c r="L5" s="192" t="s">
        <v>4</v>
      </c>
      <c r="M5" s="193" t="s">
        <v>5</v>
      </c>
      <c r="N5" s="192" t="s">
        <v>3</v>
      </c>
      <c r="O5" s="192" t="s">
        <v>4</v>
      </c>
      <c r="P5" s="193" t="s">
        <v>5</v>
      </c>
      <c r="Q5" s="195" t="s">
        <v>6</v>
      </c>
      <c r="R5" s="196" t="s">
        <v>4</v>
      </c>
      <c r="S5" s="197" t="s">
        <v>5</v>
      </c>
    </row>
    <row r="6" spans="1:19" ht="12.75" customHeight="1">
      <c r="A6" s="198" t="s">
        <v>150</v>
      </c>
      <c r="B6" s="199">
        <f>SUM(B7,B8,B12)</f>
        <v>2170431</v>
      </c>
      <c r="C6" s="199">
        <v>2168431</v>
      </c>
      <c r="D6" s="200">
        <f>SUM(D7,D8,D12)</f>
        <v>2170719</v>
      </c>
      <c r="E6" s="201">
        <f>SUM(E7,E8,E12)</f>
        <v>14500</v>
      </c>
      <c r="F6" s="199">
        <v>14500</v>
      </c>
      <c r="G6" s="200">
        <f>SUM(G7,G8,G12)</f>
        <v>18032</v>
      </c>
      <c r="H6" s="201">
        <f>SUM(H7,H8,H12)</f>
        <v>3000</v>
      </c>
      <c r="I6" s="199">
        <v>3000</v>
      </c>
      <c r="J6" s="200">
        <f>SUM(J7,J8,J12)</f>
        <v>3027</v>
      </c>
      <c r="K6" s="201">
        <f>SUM(K7,K8,K12)</f>
        <v>148665</v>
      </c>
      <c r="L6" s="199">
        <v>149841</v>
      </c>
      <c r="M6" s="200">
        <f>SUM(M7,M8,M12)</f>
        <v>155618</v>
      </c>
      <c r="N6" s="202">
        <f>SUM(N7,N8,N12)</f>
        <v>8950</v>
      </c>
      <c r="O6" s="203">
        <v>9655</v>
      </c>
      <c r="P6" s="200">
        <f>SUM(P7,P8,P12)</f>
        <v>5017</v>
      </c>
      <c r="Q6" s="204">
        <f aca="true" t="shared" si="0" ref="Q6:Q37">SUM(B6,E6,H6,K6,N6)</f>
        <v>2345546</v>
      </c>
      <c r="R6" s="205">
        <f aca="true" t="shared" si="1" ref="R6:R37">SUM(C6,F6,I6,L6,O6)</f>
        <v>2345427</v>
      </c>
      <c r="S6" s="206">
        <f aca="true" t="shared" si="2" ref="S6:S37">SUM(D6,G6,J6,M6,P6)</f>
        <v>2352413</v>
      </c>
    </row>
    <row r="7" spans="1:19" s="210" customFormat="1" ht="12.75" customHeight="1">
      <c r="A7" s="207" t="s">
        <v>80</v>
      </c>
      <c r="B7" s="205"/>
      <c r="C7" s="205"/>
      <c r="D7" s="208"/>
      <c r="E7" s="204">
        <v>9000</v>
      </c>
      <c r="F7" s="205">
        <v>9000</v>
      </c>
      <c r="G7" s="208">
        <v>9000</v>
      </c>
      <c r="H7" s="204"/>
      <c r="I7" s="205"/>
      <c r="J7" s="208"/>
      <c r="K7" s="204"/>
      <c r="L7" s="205"/>
      <c r="M7" s="208"/>
      <c r="N7" s="205"/>
      <c r="O7" s="209"/>
      <c r="P7" s="208"/>
      <c r="Q7" s="204">
        <f t="shared" si="0"/>
        <v>9000</v>
      </c>
      <c r="R7" s="205">
        <f t="shared" si="1"/>
        <v>9000</v>
      </c>
      <c r="S7" s="208">
        <f t="shared" si="2"/>
        <v>9000</v>
      </c>
    </row>
    <row r="8" spans="1:19" s="210" customFormat="1" ht="12.75" customHeight="1">
      <c r="A8" s="207" t="s">
        <v>151</v>
      </c>
      <c r="B8" s="205">
        <f>SUM(B9:B11)</f>
        <v>121019</v>
      </c>
      <c r="C8" s="205">
        <v>119019</v>
      </c>
      <c r="D8" s="208">
        <f>SUM(D9:D11)</f>
        <v>121307</v>
      </c>
      <c r="E8" s="204">
        <f>SUM(E9:E11)</f>
        <v>5500</v>
      </c>
      <c r="F8" s="205">
        <v>5500</v>
      </c>
      <c r="G8" s="208">
        <f>SUM(G9:G11)</f>
        <v>9032</v>
      </c>
      <c r="H8" s="204"/>
      <c r="I8" s="205"/>
      <c r="J8" s="208">
        <f>SUM(J9:J11)</f>
        <v>27</v>
      </c>
      <c r="K8" s="204">
        <f>SUM(K9:K11)</f>
        <v>148665</v>
      </c>
      <c r="L8" s="205">
        <v>149841</v>
      </c>
      <c r="M8" s="208">
        <f>SUM(M9:M11)</f>
        <v>155618</v>
      </c>
      <c r="N8" s="205">
        <f>SUM(N9:N11)</f>
        <v>8950</v>
      </c>
      <c r="O8" s="209">
        <v>9655</v>
      </c>
      <c r="P8" s="208">
        <f>SUM(P9:P11)</f>
        <v>5017</v>
      </c>
      <c r="Q8" s="204">
        <f t="shared" si="0"/>
        <v>284134</v>
      </c>
      <c r="R8" s="205">
        <f t="shared" si="1"/>
        <v>284015</v>
      </c>
      <c r="S8" s="208">
        <f t="shared" si="2"/>
        <v>291001</v>
      </c>
    </row>
    <row r="9" spans="1:19" s="219" customFormat="1" ht="27.75" customHeight="1">
      <c r="A9" s="211" t="s">
        <v>152</v>
      </c>
      <c r="B9" s="212">
        <v>49765</v>
      </c>
      <c r="C9" s="212">
        <v>47765</v>
      </c>
      <c r="D9" s="213">
        <v>48688</v>
      </c>
      <c r="E9" s="214">
        <v>4481</v>
      </c>
      <c r="F9" s="212">
        <v>4481</v>
      </c>
      <c r="G9" s="213">
        <v>4481</v>
      </c>
      <c r="H9" s="214"/>
      <c r="I9" s="212"/>
      <c r="J9" s="213">
        <v>27</v>
      </c>
      <c r="K9" s="214">
        <v>111711</v>
      </c>
      <c r="L9" s="212">
        <v>112887</v>
      </c>
      <c r="M9" s="213">
        <v>118664</v>
      </c>
      <c r="N9" s="212">
        <v>8250</v>
      </c>
      <c r="O9" s="215">
        <v>8250</v>
      </c>
      <c r="P9" s="213">
        <v>3805</v>
      </c>
      <c r="Q9" s="216">
        <f t="shared" si="0"/>
        <v>174207</v>
      </c>
      <c r="R9" s="217">
        <f t="shared" si="1"/>
        <v>173383</v>
      </c>
      <c r="S9" s="218">
        <f t="shared" si="2"/>
        <v>175665</v>
      </c>
    </row>
    <row r="10" spans="1:19" s="219" customFormat="1" ht="12.75" customHeight="1">
      <c r="A10" s="52" t="s">
        <v>153</v>
      </c>
      <c r="B10" s="212">
        <v>66254</v>
      </c>
      <c r="C10" s="212">
        <v>66254</v>
      </c>
      <c r="D10" s="213">
        <v>66467</v>
      </c>
      <c r="E10" s="214">
        <v>1019</v>
      </c>
      <c r="F10" s="212">
        <v>1019</v>
      </c>
      <c r="G10" s="213">
        <v>4551</v>
      </c>
      <c r="H10" s="214"/>
      <c r="I10" s="212"/>
      <c r="J10" s="213"/>
      <c r="K10" s="214">
        <v>36954</v>
      </c>
      <c r="L10" s="212">
        <v>36954</v>
      </c>
      <c r="M10" s="213">
        <v>36954</v>
      </c>
      <c r="N10" s="212">
        <v>200</v>
      </c>
      <c r="O10" s="215">
        <v>200</v>
      </c>
      <c r="P10" s="213">
        <v>7</v>
      </c>
      <c r="Q10" s="216">
        <f t="shared" si="0"/>
        <v>104427</v>
      </c>
      <c r="R10" s="217">
        <f t="shared" si="1"/>
        <v>104427</v>
      </c>
      <c r="S10" s="218">
        <f t="shared" si="2"/>
        <v>107979</v>
      </c>
    </row>
    <row r="11" spans="1:19" s="219" customFormat="1" ht="12.75" customHeight="1">
      <c r="A11" s="52" t="s">
        <v>154</v>
      </c>
      <c r="B11" s="212">
        <v>5000</v>
      </c>
      <c r="C11" s="212">
        <v>5000</v>
      </c>
      <c r="D11" s="213">
        <v>6152</v>
      </c>
      <c r="E11" s="214"/>
      <c r="F11" s="212"/>
      <c r="G11" s="213"/>
      <c r="H11" s="214"/>
      <c r="I11" s="212"/>
      <c r="J11" s="213"/>
      <c r="K11" s="214"/>
      <c r="L11" s="212"/>
      <c r="M11" s="213"/>
      <c r="N11" s="212">
        <v>500</v>
      </c>
      <c r="O11" s="215">
        <v>1205</v>
      </c>
      <c r="P11" s="213">
        <v>1205</v>
      </c>
      <c r="Q11" s="216">
        <f t="shared" si="0"/>
        <v>5500</v>
      </c>
      <c r="R11" s="217">
        <f t="shared" si="1"/>
        <v>6205</v>
      </c>
      <c r="S11" s="218">
        <f t="shared" si="2"/>
        <v>7357</v>
      </c>
    </row>
    <row r="12" spans="1:19" s="210" customFormat="1" ht="12.75" customHeight="1">
      <c r="A12" s="207" t="s">
        <v>84</v>
      </c>
      <c r="B12" s="205">
        <f>SUM(B13,B20,B24,B25,B26,B27)</f>
        <v>2049412</v>
      </c>
      <c r="C12" s="205">
        <v>2049412</v>
      </c>
      <c r="D12" s="208">
        <f>SUM(D13,D20,D24,D25,D26,D27)</f>
        <v>2049412</v>
      </c>
      <c r="E12" s="204"/>
      <c r="F12" s="205"/>
      <c r="G12" s="208"/>
      <c r="H12" s="204">
        <f>SUM(H13,H20,H24,H25,H26,H27)</f>
        <v>3000</v>
      </c>
      <c r="I12" s="205">
        <f>SUM(I13,I20,I24,I25,I26,I27)</f>
        <v>3000</v>
      </c>
      <c r="J12" s="208">
        <f>SUM(J13,J20,J24,J25,J26,J27)</f>
        <v>3000</v>
      </c>
      <c r="K12" s="204"/>
      <c r="L12" s="205"/>
      <c r="M12" s="208"/>
      <c r="N12" s="205"/>
      <c r="O12" s="209"/>
      <c r="P12" s="208"/>
      <c r="Q12" s="204">
        <f t="shared" si="0"/>
        <v>2052412</v>
      </c>
      <c r="R12" s="205">
        <f t="shared" si="1"/>
        <v>2052412</v>
      </c>
      <c r="S12" s="208">
        <f t="shared" si="2"/>
        <v>2052412</v>
      </c>
    </row>
    <row r="13" spans="1:19" s="219" customFormat="1" ht="12.75" customHeight="1">
      <c r="A13" s="52" t="s">
        <v>10</v>
      </c>
      <c r="B13" s="212">
        <f>SUM(B14:B19)</f>
        <v>1317500</v>
      </c>
      <c r="C13" s="212">
        <v>1317500</v>
      </c>
      <c r="D13" s="213">
        <f>SUM(D14:D19)</f>
        <v>1317500</v>
      </c>
      <c r="E13" s="214"/>
      <c r="F13" s="212"/>
      <c r="G13" s="213"/>
      <c r="H13" s="214"/>
      <c r="I13" s="212"/>
      <c r="J13" s="213"/>
      <c r="K13" s="214"/>
      <c r="L13" s="212"/>
      <c r="M13" s="213"/>
      <c r="N13" s="212"/>
      <c r="O13" s="215"/>
      <c r="P13" s="213"/>
      <c r="Q13" s="216">
        <f t="shared" si="0"/>
        <v>1317500</v>
      </c>
      <c r="R13" s="217">
        <f t="shared" si="1"/>
        <v>1317500</v>
      </c>
      <c r="S13" s="218">
        <f t="shared" si="2"/>
        <v>1317500</v>
      </c>
    </row>
    <row r="14" spans="1:19" s="222" customFormat="1" ht="12.75" customHeight="1">
      <c r="A14" s="220" t="s">
        <v>155</v>
      </c>
      <c r="B14" s="217">
        <v>280000</v>
      </c>
      <c r="C14" s="217">
        <v>280000</v>
      </c>
      <c r="D14" s="218">
        <v>280000</v>
      </c>
      <c r="E14" s="216"/>
      <c r="F14" s="217"/>
      <c r="G14" s="218"/>
      <c r="H14" s="216"/>
      <c r="I14" s="217"/>
      <c r="J14" s="218"/>
      <c r="K14" s="216"/>
      <c r="L14" s="217"/>
      <c r="M14" s="218"/>
      <c r="N14" s="217"/>
      <c r="O14" s="221"/>
      <c r="P14" s="218"/>
      <c r="Q14" s="216">
        <f t="shared" si="0"/>
        <v>280000</v>
      </c>
      <c r="R14" s="217">
        <f t="shared" si="1"/>
        <v>280000</v>
      </c>
      <c r="S14" s="218">
        <f t="shared" si="2"/>
        <v>280000</v>
      </c>
    </row>
    <row r="15" spans="1:19" s="222" customFormat="1" ht="12.75" customHeight="1">
      <c r="A15" s="220" t="s">
        <v>156</v>
      </c>
      <c r="B15" s="217">
        <v>70000</v>
      </c>
      <c r="C15" s="217">
        <v>70000</v>
      </c>
      <c r="D15" s="218">
        <v>70000</v>
      </c>
      <c r="E15" s="216"/>
      <c r="F15" s="217"/>
      <c r="G15" s="218"/>
      <c r="H15" s="216"/>
      <c r="I15" s="217"/>
      <c r="J15" s="218"/>
      <c r="K15" s="216"/>
      <c r="L15" s="217"/>
      <c r="M15" s="218"/>
      <c r="N15" s="217"/>
      <c r="O15" s="221"/>
      <c r="P15" s="218"/>
      <c r="Q15" s="216">
        <f t="shared" si="0"/>
        <v>70000</v>
      </c>
      <c r="R15" s="217">
        <f t="shared" si="1"/>
        <v>70000</v>
      </c>
      <c r="S15" s="218">
        <f t="shared" si="2"/>
        <v>70000</v>
      </c>
    </row>
    <row r="16" spans="1:19" s="222" customFormat="1" ht="12.75" customHeight="1">
      <c r="A16" s="220" t="s">
        <v>157</v>
      </c>
      <c r="B16" s="217">
        <v>20000</v>
      </c>
      <c r="C16" s="217">
        <v>20000</v>
      </c>
      <c r="D16" s="218">
        <v>20000</v>
      </c>
      <c r="E16" s="216"/>
      <c r="F16" s="217"/>
      <c r="G16" s="218"/>
      <c r="H16" s="216"/>
      <c r="I16" s="217"/>
      <c r="J16" s="218"/>
      <c r="K16" s="216"/>
      <c r="L16" s="217"/>
      <c r="M16" s="218"/>
      <c r="N16" s="217"/>
      <c r="O16" s="221"/>
      <c r="P16" s="218"/>
      <c r="Q16" s="216">
        <f t="shared" si="0"/>
        <v>20000</v>
      </c>
      <c r="R16" s="217">
        <f t="shared" si="1"/>
        <v>20000</v>
      </c>
      <c r="S16" s="218">
        <f t="shared" si="2"/>
        <v>20000</v>
      </c>
    </row>
    <row r="17" spans="1:19" s="222" customFormat="1" ht="12.75" customHeight="1">
      <c r="A17" s="220" t="s">
        <v>158</v>
      </c>
      <c r="B17" s="217">
        <v>930000</v>
      </c>
      <c r="C17" s="217">
        <v>930000</v>
      </c>
      <c r="D17" s="218">
        <v>930000</v>
      </c>
      <c r="E17" s="216"/>
      <c r="F17" s="217"/>
      <c r="G17" s="218"/>
      <c r="H17" s="216"/>
      <c r="I17" s="217"/>
      <c r="J17" s="218"/>
      <c r="K17" s="216"/>
      <c r="L17" s="217"/>
      <c r="M17" s="218"/>
      <c r="N17" s="217"/>
      <c r="O17" s="221"/>
      <c r="P17" s="218"/>
      <c r="Q17" s="216">
        <f t="shared" si="0"/>
        <v>930000</v>
      </c>
      <c r="R17" s="217">
        <f t="shared" si="1"/>
        <v>930000</v>
      </c>
      <c r="S17" s="218">
        <f t="shared" si="2"/>
        <v>930000</v>
      </c>
    </row>
    <row r="18" spans="1:19" s="222" customFormat="1" ht="12.75">
      <c r="A18" s="220" t="s">
        <v>159</v>
      </c>
      <c r="B18" s="72">
        <v>14000</v>
      </c>
      <c r="C18" s="72">
        <v>14000</v>
      </c>
      <c r="D18" s="74">
        <v>14000</v>
      </c>
      <c r="E18" s="223"/>
      <c r="F18" s="72"/>
      <c r="G18" s="74"/>
      <c r="H18" s="223"/>
      <c r="I18" s="72"/>
      <c r="J18" s="74"/>
      <c r="K18" s="223"/>
      <c r="L18" s="72"/>
      <c r="M18" s="74"/>
      <c r="N18" s="72"/>
      <c r="O18" s="224"/>
      <c r="P18" s="74"/>
      <c r="Q18" s="216">
        <f t="shared" si="0"/>
        <v>14000</v>
      </c>
      <c r="R18" s="217">
        <f t="shared" si="1"/>
        <v>14000</v>
      </c>
      <c r="S18" s="218">
        <f t="shared" si="2"/>
        <v>14000</v>
      </c>
    </row>
    <row r="19" spans="1:19" s="222" customFormat="1" ht="19.5" customHeight="1">
      <c r="A19" s="225" t="s">
        <v>160</v>
      </c>
      <c r="B19" s="217">
        <v>3500</v>
      </c>
      <c r="C19" s="217">
        <v>3500</v>
      </c>
      <c r="D19" s="218">
        <v>3500</v>
      </c>
      <c r="E19" s="216"/>
      <c r="F19" s="217"/>
      <c r="G19" s="218"/>
      <c r="H19" s="216"/>
      <c r="I19" s="217"/>
      <c r="J19" s="218"/>
      <c r="K19" s="216"/>
      <c r="L19" s="217"/>
      <c r="M19" s="218"/>
      <c r="N19" s="217"/>
      <c r="O19" s="221"/>
      <c r="P19" s="218"/>
      <c r="Q19" s="216">
        <f t="shared" si="0"/>
        <v>3500</v>
      </c>
      <c r="R19" s="217">
        <f t="shared" si="1"/>
        <v>3500</v>
      </c>
      <c r="S19" s="218">
        <f t="shared" si="2"/>
        <v>3500</v>
      </c>
    </row>
    <row r="20" spans="1:19" s="219" customFormat="1" ht="12.75">
      <c r="A20" s="52" t="s">
        <v>161</v>
      </c>
      <c r="B20" s="42">
        <f>SUM(B21:B23)</f>
        <v>651645</v>
      </c>
      <c r="C20" s="42">
        <v>651645</v>
      </c>
      <c r="D20" s="44">
        <f>SUM(D21:D23)</f>
        <v>651645</v>
      </c>
      <c r="E20" s="226"/>
      <c r="F20" s="42"/>
      <c r="G20" s="44"/>
      <c r="H20" s="226"/>
      <c r="I20" s="42"/>
      <c r="J20" s="44"/>
      <c r="K20" s="226"/>
      <c r="L20" s="42"/>
      <c r="M20" s="44"/>
      <c r="N20" s="42"/>
      <c r="O20" s="227"/>
      <c r="P20" s="44"/>
      <c r="Q20" s="216">
        <f t="shared" si="0"/>
        <v>651645</v>
      </c>
      <c r="R20" s="217">
        <f t="shared" si="1"/>
        <v>651645</v>
      </c>
      <c r="S20" s="218">
        <f t="shared" si="2"/>
        <v>651645</v>
      </c>
    </row>
    <row r="21" spans="1:19" s="222" customFormat="1" ht="12.75">
      <c r="A21" s="220" t="s">
        <v>162</v>
      </c>
      <c r="B21" s="72">
        <v>376345</v>
      </c>
      <c r="C21" s="72">
        <v>376345</v>
      </c>
      <c r="D21" s="74">
        <v>376345</v>
      </c>
      <c r="E21" s="223"/>
      <c r="F21" s="72"/>
      <c r="G21" s="74"/>
      <c r="H21" s="223"/>
      <c r="I21" s="72"/>
      <c r="J21" s="74"/>
      <c r="K21" s="223"/>
      <c r="L21" s="72"/>
      <c r="M21" s="74"/>
      <c r="N21" s="72"/>
      <c r="O21" s="224"/>
      <c r="P21" s="74"/>
      <c r="Q21" s="216">
        <f t="shared" si="0"/>
        <v>376345</v>
      </c>
      <c r="R21" s="217">
        <f t="shared" si="1"/>
        <v>376345</v>
      </c>
      <c r="S21" s="218">
        <f t="shared" si="2"/>
        <v>376345</v>
      </c>
    </row>
    <row r="22" spans="1:19" s="222" customFormat="1" ht="12.75">
      <c r="A22" s="220" t="s">
        <v>163</v>
      </c>
      <c r="B22" s="72">
        <v>275000</v>
      </c>
      <c r="C22" s="72">
        <v>275000</v>
      </c>
      <c r="D22" s="74">
        <v>275000</v>
      </c>
      <c r="E22" s="223"/>
      <c r="F22" s="72"/>
      <c r="G22" s="74"/>
      <c r="H22" s="223"/>
      <c r="I22" s="72"/>
      <c r="J22" s="74"/>
      <c r="K22" s="223"/>
      <c r="L22" s="72"/>
      <c r="M22" s="74"/>
      <c r="N22" s="72"/>
      <c r="O22" s="224"/>
      <c r="P22" s="74"/>
      <c r="Q22" s="216">
        <f t="shared" si="0"/>
        <v>275000</v>
      </c>
      <c r="R22" s="217">
        <f t="shared" si="1"/>
        <v>275000</v>
      </c>
      <c r="S22" s="218">
        <f t="shared" si="2"/>
        <v>275000</v>
      </c>
    </row>
    <row r="23" spans="1:19" s="222" customFormat="1" ht="12.75">
      <c r="A23" s="220" t="s">
        <v>164</v>
      </c>
      <c r="B23" s="72">
        <v>300</v>
      </c>
      <c r="C23" s="72">
        <v>300</v>
      </c>
      <c r="D23" s="74">
        <v>300</v>
      </c>
      <c r="E23" s="223"/>
      <c r="F23" s="72"/>
      <c r="G23" s="74"/>
      <c r="H23" s="223"/>
      <c r="I23" s="72"/>
      <c r="J23" s="74"/>
      <c r="K23" s="223"/>
      <c r="L23" s="72"/>
      <c r="M23" s="74"/>
      <c r="N23" s="72"/>
      <c r="O23" s="224"/>
      <c r="P23" s="74"/>
      <c r="Q23" s="216">
        <f t="shared" si="0"/>
        <v>300</v>
      </c>
      <c r="R23" s="217">
        <f t="shared" si="1"/>
        <v>300</v>
      </c>
      <c r="S23" s="218">
        <f t="shared" si="2"/>
        <v>300</v>
      </c>
    </row>
    <row r="24" spans="1:19" s="219" customFormat="1" ht="12.75">
      <c r="A24" s="52" t="s">
        <v>165</v>
      </c>
      <c r="B24" s="42"/>
      <c r="C24" s="42"/>
      <c r="D24" s="44"/>
      <c r="E24" s="226"/>
      <c r="F24" s="42"/>
      <c r="G24" s="44"/>
      <c r="H24" s="226">
        <v>3000</v>
      </c>
      <c r="I24" s="42">
        <v>3000</v>
      </c>
      <c r="J24" s="44">
        <v>3000</v>
      </c>
      <c r="K24" s="226"/>
      <c r="L24" s="42"/>
      <c r="M24" s="44"/>
      <c r="N24" s="42"/>
      <c r="O24" s="227"/>
      <c r="P24" s="44"/>
      <c r="Q24" s="216">
        <f t="shared" si="0"/>
        <v>3000</v>
      </c>
      <c r="R24" s="217">
        <f t="shared" si="1"/>
        <v>3000</v>
      </c>
      <c r="S24" s="218">
        <f t="shared" si="2"/>
        <v>3000</v>
      </c>
    </row>
    <row r="25" spans="1:19" s="219" customFormat="1" ht="12.75">
      <c r="A25" s="52" t="s">
        <v>15</v>
      </c>
      <c r="B25" s="42">
        <v>3000</v>
      </c>
      <c r="C25" s="42">
        <v>3000</v>
      </c>
      <c r="D25" s="44">
        <v>3000</v>
      </c>
      <c r="E25" s="226"/>
      <c r="F25" s="42"/>
      <c r="G25" s="44"/>
      <c r="H25" s="226"/>
      <c r="I25" s="42"/>
      <c r="J25" s="44"/>
      <c r="K25" s="226"/>
      <c r="L25" s="42"/>
      <c r="M25" s="44"/>
      <c r="N25" s="42"/>
      <c r="O25" s="227"/>
      <c r="P25" s="44"/>
      <c r="Q25" s="214">
        <f t="shared" si="0"/>
        <v>3000</v>
      </c>
      <c r="R25" s="212">
        <f t="shared" si="1"/>
        <v>3000</v>
      </c>
      <c r="S25" s="213">
        <f t="shared" si="2"/>
        <v>3000</v>
      </c>
    </row>
    <row r="26" spans="1:19" s="219" customFormat="1" ht="12.75">
      <c r="A26" s="52" t="s">
        <v>166</v>
      </c>
      <c r="B26" s="42">
        <v>38027</v>
      </c>
      <c r="C26" s="42">
        <v>38027</v>
      </c>
      <c r="D26" s="44">
        <v>38027</v>
      </c>
      <c r="E26" s="226"/>
      <c r="F26" s="42"/>
      <c r="G26" s="44"/>
      <c r="H26" s="226"/>
      <c r="I26" s="42"/>
      <c r="J26" s="44"/>
      <c r="K26" s="226"/>
      <c r="L26" s="42"/>
      <c r="M26" s="44"/>
      <c r="N26" s="42"/>
      <c r="O26" s="227"/>
      <c r="P26" s="44"/>
      <c r="Q26" s="214">
        <f t="shared" si="0"/>
        <v>38027</v>
      </c>
      <c r="R26" s="212">
        <f t="shared" si="1"/>
        <v>38027</v>
      </c>
      <c r="S26" s="213">
        <f t="shared" si="2"/>
        <v>38027</v>
      </c>
    </row>
    <row r="27" spans="1:19" s="219" customFormat="1" ht="12.75">
      <c r="A27" s="52" t="s">
        <v>19</v>
      </c>
      <c r="B27" s="42">
        <v>39240</v>
      </c>
      <c r="C27" s="42">
        <v>39240</v>
      </c>
      <c r="D27" s="44">
        <v>39240</v>
      </c>
      <c r="E27" s="226"/>
      <c r="F27" s="42"/>
      <c r="G27" s="44"/>
      <c r="H27" s="226"/>
      <c r="I27" s="42"/>
      <c r="J27" s="44"/>
      <c r="K27" s="226"/>
      <c r="L27" s="42"/>
      <c r="M27" s="44"/>
      <c r="N27" s="42"/>
      <c r="O27" s="227"/>
      <c r="P27" s="44"/>
      <c r="Q27" s="214">
        <f t="shared" si="0"/>
        <v>39240</v>
      </c>
      <c r="R27" s="212">
        <f t="shared" si="1"/>
        <v>39240</v>
      </c>
      <c r="S27" s="213">
        <f t="shared" si="2"/>
        <v>39240</v>
      </c>
    </row>
    <row r="28" spans="1:19" s="230" customFormat="1" ht="13.5">
      <c r="A28" s="49" t="s">
        <v>167</v>
      </c>
      <c r="B28" s="36">
        <f>SUM(B29:B32)</f>
        <v>975132</v>
      </c>
      <c r="C28" s="36">
        <v>1003197</v>
      </c>
      <c r="D28" s="56">
        <f>SUM(D29:D32)</f>
        <v>1011277</v>
      </c>
      <c r="E28" s="228"/>
      <c r="F28" s="36"/>
      <c r="G28" s="56"/>
      <c r="H28" s="228"/>
      <c r="I28" s="36"/>
      <c r="J28" s="56"/>
      <c r="K28" s="228"/>
      <c r="L28" s="36"/>
      <c r="M28" s="56"/>
      <c r="N28" s="36"/>
      <c r="O28" s="229"/>
      <c r="P28" s="56"/>
      <c r="Q28" s="204">
        <f t="shared" si="0"/>
        <v>975132</v>
      </c>
      <c r="R28" s="205">
        <f t="shared" si="1"/>
        <v>1003197</v>
      </c>
      <c r="S28" s="208">
        <f t="shared" si="2"/>
        <v>1011277</v>
      </c>
    </row>
    <row r="29" spans="1:19" s="219" customFormat="1" ht="12.75">
      <c r="A29" s="52" t="s">
        <v>168</v>
      </c>
      <c r="B29" s="42">
        <v>861384</v>
      </c>
      <c r="C29" s="42">
        <v>861384</v>
      </c>
      <c r="D29" s="44">
        <v>861113</v>
      </c>
      <c r="E29" s="226"/>
      <c r="F29" s="42"/>
      <c r="G29" s="44"/>
      <c r="H29" s="226"/>
      <c r="I29" s="42"/>
      <c r="J29" s="44"/>
      <c r="K29" s="226"/>
      <c r="L29" s="42"/>
      <c r="M29" s="44"/>
      <c r="N29" s="42"/>
      <c r="O29" s="227"/>
      <c r="P29" s="44"/>
      <c r="Q29" s="216">
        <f t="shared" si="0"/>
        <v>861384</v>
      </c>
      <c r="R29" s="217">
        <f t="shared" si="1"/>
        <v>861384</v>
      </c>
      <c r="S29" s="218">
        <f t="shared" si="2"/>
        <v>861113</v>
      </c>
    </row>
    <row r="30" spans="1:19" s="222" customFormat="1" ht="12.75">
      <c r="A30" s="231" t="s">
        <v>169</v>
      </c>
      <c r="B30" s="42">
        <v>113710</v>
      </c>
      <c r="C30" s="42">
        <v>113710</v>
      </c>
      <c r="D30" s="44">
        <v>113710</v>
      </c>
      <c r="E30" s="226"/>
      <c r="F30" s="42"/>
      <c r="G30" s="44"/>
      <c r="H30" s="226"/>
      <c r="I30" s="42"/>
      <c r="J30" s="44"/>
      <c r="K30" s="226"/>
      <c r="L30" s="42"/>
      <c r="M30" s="44"/>
      <c r="N30" s="42"/>
      <c r="O30" s="227"/>
      <c r="P30" s="44"/>
      <c r="Q30" s="216">
        <f t="shared" si="0"/>
        <v>113710</v>
      </c>
      <c r="R30" s="217">
        <f t="shared" si="1"/>
        <v>113710</v>
      </c>
      <c r="S30" s="218">
        <f t="shared" si="2"/>
        <v>113710</v>
      </c>
    </row>
    <row r="31" spans="1:19" s="222" customFormat="1" ht="25.5">
      <c r="A31" s="231" t="s">
        <v>170</v>
      </c>
      <c r="B31" s="42">
        <v>38</v>
      </c>
      <c r="C31" s="42">
        <v>38</v>
      </c>
      <c r="D31" s="44">
        <v>310</v>
      </c>
      <c r="E31" s="226"/>
      <c r="F31" s="42"/>
      <c r="G31" s="44"/>
      <c r="H31" s="226"/>
      <c r="I31" s="42"/>
      <c r="J31" s="44"/>
      <c r="K31" s="226"/>
      <c r="L31" s="42"/>
      <c r="M31" s="44"/>
      <c r="N31" s="42"/>
      <c r="O31" s="227"/>
      <c r="P31" s="44"/>
      <c r="Q31" s="216">
        <f t="shared" si="0"/>
        <v>38</v>
      </c>
      <c r="R31" s="217">
        <f t="shared" si="1"/>
        <v>38</v>
      </c>
      <c r="S31" s="218">
        <f t="shared" si="2"/>
        <v>310</v>
      </c>
    </row>
    <row r="32" spans="1:19" s="219" customFormat="1" ht="12.75">
      <c r="A32" s="52" t="s">
        <v>28</v>
      </c>
      <c r="B32" s="42"/>
      <c r="C32" s="42">
        <v>28065</v>
      </c>
      <c r="D32" s="44">
        <v>36144</v>
      </c>
      <c r="E32" s="226"/>
      <c r="F32" s="42"/>
      <c r="G32" s="44"/>
      <c r="H32" s="226"/>
      <c r="I32" s="42"/>
      <c r="J32" s="44"/>
      <c r="K32" s="226"/>
      <c r="L32" s="42"/>
      <c r="M32" s="44"/>
      <c r="N32" s="42"/>
      <c r="O32" s="227"/>
      <c r="P32" s="44"/>
      <c r="Q32" s="216">
        <f t="shared" si="0"/>
        <v>0</v>
      </c>
      <c r="R32" s="217">
        <f t="shared" si="1"/>
        <v>28065</v>
      </c>
      <c r="S32" s="218">
        <f t="shared" si="2"/>
        <v>36144</v>
      </c>
    </row>
    <row r="33" spans="1:19" s="230" customFormat="1" ht="13.5">
      <c r="A33" s="49" t="s">
        <v>88</v>
      </c>
      <c r="B33" s="36">
        <f>SUM(B34:B36)</f>
        <v>117243</v>
      </c>
      <c r="C33" s="36">
        <v>117243</v>
      </c>
      <c r="D33" s="56">
        <f>SUM(D34:D36)</f>
        <v>117604</v>
      </c>
      <c r="E33" s="228">
        <f>SUM(E34:E36)</f>
        <v>12740</v>
      </c>
      <c r="F33" s="36">
        <v>12740</v>
      </c>
      <c r="G33" s="56">
        <f>SUM(G34:G36)</f>
        <v>12740</v>
      </c>
      <c r="H33" s="228"/>
      <c r="I33" s="36"/>
      <c r="J33" s="56"/>
      <c r="K33" s="228">
        <f>SUM(K34:K36)</f>
        <v>50135</v>
      </c>
      <c r="L33" s="36">
        <v>52660</v>
      </c>
      <c r="M33" s="56">
        <f>SUM(M34:M36)</f>
        <v>66008</v>
      </c>
      <c r="N33" s="36">
        <f>SUM(N34:N36)</f>
        <v>752500</v>
      </c>
      <c r="O33" s="229">
        <v>752500</v>
      </c>
      <c r="P33" s="56">
        <f>SUM(P34:P36)</f>
        <v>262501</v>
      </c>
      <c r="Q33" s="204">
        <f t="shared" si="0"/>
        <v>932618</v>
      </c>
      <c r="R33" s="205">
        <f t="shared" si="1"/>
        <v>935143</v>
      </c>
      <c r="S33" s="208">
        <f t="shared" si="2"/>
        <v>458853</v>
      </c>
    </row>
    <row r="34" spans="1:19" s="219" customFormat="1" ht="12.75">
      <c r="A34" s="52" t="s">
        <v>31</v>
      </c>
      <c r="B34" s="42">
        <f>120683-12740</f>
        <v>107943</v>
      </c>
      <c r="C34" s="42">
        <v>107943</v>
      </c>
      <c r="D34" s="44">
        <v>107943</v>
      </c>
      <c r="E34" s="226">
        <v>12740</v>
      </c>
      <c r="F34" s="42">
        <v>12740</v>
      </c>
      <c r="G34" s="44">
        <v>12740</v>
      </c>
      <c r="H34" s="226"/>
      <c r="I34" s="42"/>
      <c r="J34" s="44"/>
      <c r="K34" s="226">
        <v>46595</v>
      </c>
      <c r="L34" s="42">
        <v>46774</v>
      </c>
      <c r="M34" s="44">
        <v>55342</v>
      </c>
      <c r="N34" s="42">
        <v>8500</v>
      </c>
      <c r="O34" s="227">
        <v>8500</v>
      </c>
      <c r="P34" s="44">
        <v>4329</v>
      </c>
      <c r="Q34" s="214">
        <f t="shared" si="0"/>
        <v>175778</v>
      </c>
      <c r="R34" s="212">
        <f t="shared" si="1"/>
        <v>175957</v>
      </c>
      <c r="S34" s="213">
        <f t="shared" si="2"/>
        <v>180354</v>
      </c>
    </row>
    <row r="35" spans="1:19" s="219" customFormat="1" ht="12.75">
      <c r="A35" s="52" t="s">
        <v>33</v>
      </c>
      <c r="B35" s="42"/>
      <c r="C35" s="42"/>
      <c r="D35" s="44"/>
      <c r="E35" s="226"/>
      <c r="F35" s="42"/>
      <c r="G35" s="44"/>
      <c r="H35" s="226"/>
      <c r="I35" s="42"/>
      <c r="J35" s="44"/>
      <c r="K35" s="226"/>
      <c r="L35" s="42"/>
      <c r="M35" s="44"/>
      <c r="N35" s="42">
        <v>744000</v>
      </c>
      <c r="O35" s="227">
        <v>744000</v>
      </c>
      <c r="P35" s="44">
        <v>258172</v>
      </c>
      <c r="Q35" s="214">
        <f t="shared" si="0"/>
        <v>744000</v>
      </c>
      <c r="R35" s="212">
        <f t="shared" si="1"/>
        <v>744000</v>
      </c>
      <c r="S35" s="213">
        <f t="shared" si="2"/>
        <v>258172</v>
      </c>
    </row>
    <row r="36" spans="1:19" s="219" customFormat="1" ht="12.75">
      <c r="A36" s="52" t="s">
        <v>34</v>
      </c>
      <c r="B36" s="42">
        <v>9300</v>
      </c>
      <c r="C36" s="42">
        <v>9300</v>
      </c>
      <c r="D36" s="44">
        <v>9661</v>
      </c>
      <c r="E36" s="226"/>
      <c r="F36" s="42"/>
      <c r="G36" s="44"/>
      <c r="H36" s="226"/>
      <c r="I36" s="42"/>
      <c r="J36" s="44"/>
      <c r="K36" s="226">
        <v>3540</v>
      </c>
      <c r="L36" s="42">
        <v>5886</v>
      </c>
      <c r="M36" s="44">
        <v>10666</v>
      </c>
      <c r="N36" s="42"/>
      <c r="O36" s="227"/>
      <c r="P36" s="44"/>
      <c r="Q36" s="214">
        <f t="shared" si="0"/>
        <v>12840</v>
      </c>
      <c r="R36" s="212">
        <f t="shared" si="1"/>
        <v>15186</v>
      </c>
      <c r="S36" s="213">
        <f t="shared" si="2"/>
        <v>20327</v>
      </c>
    </row>
    <row r="37" spans="1:19" ht="12.75">
      <c r="A37" s="232" t="s">
        <v>171</v>
      </c>
      <c r="B37" s="36">
        <f>SUM(B38:B43)</f>
        <v>354432</v>
      </c>
      <c r="C37" s="36">
        <v>354432</v>
      </c>
      <c r="D37" s="56">
        <f>SUM(D38:D43)</f>
        <v>374432</v>
      </c>
      <c r="E37" s="228"/>
      <c r="F37" s="36"/>
      <c r="G37" s="56">
        <f>SUM(G38:G43)</f>
        <v>24549</v>
      </c>
      <c r="H37" s="228"/>
      <c r="I37" s="36"/>
      <c r="J37" s="56"/>
      <c r="K37" s="228">
        <f>SUM(K38:K43)</f>
        <v>750</v>
      </c>
      <c r="L37" s="36">
        <v>750</v>
      </c>
      <c r="M37" s="56">
        <f>SUM(M38:M43)</f>
        <v>750</v>
      </c>
      <c r="N37" s="36"/>
      <c r="O37" s="229"/>
      <c r="P37" s="56"/>
      <c r="Q37" s="233">
        <f t="shared" si="0"/>
        <v>355182</v>
      </c>
      <c r="R37" s="202">
        <f t="shared" si="1"/>
        <v>355182</v>
      </c>
      <c r="S37" s="234">
        <f t="shared" si="2"/>
        <v>399731</v>
      </c>
    </row>
    <row r="38" spans="1:19" s="219" customFormat="1" ht="12.75">
      <c r="A38" s="52" t="s">
        <v>38</v>
      </c>
      <c r="B38" s="42">
        <v>472</v>
      </c>
      <c r="C38" s="42">
        <v>472</v>
      </c>
      <c r="D38" s="44">
        <v>472</v>
      </c>
      <c r="E38" s="226"/>
      <c r="F38" s="42"/>
      <c r="G38" s="44"/>
      <c r="H38" s="226"/>
      <c r="I38" s="42"/>
      <c r="J38" s="44"/>
      <c r="K38" s="226">
        <v>750</v>
      </c>
      <c r="L38" s="42">
        <v>750</v>
      </c>
      <c r="M38" s="44">
        <v>750</v>
      </c>
      <c r="N38" s="42"/>
      <c r="O38" s="227"/>
      <c r="P38" s="44"/>
      <c r="Q38" s="214">
        <f aca="true" t="shared" si="3" ref="Q38:Q57">SUM(B38,E38,H38,K38,N38)</f>
        <v>1222</v>
      </c>
      <c r="R38" s="212">
        <f aca="true" t="shared" si="4" ref="R38:R57">SUM(C38,F38,I38,L38,O38)</f>
        <v>1222</v>
      </c>
      <c r="S38" s="213">
        <f aca="true" t="shared" si="5" ref="S38:S57">SUM(D38,G38,J38,M38,P38)</f>
        <v>1222</v>
      </c>
    </row>
    <row r="39" spans="1:19" s="219" customFormat="1" ht="12.75">
      <c r="A39" s="52" t="s">
        <v>172</v>
      </c>
      <c r="B39" s="42">
        <v>132254</v>
      </c>
      <c r="C39" s="42">
        <v>132254</v>
      </c>
      <c r="D39" s="44">
        <v>152254</v>
      </c>
      <c r="E39" s="226"/>
      <c r="F39" s="42"/>
      <c r="G39" s="44">
        <v>24549</v>
      </c>
      <c r="H39" s="226"/>
      <c r="I39" s="42"/>
      <c r="J39" s="44"/>
      <c r="K39" s="226"/>
      <c r="L39" s="42"/>
      <c r="M39" s="44"/>
      <c r="N39" s="42"/>
      <c r="O39" s="227"/>
      <c r="P39" s="44"/>
      <c r="Q39" s="214">
        <f t="shared" si="3"/>
        <v>132254</v>
      </c>
      <c r="R39" s="212">
        <f t="shared" si="4"/>
        <v>132254</v>
      </c>
      <c r="S39" s="213">
        <f t="shared" si="5"/>
        <v>176803</v>
      </c>
    </row>
    <row r="40" spans="1:19" s="219" customFormat="1" ht="12.75">
      <c r="A40" s="52" t="s">
        <v>173</v>
      </c>
      <c r="B40" s="42">
        <v>169500</v>
      </c>
      <c r="C40" s="42">
        <v>169500</v>
      </c>
      <c r="D40" s="44">
        <v>169500</v>
      </c>
      <c r="E40" s="226"/>
      <c r="F40" s="42"/>
      <c r="G40" s="44"/>
      <c r="H40" s="226"/>
      <c r="I40" s="42"/>
      <c r="J40" s="44"/>
      <c r="K40" s="226"/>
      <c r="L40" s="42"/>
      <c r="M40" s="44"/>
      <c r="N40" s="42"/>
      <c r="O40" s="227"/>
      <c r="P40" s="44"/>
      <c r="Q40" s="214">
        <f t="shared" si="3"/>
        <v>169500</v>
      </c>
      <c r="R40" s="212">
        <f t="shared" si="4"/>
        <v>169500</v>
      </c>
      <c r="S40" s="213">
        <f t="shared" si="5"/>
        <v>169500</v>
      </c>
    </row>
    <row r="41" spans="1:19" s="219" customFormat="1" ht="12.75">
      <c r="A41" s="52" t="s">
        <v>44</v>
      </c>
      <c r="B41" s="42">
        <v>16236</v>
      </c>
      <c r="C41" s="42">
        <v>16236</v>
      </c>
      <c r="D41" s="44">
        <v>16236</v>
      </c>
      <c r="E41" s="226"/>
      <c r="F41" s="42"/>
      <c r="G41" s="44"/>
      <c r="H41" s="226"/>
      <c r="I41" s="42"/>
      <c r="J41" s="44"/>
      <c r="K41" s="226"/>
      <c r="L41" s="42"/>
      <c r="M41" s="44"/>
      <c r="N41" s="42"/>
      <c r="O41" s="227"/>
      <c r="P41" s="44"/>
      <c r="Q41" s="214">
        <f t="shared" si="3"/>
        <v>16236</v>
      </c>
      <c r="R41" s="212">
        <f t="shared" si="4"/>
        <v>16236</v>
      </c>
      <c r="S41" s="213">
        <f t="shared" si="5"/>
        <v>16236</v>
      </c>
    </row>
    <row r="42" spans="1:19" s="219" customFormat="1" ht="12.75">
      <c r="A42" s="52" t="s">
        <v>174</v>
      </c>
      <c r="B42" s="42">
        <v>35300</v>
      </c>
      <c r="C42" s="42">
        <v>35300</v>
      </c>
      <c r="D42" s="44">
        <v>35300</v>
      </c>
      <c r="E42" s="226"/>
      <c r="F42" s="42"/>
      <c r="G42" s="44"/>
      <c r="H42" s="226"/>
      <c r="I42" s="42"/>
      <c r="J42" s="44"/>
      <c r="K42" s="226"/>
      <c r="L42" s="42"/>
      <c r="M42" s="44"/>
      <c r="N42" s="42"/>
      <c r="O42" s="227"/>
      <c r="P42" s="44"/>
      <c r="Q42" s="214">
        <f t="shared" si="3"/>
        <v>35300</v>
      </c>
      <c r="R42" s="212">
        <f t="shared" si="4"/>
        <v>35300</v>
      </c>
      <c r="S42" s="213">
        <f t="shared" si="5"/>
        <v>35300</v>
      </c>
    </row>
    <row r="43" spans="1:19" s="219" customFormat="1" ht="12.75">
      <c r="A43" s="235" t="s">
        <v>175</v>
      </c>
      <c r="B43" s="42">
        <v>670</v>
      </c>
      <c r="C43" s="42">
        <v>670</v>
      </c>
      <c r="D43" s="44">
        <v>670</v>
      </c>
      <c r="E43" s="226"/>
      <c r="F43" s="42"/>
      <c r="G43" s="44"/>
      <c r="H43" s="226"/>
      <c r="I43" s="42"/>
      <c r="J43" s="44"/>
      <c r="K43" s="226"/>
      <c r="L43" s="42"/>
      <c r="M43" s="44"/>
      <c r="N43" s="42"/>
      <c r="O43" s="227"/>
      <c r="P43" s="44"/>
      <c r="Q43" s="214">
        <f t="shared" si="3"/>
        <v>670</v>
      </c>
      <c r="R43" s="212">
        <f t="shared" si="4"/>
        <v>670</v>
      </c>
      <c r="S43" s="213">
        <f t="shared" si="5"/>
        <v>670</v>
      </c>
    </row>
    <row r="44" spans="1:19" s="230" customFormat="1" ht="12.75">
      <c r="A44" s="232" t="s">
        <v>52</v>
      </c>
      <c r="B44" s="36">
        <f>SUM(B46,B45)</f>
        <v>2703074</v>
      </c>
      <c r="C44" s="36">
        <v>2464266</v>
      </c>
      <c r="D44" s="56">
        <f>SUM(D46,D45)</f>
        <v>2468669</v>
      </c>
      <c r="E44" s="228"/>
      <c r="F44" s="36"/>
      <c r="G44" s="56"/>
      <c r="H44" s="228"/>
      <c r="I44" s="36"/>
      <c r="J44" s="56"/>
      <c r="K44" s="228"/>
      <c r="L44" s="36"/>
      <c r="M44" s="56"/>
      <c r="N44" s="36"/>
      <c r="O44" s="229">
        <v>500</v>
      </c>
      <c r="P44" s="56">
        <f>SUM(P46,P45)</f>
        <v>500</v>
      </c>
      <c r="Q44" s="233">
        <f t="shared" si="3"/>
        <v>2703074</v>
      </c>
      <c r="R44" s="202">
        <f t="shared" si="4"/>
        <v>2464766</v>
      </c>
      <c r="S44" s="234">
        <f t="shared" si="5"/>
        <v>2469169</v>
      </c>
    </row>
    <row r="45" spans="1:19" s="219" customFormat="1" ht="12.75">
      <c r="A45" s="235" t="s">
        <v>176</v>
      </c>
      <c r="B45" s="42"/>
      <c r="C45" s="42">
        <v>54</v>
      </c>
      <c r="D45" s="44">
        <v>54</v>
      </c>
      <c r="E45" s="226"/>
      <c r="F45" s="42"/>
      <c r="G45" s="44"/>
      <c r="H45" s="226"/>
      <c r="I45" s="42"/>
      <c r="J45" s="44"/>
      <c r="K45" s="226"/>
      <c r="L45" s="42"/>
      <c r="M45" s="44"/>
      <c r="N45" s="42"/>
      <c r="O45" s="227"/>
      <c r="P45" s="44"/>
      <c r="Q45" s="214">
        <f t="shared" si="3"/>
        <v>0</v>
      </c>
      <c r="R45" s="212">
        <f t="shared" si="4"/>
        <v>54</v>
      </c>
      <c r="S45" s="213">
        <f t="shared" si="5"/>
        <v>54</v>
      </c>
    </row>
    <row r="46" spans="1:19" s="219" customFormat="1" ht="12.75">
      <c r="A46" s="235" t="s">
        <v>55</v>
      </c>
      <c r="B46" s="42">
        <f>SUM(B47:B49)</f>
        <v>2703074</v>
      </c>
      <c r="C46" s="42">
        <v>2464212</v>
      </c>
      <c r="D46" s="44">
        <f>SUM(D47:D49)</f>
        <v>2468615</v>
      </c>
      <c r="E46" s="226"/>
      <c r="F46" s="42"/>
      <c r="G46" s="44"/>
      <c r="H46" s="226"/>
      <c r="I46" s="42"/>
      <c r="J46" s="44"/>
      <c r="K46" s="226"/>
      <c r="L46" s="42"/>
      <c r="M46" s="44"/>
      <c r="N46" s="42"/>
      <c r="O46" s="227">
        <v>500</v>
      </c>
      <c r="P46" s="44">
        <f>SUM(P47:P49)</f>
        <v>500</v>
      </c>
      <c r="Q46" s="214">
        <f t="shared" si="3"/>
        <v>2703074</v>
      </c>
      <c r="R46" s="212">
        <f t="shared" si="4"/>
        <v>2464712</v>
      </c>
      <c r="S46" s="213">
        <f t="shared" si="5"/>
        <v>2469115</v>
      </c>
    </row>
    <row r="47" spans="1:19" s="222" customFormat="1" ht="12.75">
      <c r="A47" s="236" t="s">
        <v>57</v>
      </c>
      <c r="B47" s="72">
        <v>1103231</v>
      </c>
      <c r="C47" s="72">
        <v>1103231</v>
      </c>
      <c r="D47" s="74">
        <v>1107634</v>
      </c>
      <c r="E47" s="223"/>
      <c r="F47" s="72"/>
      <c r="G47" s="74"/>
      <c r="H47" s="223"/>
      <c r="I47" s="72"/>
      <c r="J47" s="74"/>
      <c r="K47" s="223"/>
      <c r="L47" s="72"/>
      <c r="M47" s="74"/>
      <c r="N47" s="72"/>
      <c r="O47" s="224">
        <v>500</v>
      </c>
      <c r="P47" s="74">
        <v>500</v>
      </c>
      <c r="Q47" s="216">
        <f t="shared" si="3"/>
        <v>1103231</v>
      </c>
      <c r="R47" s="217">
        <f t="shared" si="4"/>
        <v>1103731</v>
      </c>
      <c r="S47" s="218">
        <f t="shared" si="5"/>
        <v>1108134</v>
      </c>
    </row>
    <row r="48" spans="1:19" s="222" customFormat="1" ht="25.5" customHeight="1">
      <c r="A48" s="237" t="s">
        <v>59</v>
      </c>
      <c r="B48" s="72">
        <v>1588643</v>
      </c>
      <c r="C48" s="72">
        <v>1349781</v>
      </c>
      <c r="D48" s="74">
        <v>1349781</v>
      </c>
      <c r="E48" s="223"/>
      <c r="F48" s="72"/>
      <c r="G48" s="74"/>
      <c r="H48" s="223"/>
      <c r="I48" s="72"/>
      <c r="J48" s="74"/>
      <c r="K48" s="223"/>
      <c r="L48" s="72"/>
      <c r="M48" s="74"/>
      <c r="N48" s="72"/>
      <c r="O48" s="224"/>
      <c r="P48" s="74"/>
      <c r="Q48" s="216">
        <f t="shared" si="3"/>
        <v>1588643</v>
      </c>
      <c r="R48" s="217">
        <f t="shared" si="4"/>
        <v>1349781</v>
      </c>
      <c r="S48" s="218">
        <f t="shared" si="5"/>
        <v>1349781</v>
      </c>
    </row>
    <row r="49" spans="1:19" s="222" customFormat="1" ht="12.75">
      <c r="A49" s="236" t="s">
        <v>177</v>
      </c>
      <c r="B49" s="72">
        <v>11200</v>
      </c>
      <c r="C49" s="72">
        <v>11200</v>
      </c>
      <c r="D49" s="74">
        <v>11200</v>
      </c>
      <c r="E49" s="223"/>
      <c r="F49" s="72"/>
      <c r="G49" s="74"/>
      <c r="H49" s="223"/>
      <c r="I49" s="72"/>
      <c r="J49" s="74"/>
      <c r="K49" s="223"/>
      <c r="L49" s="72"/>
      <c r="M49" s="74"/>
      <c r="N49" s="72"/>
      <c r="O49" s="224"/>
      <c r="P49" s="74"/>
      <c r="Q49" s="216">
        <f t="shared" si="3"/>
        <v>11200</v>
      </c>
      <c r="R49" s="217">
        <f t="shared" si="4"/>
        <v>11200</v>
      </c>
      <c r="S49" s="218">
        <f t="shared" si="5"/>
        <v>11200</v>
      </c>
    </row>
    <row r="50" spans="1:19" s="230" customFormat="1" ht="12.75">
      <c r="A50" s="232" t="s">
        <v>64</v>
      </c>
      <c r="B50" s="36">
        <v>85200</v>
      </c>
      <c r="C50" s="36">
        <v>87200</v>
      </c>
      <c r="D50" s="56">
        <v>128816</v>
      </c>
      <c r="E50" s="228">
        <v>1500</v>
      </c>
      <c r="F50" s="36">
        <v>1500</v>
      </c>
      <c r="G50" s="56">
        <v>1500</v>
      </c>
      <c r="H50" s="228"/>
      <c r="I50" s="36"/>
      <c r="J50" s="56"/>
      <c r="K50" s="228"/>
      <c r="L50" s="36"/>
      <c r="M50" s="56"/>
      <c r="N50" s="36"/>
      <c r="O50" s="229"/>
      <c r="P50" s="56"/>
      <c r="Q50" s="233">
        <f t="shared" si="3"/>
        <v>86700</v>
      </c>
      <c r="R50" s="202">
        <f t="shared" si="4"/>
        <v>88700</v>
      </c>
      <c r="S50" s="234">
        <f t="shared" si="5"/>
        <v>130316</v>
      </c>
    </row>
    <row r="51" spans="1:19" s="219" customFormat="1" ht="12.75">
      <c r="A51" s="232" t="s">
        <v>91</v>
      </c>
      <c r="B51" s="36">
        <f>SUM(B52:B54)</f>
        <v>390428</v>
      </c>
      <c r="C51" s="36">
        <v>451303</v>
      </c>
      <c r="D51" s="56">
        <f>SUM(D52:D54)</f>
        <v>451303</v>
      </c>
      <c r="E51" s="228"/>
      <c r="F51" s="36"/>
      <c r="G51" s="56"/>
      <c r="H51" s="228"/>
      <c r="I51" s="36"/>
      <c r="J51" s="56"/>
      <c r="K51" s="228"/>
      <c r="L51" s="36"/>
      <c r="M51" s="56"/>
      <c r="N51" s="36"/>
      <c r="O51" s="229"/>
      <c r="P51" s="56"/>
      <c r="Q51" s="233">
        <f t="shared" si="3"/>
        <v>390428</v>
      </c>
      <c r="R51" s="202">
        <f t="shared" si="4"/>
        <v>451303</v>
      </c>
      <c r="S51" s="234">
        <f t="shared" si="5"/>
        <v>451303</v>
      </c>
    </row>
    <row r="52" spans="1:19" s="219" customFormat="1" ht="12.75">
      <c r="A52" s="238" t="s">
        <v>178</v>
      </c>
      <c r="B52" s="42">
        <v>180000</v>
      </c>
      <c r="C52" s="42">
        <v>200466</v>
      </c>
      <c r="D52" s="44">
        <v>200466</v>
      </c>
      <c r="E52" s="226"/>
      <c r="F52" s="42"/>
      <c r="G52" s="44"/>
      <c r="H52" s="226"/>
      <c r="I52" s="42"/>
      <c r="J52" s="44"/>
      <c r="K52" s="226"/>
      <c r="L52" s="42"/>
      <c r="M52" s="44"/>
      <c r="N52" s="42"/>
      <c r="O52" s="227"/>
      <c r="P52" s="44"/>
      <c r="Q52" s="214">
        <f t="shared" si="3"/>
        <v>180000</v>
      </c>
      <c r="R52" s="212">
        <f t="shared" si="4"/>
        <v>200466</v>
      </c>
      <c r="S52" s="213">
        <f t="shared" si="5"/>
        <v>200466</v>
      </c>
    </row>
    <row r="53" spans="1:19" s="219" customFormat="1" ht="12.75">
      <c r="A53" s="238" t="s">
        <v>179</v>
      </c>
      <c r="B53" s="42">
        <v>90428</v>
      </c>
      <c r="C53" s="42">
        <v>123334</v>
      </c>
      <c r="D53" s="44">
        <v>123334</v>
      </c>
      <c r="E53" s="226"/>
      <c r="F53" s="42"/>
      <c r="G53" s="44"/>
      <c r="H53" s="226"/>
      <c r="I53" s="42"/>
      <c r="J53" s="44"/>
      <c r="K53" s="226"/>
      <c r="L53" s="42"/>
      <c r="M53" s="44"/>
      <c r="N53" s="42"/>
      <c r="O53" s="227"/>
      <c r="P53" s="44"/>
      <c r="Q53" s="214">
        <f t="shared" si="3"/>
        <v>90428</v>
      </c>
      <c r="R53" s="212">
        <f t="shared" si="4"/>
        <v>123334</v>
      </c>
      <c r="S53" s="213">
        <f t="shared" si="5"/>
        <v>123334</v>
      </c>
    </row>
    <row r="54" spans="1:19" s="219" customFormat="1" ht="12.75">
      <c r="A54" s="238" t="s">
        <v>180</v>
      </c>
      <c r="B54" s="42">
        <v>120000</v>
      </c>
      <c r="C54" s="42">
        <v>127503</v>
      </c>
      <c r="D54" s="44">
        <v>127503</v>
      </c>
      <c r="E54" s="226"/>
      <c r="F54" s="42"/>
      <c r="G54" s="44"/>
      <c r="H54" s="226"/>
      <c r="I54" s="42"/>
      <c r="J54" s="44"/>
      <c r="K54" s="226"/>
      <c r="L54" s="42"/>
      <c r="M54" s="44"/>
      <c r="N54" s="42"/>
      <c r="O54" s="227"/>
      <c r="P54" s="44"/>
      <c r="Q54" s="214">
        <f t="shared" si="3"/>
        <v>120000</v>
      </c>
      <c r="R54" s="212">
        <f t="shared" si="4"/>
        <v>127503</v>
      </c>
      <c r="S54" s="213">
        <f t="shared" si="5"/>
        <v>127503</v>
      </c>
    </row>
    <row r="55" spans="1:19" s="230" customFormat="1" ht="12.75">
      <c r="A55" s="239" t="s">
        <v>181</v>
      </c>
      <c r="B55" s="36"/>
      <c r="C55" s="36"/>
      <c r="D55" s="56"/>
      <c r="E55" s="228"/>
      <c r="F55" s="36">
        <v>462363</v>
      </c>
      <c r="G55" s="56">
        <v>462363</v>
      </c>
      <c r="H55" s="228"/>
      <c r="I55" s="36"/>
      <c r="J55" s="56"/>
      <c r="K55" s="228"/>
      <c r="L55" s="36">
        <v>41006</v>
      </c>
      <c r="M55" s="56">
        <v>41006</v>
      </c>
      <c r="N55" s="36"/>
      <c r="O55" s="229">
        <v>47744</v>
      </c>
      <c r="P55" s="56">
        <v>47744</v>
      </c>
      <c r="Q55" s="214">
        <f t="shared" si="3"/>
        <v>0</v>
      </c>
      <c r="R55" s="212">
        <f t="shared" si="4"/>
        <v>551113</v>
      </c>
      <c r="S55" s="213">
        <f t="shared" si="5"/>
        <v>551113</v>
      </c>
    </row>
    <row r="56" spans="1:19" s="219" customFormat="1" ht="12.75">
      <c r="A56" s="232" t="s">
        <v>182</v>
      </c>
      <c r="B56" s="36">
        <v>1054863</v>
      </c>
      <c r="C56" s="36">
        <v>957557</v>
      </c>
      <c r="D56" s="56">
        <v>948762</v>
      </c>
      <c r="E56" s="228"/>
      <c r="F56" s="36"/>
      <c r="G56" s="56"/>
      <c r="H56" s="228"/>
      <c r="I56" s="36"/>
      <c r="J56" s="56"/>
      <c r="K56" s="228"/>
      <c r="L56" s="36"/>
      <c r="M56" s="56"/>
      <c r="N56" s="36"/>
      <c r="O56" s="229"/>
      <c r="P56" s="56"/>
      <c r="Q56" s="233">
        <f t="shared" si="3"/>
        <v>1054863</v>
      </c>
      <c r="R56" s="202">
        <f t="shared" si="4"/>
        <v>957557</v>
      </c>
      <c r="S56" s="234">
        <f t="shared" si="5"/>
        <v>948762</v>
      </c>
    </row>
    <row r="57" spans="1:20" ht="13.5">
      <c r="A57" s="240" t="s">
        <v>77</v>
      </c>
      <c r="B57" s="86">
        <f>SUM(B6,B28,B33,B37,B44,B50,B51,B56)</f>
        <v>7850803</v>
      </c>
      <c r="C57" s="86">
        <f>SUM(C6,C28,C33,C37,C44,C50,C51,C56)</f>
        <v>7603629</v>
      </c>
      <c r="D57" s="87">
        <f>SUM(D6,D28,D33,D37,D44,D50,D51,D56)</f>
        <v>7671582</v>
      </c>
      <c r="E57" s="241">
        <f>SUM(E6,E28,E33,E37,E44,E50,E51,E56)</f>
        <v>28740</v>
      </c>
      <c r="F57" s="86">
        <f>SUM(F6,F33,F50,F55)</f>
        <v>491103</v>
      </c>
      <c r="G57" s="87">
        <f>SUM(G6,G28,G33,G37,G44,G50,G51,G56,G55)</f>
        <v>519184</v>
      </c>
      <c r="H57" s="241">
        <f>SUM(H6,H28,H33,H37,H44,H50,H51,H56)</f>
        <v>3000</v>
      </c>
      <c r="I57" s="86">
        <f>SUM(I6,I28,I33,I37,I44,I50,I51,I56)</f>
        <v>3000</v>
      </c>
      <c r="J57" s="87">
        <f>SUM(J6,J28,J33,J37,J44,J50,J51,J56)</f>
        <v>3027</v>
      </c>
      <c r="K57" s="241">
        <f>SUM(K6,K28,K33,K37,K44,K50,K51,K56)</f>
        <v>199550</v>
      </c>
      <c r="L57" s="86">
        <f>SUM(L6,L33,L37,L55)</f>
        <v>244257</v>
      </c>
      <c r="M57" s="87">
        <f>SUM(M6,M28,M33,M37,M44,M50,M51,M56,M55)</f>
        <v>263382</v>
      </c>
      <c r="N57" s="86">
        <f>SUM(N6,N28,N33,N37,N44,N50,N51,N56)</f>
        <v>761450</v>
      </c>
      <c r="O57" s="86">
        <f>SUM(O6,O28,O33,O37,O44,O50,O51,O55,O56)</f>
        <v>810399</v>
      </c>
      <c r="P57" s="87">
        <f>SUM(P6,P28,P33,P37,P44,P50,P51,P55,P56)</f>
        <v>315762</v>
      </c>
      <c r="Q57" s="242">
        <f t="shared" si="3"/>
        <v>8843543</v>
      </c>
      <c r="R57" s="243">
        <f t="shared" si="4"/>
        <v>9152388</v>
      </c>
      <c r="S57" s="244">
        <f t="shared" si="5"/>
        <v>8772937</v>
      </c>
      <c r="T57" s="245">
        <f>SUM(S6,S28,S33,S44,S50,S51,S56,S37+S55)</f>
        <v>8772937</v>
      </c>
    </row>
  </sheetData>
  <sheetProtection selectLockedCells="1" selectUnlockedCells="1"/>
  <mergeCells count="7">
    <mergeCell ref="A2:S2"/>
    <mergeCell ref="B4:D4"/>
    <mergeCell ref="E4:G4"/>
    <mergeCell ref="H4:J4"/>
    <mergeCell ref="K4:M4"/>
    <mergeCell ref="N4:P4"/>
    <mergeCell ref="Q4:S4"/>
  </mergeCells>
  <printOptions horizontalCentered="1"/>
  <pageMargins left="0" right="0" top="0.8798611111111111" bottom="0.03958333333333333" header="0.5701388888888889" footer="0.5118055555555555"/>
  <pageSetup horizontalDpi="300" verticalDpi="300" orientation="landscape" paperSize="9" scale="49"/>
  <headerFooter alignWithMargins="0">
    <oddHeader>&amp;L&amp;8 3. melléklet a 24/2012. (VIII.31.) önkormányzati rendelethez
"3. melléklet a 3/2012.(II.16.) önkormányzati rendelethez"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G44"/>
  <sheetViews>
    <sheetView view="pageBreakPreview" zoomScaleSheetLayoutView="100" workbookViewId="0" topLeftCell="M1">
      <selection activeCell="U5" sqref="U5"/>
    </sheetView>
  </sheetViews>
  <sheetFormatPr defaultColWidth="9.00390625" defaultRowHeight="25.5" customHeight="1"/>
  <cols>
    <col min="1" max="2" width="0" style="1" hidden="1" customWidth="1"/>
    <col min="3" max="3" width="34.00390625" style="1" customWidth="1"/>
    <col min="4" max="5" width="12.75390625" style="1" customWidth="1"/>
    <col min="6" max="6" width="12.625" style="1" customWidth="1"/>
    <col min="7" max="7" width="13.125" style="1" customWidth="1"/>
    <col min="8" max="8" width="13.75390625" style="1" customWidth="1"/>
    <col min="9" max="9" width="13.375" style="1" customWidth="1"/>
    <col min="10" max="10" width="11.125" style="1" customWidth="1"/>
    <col min="11" max="11" width="11.25390625" style="1" customWidth="1"/>
    <col min="12" max="12" width="12.00390625" style="1" customWidth="1"/>
    <col min="13" max="13" width="13.25390625" style="1" customWidth="1"/>
    <col min="14" max="15" width="13.00390625" style="1" customWidth="1"/>
    <col min="16" max="16" width="13.625" style="1" customWidth="1"/>
    <col min="17" max="18" width="13.00390625" style="1" customWidth="1"/>
    <col min="19" max="19" width="11.375" style="1" customWidth="1"/>
    <col min="20" max="20" width="10.625" style="1" customWidth="1"/>
    <col min="21" max="21" width="12.25390625" style="1" customWidth="1"/>
    <col min="22" max="22" width="11.875" style="1" customWidth="1"/>
    <col min="23" max="16384" width="9.125" style="1" customWidth="1"/>
  </cols>
  <sheetData>
    <row r="1" spans="3:21" s="246" customFormat="1" ht="18" customHeight="1">
      <c r="C1" s="247" t="s">
        <v>183</v>
      </c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</row>
    <row r="2" spans="3:21" s="246" customFormat="1" ht="18" customHeight="1">
      <c r="C2" s="247" t="s">
        <v>184</v>
      </c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</row>
    <row r="3" spans="3:18" s="246" customFormat="1" ht="18" customHeight="1"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</row>
    <row r="4" spans="1:33" ht="84" customHeight="1">
      <c r="A4" s="249"/>
      <c r="B4" s="250"/>
      <c r="C4" s="251" t="s">
        <v>185</v>
      </c>
      <c r="D4" s="252" t="s">
        <v>144</v>
      </c>
      <c r="E4" s="252"/>
      <c r="F4" s="252"/>
      <c r="G4" s="253" t="s">
        <v>145</v>
      </c>
      <c r="H4" s="253"/>
      <c r="I4" s="253"/>
      <c r="J4" s="253" t="s">
        <v>186</v>
      </c>
      <c r="K4" s="253"/>
      <c r="L4" s="253"/>
      <c r="M4" s="253" t="s">
        <v>147</v>
      </c>
      <c r="N4" s="253"/>
      <c r="O4" s="253"/>
      <c r="P4" s="253" t="s">
        <v>148</v>
      </c>
      <c r="Q4" s="253"/>
      <c r="R4" s="253"/>
      <c r="S4" s="254" t="s">
        <v>149</v>
      </c>
      <c r="T4" s="254"/>
      <c r="U4" s="254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</row>
    <row r="5" spans="1:33" s="262" customFormat="1" ht="27.75" customHeight="1">
      <c r="A5" s="255"/>
      <c r="B5" s="256"/>
      <c r="C5" s="257"/>
      <c r="D5" s="258" t="s">
        <v>3</v>
      </c>
      <c r="E5" s="258" t="s">
        <v>4</v>
      </c>
      <c r="F5" s="259" t="s">
        <v>5</v>
      </c>
      <c r="G5" s="260" t="s">
        <v>3</v>
      </c>
      <c r="H5" s="258" t="s">
        <v>4</v>
      </c>
      <c r="I5" s="259" t="s">
        <v>5</v>
      </c>
      <c r="J5" s="260" t="s">
        <v>3</v>
      </c>
      <c r="K5" s="258" t="s">
        <v>4</v>
      </c>
      <c r="L5" s="259" t="s">
        <v>5</v>
      </c>
      <c r="M5" s="260" t="s">
        <v>3</v>
      </c>
      <c r="N5" s="258" t="s">
        <v>4</v>
      </c>
      <c r="O5" s="259" t="s">
        <v>5</v>
      </c>
      <c r="P5" s="260" t="s">
        <v>3</v>
      </c>
      <c r="Q5" s="258" t="s">
        <v>4</v>
      </c>
      <c r="R5" s="259" t="s">
        <v>5</v>
      </c>
      <c r="S5" s="260" t="s">
        <v>6</v>
      </c>
      <c r="T5" s="258" t="s">
        <v>4</v>
      </c>
      <c r="U5" s="259" t="s">
        <v>5</v>
      </c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</row>
    <row r="6" spans="1:33" s="2" customFormat="1" ht="15" customHeight="1">
      <c r="A6" s="263"/>
      <c r="B6" s="264"/>
      <c r="C6" s="21" t="s">
        <v>8</v>
      </c>
      <c r="D6" s="265">
        <f>60928-6180</f>
        <v>54748</v>
      </c>
      <c r="E6" s="266">
        <v>56212</v>
      </c>
      <c r="F6" s="267">
        <v>60090</v>
      </c>
      <c r="G6" s="268">
        <f>344664+6180</f>
        <v>350844</v>
      </c>
      <c r="H6" s="266">
        <v>361915</v>
      </c>
      <c r="I6" s="267">
        <v>362592</v>
      </c>
      <c r="J6" s="268">
        <v>9970</v>
      </c>
      <c r="K6" s="266">
        <v>10023</v>
      </c>
      <c r="L6" s="267">
        <v>10023</v>
      </c>
      <c r="M6" s="268">
        <v>869558</v>
      </c>
      <c r="N6" s="266">
        <v>893199</v>
      </c>
      <c r="O6" s="267">
        <v>911256</v>
      </c>
      <c r="P6" s="268">
        <v>404439</v>
      </c>
      <c r="Q6" s="266">
        <v>415744</v>
      </c>
      <c r="R6" s="267">
        <v>140862</v>
      </c>
      <c r="S6" s="269">
        <f aca="true" t="shared" si="0" ref="S6:U9">SUM(D6,G6,J6,M6,P6)</f>
        <v>1689559</v>
      </c>
      <c r="T6" s="23">
        <f t="shared" si="0"/>
        <v>1737093</v>
      </c>
      <c r="U6" s="270">
        <f>SUM(F6,I6,L6,O6,R6)</f>
        <v>1484823</v>
      </c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</row>
    <row r="7" spans="1:33" s="2" customFormat="1" ht="27.75" customHeight="1">
      <c r="A7" s="263"/>
      <c r="B7" s="264"/>
      <c r="C7" s="272" t="s">
        <v>187</v>
      </c>
      <c r="D7" s="273">
        <f>21183-1669</f>
        <v>19514</v>
      </c>
      <c r="E7" s="274">
        <v>12910</v>
      </c>
      <c r="F7" s="275">
        <v>13852</v>
      </c>
      <c r="G7" s="276">
        <f>90784+1669</f>
        <v>92453</v>
      </c>
      <c r="H7" s="274">
        <v>102399</v>
      </c>
      <c r="I7" s="275">
        <v>102520</v>
      </c>
      <c r="J7" s="276">
        <v>2719</v>
      </c>
      <c r="K7" s="274">
        <v>2733</v>
      </c>
      <c r="L7" s="275">
        <v>2733</v>
      </c>
      <c r="M7" s="276">
        <v>231427</v>
      </c>
      <c r="N7" s="274">
        <v>237810</v>
      </c>
      <c r="O7" s="275">
        <v>242140</v>
      </c>
      <c r="P7" s="276">
        <v>113543</v>
      </c>
      <c r="Q7" s="274">
        <v>116596</v>
      </c>
      <c r="R7" s="275">
        <v>37514</v>
      </c>
      <c r="S7" s="228">
        <f t="shared" si="0"/>
        <v>459656</v>
      </c>
      <c r="T7" s="36">
        <f t="shared" si="0"/>
        <v>472448</v>
      </c>
      <c r="U7" s="56">
        <f t="shared" si="0"/>
        <v>398759</v>
      </c>
      <c r="V7" s="271"/>
      <c r="W7" s="271"/>
      <c r="X7" s="271"/>
      <c r="Y7" s="271"/>
      <c r="Z7" s="271"/>
      <c r="AA7" s="271"/>
      <c r="AB7" s="271"/>
      <c r="AC7" s="271"/>
      <c r="AD7" s="271"/>
      <c r="AE7" s="271"/>
      <c r="AF7" s="271"/>
      <c r="AG7" s="271"/>
    </row>
    <row r="8" spans="1:33" s="2" customFormat="1" ht="15" customHeight="1">
      <c r="A8" s="263"/>
      <c r="B8" s="264"/>
      <c r="C8" s="272" t="s">
        <v>188</v>
      </c>
      <c r="D8" s="273">
        <v>649120</v>
      </c>
      <c r="E8" s="273">
        <v>651191</v>
      </c>
      <c r="F8" s="275">
        <v>682680</v>
      </c>
      <c r="G8" s="277">
        <v>158842</v>
      </c>
      <c r="H8" s="273">
        <v>158844</v>
      </c>
      <c r="I8" s="275">
        <v>159566</v>
      </c>
      <c r="J8" s="277">
        <v>4175</v>
      </c>
      <c r="K8" s="273">
        <v>4175</v>
      </c>
      <c r="L8" s="275">
        <v>4502</v>
      </c>
      <c r="M8" s="277">
        <v>447481</v>
      </c>
      <c r="N8" s="273">
        <v>481863</v>
      </c>
      <c r="O8" s="275">
        <v>496210</v>
      </c>
      <c r="P8" s="277">
        <v>243468</v>
      </c>
      <c r="Q8" s="274">
        <v>269784</v>
      </c>
      <c r="R8" s="275">
        <v>125147</v>
      </c>
      <c r="S8" s="228">
        <f t="shared" si="0"/>
        <v>1503086</v>
      </c>
      <c r="T8" s="36">
        <f t="shared" si="0"/>
        <v>1565857</v>
      </c>
      <c r="U8" s="56">
        <f t="shared" si="0"/>
        <v>1468105</v>
      </c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271"/>
      <c r="AG8" s="271"/>
    </row>
    <row r="9" spans="1:33" s="2" customFormat="1" ht="15" customHeight="1">
      <c r="A9" s="263"/>
      <c r="B9" s="264"/>
      <c r="C9" s="53" t="s">
        <v>189</v>
      </c>
      <c r="D9" s="278">
        <v>57415</v>
      </c>
      <c r="E9" s="279">
        <v>57415</v>
      </c>
      <c r="F9" s="280">
        <v>57415</v>
      </c>
      <c r="G9" s="281"/>
      <c r="H9" s="279"/>
      <c r="I9" s="280"/>
      <c r="J9" s="281"/>
      <c r="K9" s="279"/>
      <c r="L9" s="280"/>
      <c r="M9" s="281"/>
      <c r="N9" s="279"/>
      <c r="O9" s="280"/>
      <c r="P9" s="281"/>
      <c r="Q9" s="279"/>
      <c r="R9" s="280"/>
      <c r="S9" s="226">
        <f t="shared" si="0"/>
        <v>57415</v>
      </c>
      <c r="T9" s="42">
        <f t="shared" si="0"/>
        <v>57415</v>
      </c>
      <c r="U9" s="44">
        <f t="shared" si="0"/>
        <v>57415</v>
      </c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1"/>
      <c r="AG9" s="271"/>
    </row>
    <row r="10" spans="1:33" s="2" customFormat="1" ht="15" customHeight="1">
      <c r="A10" s="263"/>
      <c r="B10" s="264"/>
      <c r="C10" s="282" t="s">
        <v>190</v>
      </c>
      <c r="D10" s="273">
        <f>SUM(D11:D13)</f>
        <v>548320</v>
      </c>
      <c r="E10" s="273">
        <v>400970</v>
      </c>
      <c r="F10" s="275">
        <f>SUM(F11:F13)</f>
        <v>441799</v>
      </c>
      <c r="G10" s="277"/>
      <c r="H10" s="273">
        <v>140900</v>
      </c>
      <c r="I10" s="275">
        <f>SUM(I11:I13)</f>
        <v>140900</v>
      </c>
      <c r="J10" s="277"/>
      <c r="K10" s="273"/>
      <c r="L10" s="275"/>
      <c r="M10" s="277">
        <f>SUM(M11:M13)</f>
        <v>9420</v>
      </c>
      <c r="N10" s="273">
        <v>9420</v>
      </c>
      <c r="O10" s="275">
        <f>SUM(O11:O13)</f>
        <v>9646</v>
      </c>
      <c r="P10" s="277"/>
      <c r="Q10" s="274"/>
      <c r="R10" s="275"/>
      <c r="S10" s="228">
        <f aca="true" t="shared" si="1" ref="S10:S30">SUM(D10,G10,J10,M10,P10)</f>
        <v>557740</v>
      </c>
      <c r="T10" s="36">
        <f>SUM(T11:T13)</f>
        <v>551290</v>
      </c>
      <c r="U10" s="56">
        <f>SUM(U11:U13)</f>
        <v>592345</v>
      </c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</row>
    <row r="11" spans="1:33" ht="14.25" customHeight="1">
      <c r="A11" s="249"/>
      <c r="B11" s="250"/>
      <c r="C11" s="283" t="s">
        <v>191</v>
      </c>
      <c r="D11" s="278">
        <v>346470</v>
      </c>
      <c r="E11" s="279">
        <v>340020</v>
      </c>
      <c r="F11" s="280">
        <v>380849</v>
      </c>
      <c r="G11" s="281"/>
      <c r="H11" s="279"/>
      <c r="I11" s="280"/>
      <c r="J11" s="281"/>
      <c r="K11" s="279"/>
      <c r="L11" s="280"/>
      <c r="M11" s="281"/>
      <c r="N11" s="279"/>
      <c r="O11" s="280"/>
      <c r="P11" s="281"/>
      <c r="Q11" s="279"/>
      <c r="R11" s="280"/>
      <c r="S11" s="226">
        <f t="shared" si="1"/>
        <v>346470</v>
      </c>
      <c r="T11" s="42">
        <f aca="true" t="shared" si="2" ref="T11:U25">SUM(E11,H11,K11,N11,Q11)</f>
        <v>340020</v>
      </c>
      <c r="U11" s="44">
        <f t="shared" si="2"/>
        <v>380849</v>
      </c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</row>
    <row r="12" spans="1:33" s="288" customFormat="1" ht="30" customHeight="1">
      <c r="A12" s="284"/>
      <c r="B12" s="285"/>
      <c r="C12" s="231" t="s">
        <v>24</v>
      </c>
      <c r="D12" s="278">
        <v>201850</v>
      </c>
      <c r="E12" s="279">
        <v>60950</v>
      </c>
      <c r="F12" s="280">
        <v>60950</v>
      </c>
      <c r="G12" s="281"/>
      <c r="H12" s="279">
        <v>140900</v>
      </c>
      <c r="I12" s="280">
        <v>140900</v>
      </c>
      <c r="J12" s="281"/>
      <c r="K12" s="279"/>
      <c r="L12" s="280"/>
      <c r="M12" s="281"/>
      <c r="N12" s="279"/>
      <c r="O12" s="280">
        <v>226</v>
      </c>
      <c r="P12" s="281"/>
      <c r="Q12" s="279"/>
      <c r="R12" s="280"/>
      <c r="S12" s="286">
        <f t="shared" si="1"/>
        <v>201850</v>
      </c>
      <c r="T12" s="278">
        <f t="shared" si="2"/>
        <v>201850</v>
      </c>
      <c r="U12" s="280">
        <f t="shared" si="2"/>
        <v>202076</v>
      </c>
      <c r="V12" s="287"/>
      <c r="W12" s="287"/>
      <c r="X12" s="287"/>
      <c r="Y12" s="287"/>
      <c r="Z12" s="287"/>
      <c r="AA12" s="287"/>
      <c r="AB12" s="287"/>
      <c r="AC12" s="287"/>
      <c r="AD12" s="287"/>
      <c r="AE12" s="287"/>
      <c r="AF12" s="287"/>
      <c r="AG12" s="287"/>
    </row>
    <row r="13" spans="1:33" s="2" customFormat="1" ht="15" customHeight="1">
      <c r="A13" s="263"/>
      <c r="B13" s="264"/>
      <c r="C13" s="53" t="s">
        <v>26</v>
      </c>
      <c r="D13" s="278"/>
      <c r="E13" s="279"/>
      <c r="F13" s="280">
        <v>0</v>
      </c>
      <c r="G13" s="281"/>
      <c r="H13" s="279"/>
      <c r="I13" s="280"/>
      <c r="J13" s="281"/>
      <c r="K13" s="279"/>
      <c r="L13" s="280"/>
      <c r="M13" s="281">
        <v>9420</v>
      </c>
      <c r="N13" s="279">
        <v>9420</v>
      </c>
      <c r="O13" s="280">
        <v>9420</v>
      </c>
      <c r="P13" s="281"/>
      <c r="Q13" s="279"/>
      <c r="R13" s="280"/>
      <c r="S13" s="226">
        <f t="shared" si="1"/>
        <v>9420</v>
      </c>
      <c r="T13" s="42">
        <f t="shared" si="2"/>
        <v>9420</v>
      </c>
      <c r="U13" s="44">
        <f t="shared" si="2"/>
        <v>9420</v>
      </c>
      <c r="V13" s="271"/>
      <c r="W13" s="271"/>
      <c r="X13" s="271"/>
      <c r="Y13" s="271"/>
      <c r="Z13" s="271"/>
      <c r="AA13" s="271"/>
      <c r="AB13" s="271"/>
      <c r="AC13" s="271"/>
      <c r="AD13" s="271"/>
      <c r="AE13" s="271"/>
      <c r="AF13" s="271"/>
      <c r="AG13" s="271"/>
    </row>
    <row r="14" spans="1:33" s="2" customFormat="1" ht="15" customHeight="1">
      <c r="A14" s="289"/>
      <c r="B14" s="290"/>
      <c r="C14" s="34" t="s">
        <v>192</v>
      </c>
      <c r="D14" s="273">
        <v>1533282</v>
      </c>
      <c r="E14" s="274">
        <v>1634497</v>
      </c>
      <c r="F14" s="275">
        <f>1624424+9762</f>
        <v>1634186</v>
      </c>
      <c r="G14" s="276"/>
      <c r="H14" s="274"/>
      <c r="I14" s="275">
        <v>18515</v>
      </c>
      <c r="J14" s="276"/>
      <c r="K14" s="274"/>
      <c r="L14" s="275"/>
      <c r="M14" s="276">
        <v>6719</v>
      </c>
      <c r="N14" s="274">
        <v>6882</v>
      </c>
      <c r="O14" s="275">
        <v>9459</v>
      </c>
      <c r="P14" s="276"/>
      <c r="Q14" s="274">
        <v>14918</v>
      </c>
      <c r="R14" s="275">
        <v>14918</v>
      </c>
      <c r="S14" s="228">
        <f t="shared" si="1"/>
        <v>1540001</v>
      </c>
      <c r="T14" s="36">
        <f t="shared" si="2"/>
        <v>1656297</v>
      </c>
      <c r="U14" s="56">
        <f t="shared" si="2"/>
        <v>1677078</v>
      </c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</row>
    <row r="15" spans="1:33" s="2" customFormat="1" ht="15" customHeight="1">
      <c r="A15" s="264"/>
      <c r="B15" s="264"/>
      <c r="C15" s="34" t="s">
        <v>193</v>
      </c>
      <c r="D15" s="273">
        <v>32851</v>
      </c>
      <c r="E15" s="274">
        <v>37192</v>
      </c>
      <c r="F15" s="275">
        <v>55526</v>
      </c>
      <c r="G15" s="276"/>
      <c r="H15" s="274"/>
      <c r="I15" s="275"/>
      <c r="J15" s="276"/>
      <c r="K15" s="274"/>
      <c r="L15" s="275"/>
      <c r="M15" s="276"/>
      <c r="N15" s="274"/>
      <c r="O15" s="275">
        <v>11626</v>
      </c>
      <c r="P15" s="276"/>
      <c r="Q15" s="274"/>
      <c r="R15" s="275"/>
      <c r="S15" s="228">
        <f t="shared" si="1"/>
        <v>32851</v>
      </c>
      <c r="T15" s="36">
        <f t="shared" si="2"/>
        <v>37192</v>
      </c>
      <c r="U15" s="56">
        <f t="shared" si="2"/>
        <v>67152</v>
      </c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  <c r="AF15" s="271"/>
      <c r="AG15" s="271"/>
    </row>
    <row r="16" spans="1:33" s="2" customFormat="1" ht="24" customHeight="1">
      <c r="A16" s="264"/>
      <c r="B16" s="264"/>
      <c r="C16" s="272" t="s">
        <v>194</v>
      </c>
      <c r="D16" s="273">
        <v>42352</v>
      </c>
      <c r="E16" s="274">
        <v>42406</v>
      </c>
      <c r="F16" s="275">
        <v>63206</v>
      </c>
      <c r="G16" s="276"/>
      <c r="H16" s="274"/>
      <c r="I16" s="275"/>
      <c r="J16" s="276"/>
      <c r="K16" s="274"/>
      <c r="L16" s="275"/>
      <c r="M16" s="276"/>
      <c r="N16" s="274"/>
      <c r="O16" s="275"/>
      <c r="P16" s="276"/>
      <c r="Q16" s="274"/>
      <c r="R16" s="275"/>
      <c r="S16" s="228">
        <f t="shared" si="1"/>
        <v>42352</v>
      </c>
      <c r="T16" s="36">
        <f t="shared" si="2"/>
        <v>42406</v>
      </c>
      <c r="U16" s="56">
        <f t="shared" si="2"/>
        <v>63206</v>
      </c>
      <c r="V16" s="271"/>
      <c r="W16" s="271"/>
      <c r="X16" s="271"/>
      <c r="Y16" s="271"/>
      <c r="Z16" s="271"/>
      <c r="AA16" s="271"/>
      <c r="AB16" s="271"/>
      <c r="AC16" s="271"/>
      <c r="AD16" s="271"/>
      <c r="AE16" s="271"/>
      <c r="AF16" s="271"/>
      <c r="AG16" s="271"/>
    </row>
    <row r="17" spans="1:33" s="2" customFormat="1" ht="15" customHeight="1">
      <c r="A17" s="264"/>
      <c r="B17" s="264"/>
      <c r="C17" s="34" t="s">
        <v>39</v>
      </c>
      <c r="D17" s="273">
        <v>13000</v>
      </c>
      <c r="E17" s="274">
        <v>9575</v>
      </c>
      <c r="F17" s="275">
        <v>4357</v>
      </c>
      <c r="G17" s="276"/>
      <c r="H17" s="274"/>
      <c r="I17" s="275"/>
      <c r="J17" s="276"/>
      <c r="K17" s="274"/>
      <c r="L17" s="275"/>
      <c r="M17" s="276"/>
      <c r="N17" s="274"/>
      <c r="O17" s="275"/>
      <c r="P17" s="276"/>
      <c r="Q17" s="274"/>
      <c r="R17" s="275"/>
      <c r="S17" s="228">
        <f t="shared" si="1"/>
        <v>13000</v>
      </c>
      <c r="T17" s="36">
        <f t="shared" si="2"/>
        <v>9575</v>
      </c>
      <c r="U17" s="56">
        <f t="shared" si="2"/>
        <v>4357</v>
      </c>
      <c r="V17" s="271"/>
      <c r="W17" s="271"/>
      <c r="X17" s="271"/>
      <c r="Y17" s="271"/>
      <c r="Z17" s="271"/>
      <c r="AA17" s="271"/>
      <c r="AB17" s="271"/>
      <c r="AC17" s="271"/>
      <c r="AD17" s="271"/>
      <c r="AE17" s="271"/>
      <c r="AF17" s="271"/>
      <c r="AG17" s="271"/>
    </row>
    <row r="18" spans="1:33" s="2" customFormat="1" ht="26.25" customHeight="1">
      <c r="A18" s="264"/>
      <c r="B18" s="264"/>
      <c r="C18" s="272" t="s">
        <v>195</v>
      </c>
      <c r="D18" s="273">
        <v>136000</v>
      </c>
      <c r="E18" s="274">
        <v>102600</v>
      </c>
      <c r="F18" s="275">
        <v>20745</v>
      </c>
      <c r="G18" s="276"/>
      <c r="H18" s="274"/>
      <c r="I18" s="275"/>
      <c r="J18" s="276"/>
      <c r="K18" s="274"/>
      <c r="L18" s="275"/>
      <c r="M18" s="276"/>
      <c r="N18" s="274"/>
      <c r="O18" s="275"/>
      <c r="P18" s="276"/>
      <c r="Q18" s="274"/>
      <c r="R18" s="275"/>
      <c r="S18" s="228">
        <f t="shared" si="1"/>
        <v>136000</v>
      </c>
      <c r="T18" s="36">
        <f t="shared" si="2"/>
        <v>102600</v>
      </c>
      <c r="U18" s="56">
        <f>SUM(F18,I18,L18,O18,R18)</f>
        <v>20745</v>
      </c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F18" s="271"/>
      <c r="AG18" s="271"/>
    </row>
    <row r="19" spans="1:33" s="2" customFormat="1" ht="25.5" customHeight="1">
      <c r="A19" s="264"/>
      <c r="B19" s="264"/>
      <c r="C19" s="272" t="s">
        <v>196</v>
      </c>
      <c r="D19" s="273">
        <f>31412+13000</f>
        <v>44412</v>
      </c>
      <c r="E19" s="274">
        <v>20164</v>
      </c>
      <c r="F19" s="275">
        <f>15842-9762</f>
        <v>6080</v>
      </c>
      <c r="G19" s="276"/>
      <c r="H19" s="274"/>
      <c r="I19" s="275"/>
      <c r="J19" s="276"/>
      <c r="K19" s="274"/>
      <c r="L19" s="275"/>
      <c r="M19" s="276"/>
      <c r="N19" s="274"/>
      <c r="O19" s="275"/>
      <c r="P19" s="276"/>
      <c r="Q19" s="274"/>
      <c r="R19" s="275"/>
      <c r="S19" s="228">
        <f t="shared" si="1"/>
        <v>44412</v>
      </c>
      <c r="T19" s="36">
        <f t="shared" si="2"/>
        <v>20164</v>
      </c>
      <c r="U19" s="56">
        <f t="shared" si="2"/>
        <v>6080</v>
      </c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</row>
    <row r="20" spans="1:33" s="2" customFormat="1" ht="38.25" customHeight="1">
      <c r="A20" s="264"/>
      <c r="B20" s="264"/>
      <c r="C20" s="272" t="s">
        <v>197</v>
      </c>
      <c r="D20" s="273">
        <v>14173</v>
      </c>
      <c r="E20" s="274">
        <v>14173</v>
      </c>
      <c r="F20" s="275">
        <v>14173</v>
      </c>
      <c r="G20" s="276"/>
      <c r="H20" s="274"/>
      <c r="I20" s="275"/>
      <c r="J20" s="276"/>
      <c r="K20" s="274"/>
      <c r="L20" s="275"/>
      <c r="M20" s="276"/>
      <c r="N20" s="274"/>
      <c r="O20" s="275"/>
      <c r="P20" s="276"/>
      <c r="Q20" s="274"/>
      <c r="R20" s="275"/>
      <c r="S20" s="228">
        <f t="shared" si="1"/>
        <v>14173</v>
      </c>
      <c r="T20" s="36">
        <f t="shared" si="2"/>
        <v>14173</v>
      </c>
      <c r="U20" s="56">
        <f t="shared" si="2"/>
        <v>14173</v>
      </c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1"/>
      <c r="AG20" s="271"/>
    </row>
    <row r="21" spans="1:33" s="2" customFormat="1" ht="15" customHeight="1">
      <c r="A21" s="264"/>
      <c r="B21" s="264"/>
      <c r="C21" s="34" t="s">
        <v>49</v>
      </c>
      <c r="D21" s="273">
        <f>SUM(D22:D24)</f>
        <v>2643506</v>
      </c>
      <c r="E21" s="273">
        <v>2307338</v>
      </c>
      <c r="F21" s="275">
        <f>SUM(F22:F24)</f>
        <v>2298543</v>
      </c>
      <c r="G21" s="277"/>
      <c r="H21" s="273"/>
      <c r="I21" s="275"/>
      <c r="J21" s="277"/>
      <c r="K21" s="273"/>
      <c r="L21" s="275"/>
      <c r="M21" s="277"/>
      <c r="N21" s="273"/>
      <c r="O21" s="275"/>
      <c r="P21" s="277"/>
      <c r="Q21" s="274"/>
      <c r="R21" s="275"/>
      <c r="S21" s="228">
        <f t="shared" si="1"/>
        <v>2643506</v>
      </c>
      <c r="T21" s="36">
        <f t="shared" si="2"/>
        <v>2307338</v>
      </c>
      <c r="U21" s="56">
        <f t="shared" si="2"/>
        <v>2298543</v>
      </c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</row>
    <row r="22" spans="1:33" s="2" customFormat="1" ht="15" customHeight="1">
      <c r="A22" s="264"/>
      <c r="B22" s="264"/>
      <c r="C22" s="53" t="s">
        <v>198</v>
      </c>
      <c r="D22" s="278">
        <v>2586721</v>
      </c>
      <c r="E22" s="279">
        <v>2249944</v>
      </c>
      <c r="F22" s="280">
        <v>2241428</v>
      </c>
      <c r="G22" s="281"/>
      <c r="H22" s="279"/>
      <c r="I22" s="280"/>
      <c r="J22" s="281"/>
      <c r="K22" s="279"/>
      <c r="L22" s="280"/>
      <c r="M22" s="281"/>
      <c r="N22" s="279"/>
      <c r="O22" s="280"/>
      <c r="P22" s="281"/>
      <c r="Q22" s="279"/>
      <c r="R22" s="280"/>
      <c r="S22" s="226">
        <f t="shared" si="1"/>
        <v>2586721</v>
      </c>
      <c r="T22" s="42">
        <f t="shared" si="2"/>
        <v>2249944</v>
      </c>
      <c r="U22" s="44">
        <f t="shared" si="2"/>
        <v>2241428</v>
      </c>
      <c r="V22" s="271"/>
      <c r="W22" s="271"/>
      <c r="X22" s="271"/>
      <c r="Y22" s="271"/>
      <c r="Z22" s="271"/>
      <c r="AA22" s="271"/>
      <c r="AB22" s="271"/>
      <c r="AC22" s="271"/>
      <c r="AD22" s="271"/>
      <c r="AE22" s="271"/>
      <c r="AF22" s="271"/>
      <c r="AG22" s="271"/>
    </row>
    <row r="23" spans="1:33" s="2" customFormat="1" ht="15" customHeight="1">
      <c r="A23" s="264"/>
      <c r="B23" s="264"/>
      <c r="C23" s="53" t="s">
        <v>199</v>
      </c>
      <c r="D23" s="278">
        <v>39367</v>
      </c>
      <c r="E23" s="279">
        <v>35026</v>
      </c>
      <c r="F23" s="280">
        <v>34747</v>
      </c>
      <c r="G23" s="281"/>
      <c r="H23" s="279"/>
      <c r="I23" s="280"/>
      <c r="J23" s="281"/>
      <c r="K23" s="279"/>
      <c r="L23" s="280"/>
      <c r="M23" s="281"/>
      <c r="N23" s="279"/>
      <c r="O23" s="280"/>
      <c r="P23" s="281"/>
      <c r="Q23" s="279"/>
      <c r="R23" s="280"/>
      <c r="S23" s="226">
        <f t="shared" si="1"/>
        <v>39367</v>
      </c>
      <c r="T23" s="42">
        <f t="shared" si="2"/>
        <v>35026</v>
      </c>
      <c r="U23" s="44">
        <f t="shared" si="2"/>
        <v>34747</v>
      </c>
      <c r="V23" s="271"/>
      <c r="W23" s="271"/>
      <c r="X23" s="271"/>
      <c r="Y23" s="271"/>
      <c r="Z23" s="271"/>
      <c r="AA23" s="271"/>
      <c r="AB23" s="271"/>
      <c r="AC23" s="271"/>
      <c r="AD23" s="271"/>
      <c r="AE23" s="271"/>
      <c r="AF23" s="271"/>
      <c r="AG23" s="271"/>
    </row>
    <row r="24" spans="1:33" s="2" customFormat="1" ht="37.5" customHeight="1">
      <c r="A24" s="264"/>
      <c r="B24" s="264"/>
      <c r="C24" s="231" t="s">
        <v>200</v>
      </c>
      <c r="D24" s="278">
        <v>17418</v>
      </c>
      <c r="E24" s="279">
        <v>22368</v>
      </c>
      <c r="F24" s="280">
        <v>22368</v>
      </c>
      <c r="G24" s="281"/>
      <c r="H24" s="279"/>
      <c r="I24" s="280"/>
      <c r="J24" s="281"/>
      <c r="K24" s="279"/>
      <c r="L24" s="280"/>
      <c r="M24" s="281"/>
      <c r="N24" s="279"/>
      <c r="O24" s="280"/>
      <c r="P24" s="281"/>
      <c r="Q24" s="279"/>
      <c r="R24" s="280"/>
      <c r="S24" s="226">
        <f t="shared" si="1"/>
        <v>17418</v>
      </c>
      <c r="T24" s="42">
        <f t="shared" si="2"/>
        <v>22368</v>
      </c>
      <c r="U24" s="44">
        <f t="shared" si="2"/>
        <v>22368</v>
      </c>
      <c r="V24" s="271"/>
      <c r="W24" s="271"/>
      <c r="X24" s="271"/>
      <c r="Y24" s="271"/>
      <c r="Z24" s="271"/>
      <c r="AA24" s="271"/>
      <c r="AB24" s="271"/>
      <c r="AC24" s="271"/>
      <c r="AD24" s="271"/>
      <c r="AE24" s="271"/>
      <c r="AF24" s="271"/>
      <c r="AG24" s="271"/>
    </row>
    <row r="25" spans="1:33" s="2" customFormat="1" ht="15" customHeight="1">
      <c r="A25" s="264"/>
      <c r="B25" s="264"/>
      <c r="C25" s="34" t="s">
        <v>201</v>
      </c>
      <c r="D25" s="273">
        <f>SUM(D26,D29)</f>
        <v>4000</v>
      </c>
      <c r="E25" s="273">
        <v>21241</v>
      </c>
      <c r="F25" s="275">
        <f>SUM(F26,F29)</f>
        <v>62857</v>
      </c>
      <c r="G25" s="277">
        <f>SUM(G26,G29)</f>
        <v>1500</v>
      </c>
      <c r="H25" s="273">
        <v>1500</v>
      </c>
      <c r="I25" s="275">
        <f>SUM(I26,I29)</f>
        <v>1500</v>
      </c>
      <c r="J25" s="277"/>
      <c r="K25" s="273"/>
      <c r="L25" s="275"/>
      <c r="M25" s="277"/>
      <c r="N25" s="273"/>
      <c r="O25" s="275"/>
      <c r="P25" s="277"/>
      <c r="Q25" s="274"/>
      <c r="R25" s="275"/>
      <c r="S25" s="228">
        <f t="shared" si="1"/>
        <v>5500</v>
      </c>
      <c r="T25" s="36">
        <f t="shared" si="2"/>
        <v>22741</v>
      </c>
      <c r="U25" s="56">
        <f t="shared" si="2"/>
        <v>64357</v>
      </c>
      <c r="V25" s="271"/>
      <c r="W25" s="271"/>
      <c r="X25" s="271"/>
      <c r="Y25" s="271"/>
      <c r="Z25" s="271"/>
      <c r="AA25" s="271"/>
      <c r="AB25" s="271"/>
      <c r="AC25" s="271"/>
      <c r="AD25" s="271"/>
      <c r="AE25" s="271"/>
      <c r="AF25" s="271"/>
      <c r="AG25" s="271"/>
    </row>
    <row r="26" spans="1:33" ht="15" customHeight="1">
      <c r="A26" s="291"/>
      <c r="B26" s="291"/>
      <c r="C26" s="53" t="s">
        <v>202</v>
      </c>
      <c r="D26" s="278">
        <f>SUM(D27:D28)</f>
        <v>1500</v>
      </c>
      <c r="E26" s="278">
        <v>1500</v>
      </c>
      <c r="F26" s="280">
        <f>SUM(F27,F28)</f>
        <v>1500</v>
      </c>
      <c r="G26" s="286">
        <f>SUM(G27:G28)</f>
        <v>1500</v>
      </c>
      <c r="H26" s="278"/>
      <c r="I26" s="280">
        <f>SUM(I27:I28)</f>
        <v>1500</v>
      </c>
      <c r="J26" s="286"/>
      <c r="K26" s="278"/>
      <c r="L26" s="280"/>
      <c r="M26" s="286"/>
      <c r="N26" s="278"/>
      <c r="O26" s="280"/>
      <c r="P26" s="286"/>
      <c r="Q26" s="279"/>
      <c r="R26" s="280"/>
      <c r="S26" s="226">
        <f t="shared" si="1"/>
        <v>3000</v>
      </c>
      <c r="T26" s="42">
        <v>3000</v>
      </c>
      <c r="U26" s="44">
        <v>3000</v>
      </c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</row>
    <row r="27" spans="1:33" s="299" customFormat="1" ht="15" customHeight="1">
      <c r="A27" s="292"/>
      <c r="B27" s="292"/>
      <c r="C27" s="293" t="s">
        <v>203</v>
      </c>
      <c r="D27" s="294">
        <v>1500</v>
      </c>
      <c r="E27" s="295">
        <v>1500</v>
      </c>
      <c r="F27" s="296">
        <v>1500</v>
      </c>
      <c r="G27" s="297"/>
      <c r="H27" s="295"/>
      <c r="I27" s="296"/>
      <c r="J27" s="297"/>
      <c r="K27" s="295"/>
      <c r="L27" s="296"/>
      <c r="M27" s="297"/>
      <c r="N27" s="295"/>
      <c r="O27" s="296"/>
      <c r="P27" s="297"/>
      <c r="Q27" s="295"/>
      <c r="R27" s="296"/>
      <c r="S27" s="226">
        <f t="shared" si="1"/>
        <v>1500</v>
      </c>
      <c r="T27" s="42">
        <f aca="true" t="shared" si="3" ref="T27:U40">SUM(E27,H27,K27,N27,Q27)</f>
        <v>1500</v>
      </c>
      <c r="U27" s="44">
        <f t="shared" si="3"/>
        <v>1500</v>
      </c>
      <c r="V27" s="298"/>
      <c r="W27" s="298"/>
      <c r="X27" s="298"/>
      <c r="Y27" s="298"/>
      <c r="Z27" s="298"/>
      <c r="AA27" s="298"/>
      <c r="AB27" s="298"/>
      <c r="AC27" s="298"/>
      <c r="AD27" s="298"/>
      <c r="AE27" s="298"/>
      <c r="AF27" s="298"/>
      <c r="AG27" s="298"/>
    </row>
    <row r="28" spans="1:33" s="299" customFormat="1" ht="15" customHeight="1">
      <c r="A28" s="292"/>
      <c r="B28" s="292"/>
      <c r="C28" s="293" t="s">
        <v>124</v>
      </c>
      <c r="D28" s="294"/>
      <c r="E28" s="295"/>
      <c r="F28" s="296"/>
      <c r="G28" s="297">
        <v>1500</v>
      </c>
      <c r="H28" s="295">
        <v>1500</v>
      </c>
      <c r="I28" s="296">
        <v>1500</v>
      </c>
      <c r="J28" s="297"/>
      <c r="K28" s="295"/>
      <c r="L28" s="296"/>
      <c r="M28" s="297"/>
      <c r="N28" s="295"/>
      <c r="O28" s="296"/>
      <c r="P28" s="297"/>
      <c r="Q28" s="295"/>
      <c r="R28" s="296"/>
      <c r="S28" s="226">
        <f t="shared" si="1"/>
        <v>1500</v>
      </c>
      <c r="T28" s="42">
        <f t="shared" si="3"/>
        <v>1500</v>
      </c>
      <c r="U28" s="44">
        <f t="shared" si="3"/>
        <v>1500</v>
      </c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298"/>
      <c r="AG28" s="298"/>
    </row>
    <row r="29" spans="1:33" ht="15" customHeight="1">
      <c r="A29" s="291"/>
      <c r="B29" s="291"/>
      <c r="C29" s="53" t="s">
        <v>58</v>
      </c>
      <c r="D29" s="278">
        <f>SUM(D30:D30)</f>
        <v>2500</v>
      </c>
      <c r="E29" s="278">
        <v>19741</v>
      </c>
      <c r="F29" s="280">
        <f>SUM(F30:F34)</f>
        <v>61357</v>
      </c>
      <c r="G29" s="286"/>
      <c r="H29" s="278"/>
      <c r="I29" s="280"/>
      <c r="J29" s="286"/>
      <c r="K29" s="278"/>
      <c r="L29" s="280"/>
      <c r="M29" s="286"/>
      <c r="N29" s="278"/>
      <c r="O29" s="280"/>
      <c r="P29" s="286"/>
      <c r="Q29" s="279"/>
      <c r="R29" s="280"/>
      <c r="S29" s="226">
        <f t="shared" si="1"/>
        <v>2500</v>
      </c>
      <c r="T29" s="42">
        <f t="shared" si="3"/>
        <v>19741</v>
      </c>
      <c r="U29" s="44">
        <f t="shared" si="3"/>
        <v>61357</v>
      </c>
      <c r="V29" s="246"/>
      <c r="W29" s="246"/>
      <c r="X29" s="246"/>
      <c r="Y29" s="246"/>
      <c r="Z29" s="246"/>
      <c r="AA29" s="246"/>
      <c r="AB29" s="246"/>
      <c r="AC29" s="246"/>
      <c r="AD29" s="246"/>
      <c r="AE29" s="246"/>
      <c r="AF29" s="246"/>
      <c r="AG29" s="246"/>
    </row>
    <row r="30" spans="1:33" s="299" customFormat="1" ht="15" customHeight="1">
      <c r="A30" s="292"/>
      <c r="B30" s="292"/>
      <c r="C30" s="300" t="s">
        <v>204</v>
      </c>
      <c r="D30" s="294">
        <v>2500</v>
      </c>
      <c r="E30" s="295">
        <v>2500</v>
      </c>
      <c r="F30" s="296">
        <v>2500</v>
      </c>
      <c r="G30" s="297"/>
      <c r="H30" s="295"/>
      <c r="I30" s="296"/>
      <c r="J30" s="297"/>
      <c r="K30" s="295"/>
      <c r="L30" s="296"/>
      <c r="M30" s="297"/>
      <c r="N30" s="295"/>
      <c r="O30" s="296"/>
      <c r="P30" s="297"/>
      <c r="Q30" s="295"/>
      <c r="R30" s="296"/>
      <c r="S30" s="226">
        <f t="shared" si="1"/>
        <v>2500</v>
      </c>
      <c r="T30" s="42">
        <f t="shared" si="3"/>
        <v>2500</v>
      </c>
      <c r="U30" s="44">
        <f t="shared" si="3"/>
        <v>2500</v>
      </c>
      <c r="V30" s="298"/>
      <c r="W30" s="298"/>
      <c r="X30" s="298"/>
      <c r="Y30" s="298"/>
      <c r="Z30" s="298"/>
      <c r="AA30" s="298"/>
      <c r="AB30" s="298"/>
      <c r="AC30" s="298"/>
      <c r="AD30" s="298"/>
      <c r="AE30" s="298"/>
      <c r="AF30" s="298"/>
      <c r="AG30" s="298"/>
    </row>
    <row r="31" spans="1:33" s="299" customFormat="1" ht="15" customHeight="1">
      <c r="A31" s="292"/>
      <c r="B31" s="292"/>
      <c r="C31" s="301" t="s">
        <v>205</v>
      </c>
      <c r="D31" s="302"/>
      <c r="E31" s="303">
        <v>2000</v>
      </c>
      <c r="F31" s="304">
        <v>2000</v>
      </c>
      <c r="G31" s="305"/>
      <c r="H31" s="303"/>
      <c r="I31" s="304"/>
      <c r="J31" s="305"/>
      <c r="K31" s="303"/>
      <c r="L31" s="304"/>
      <c r="M31" s="305"/>
      <c r="N31" s="303"/>
      <c r="O31" s="304"/>
      <c r="P31" s="305"/>
      <c r="Q31" s="303"/>
      <c r="R31" s="304"/>
      <c r="S31" s="226"/>
      <c r="T31" s="42">
        <f t="shared" si="3"/>
        <v>2000</v>
      </c>
      <c r="U31" s="44">
        <f t="shared" si="3"/>
        <v>2000</v>
      </c>
      <c r="V31" s="298"/>
      <c r="W31" s="298"/>
      <c r="X31" s="298"/>
      <c r="Y31" s="298"/>
      <c r="Z31" s="298"/>
      <c r="AA31" s="298"/>
      <c r="AB31" s="298"/>
      <c r="AC31" s="298"/>
      <c r="AD31" s="298"/>
      <c r="AE31" s="298"/>
      <c r="AF31" s="298"/>
      <c r="AG31" s="298"/>
    </row>
    <row r="32" spans="1:33" s="299" customFormat="1" ht="15" customHeight="1">
      <c r="A32" s="292"/>
      <c r="B32" s="292"/>
      <c r="C32" s="301" t="s">
        <v>206</v>
      </c>
      <c r="D32" s="302"/>
      <c r="E32" s="303">
        <v>15241</v>
      </c>
      <c r="F32" s="304">
        <v>15241</v>
      </c>
      <c r="G32" s="305"/>
      <c r="H32" s="303"/>
      <c r="I32" s="304"/>
      <c r="J32" s="305"/>
      <c r="K32" s="303"/>
      <c r="L32" s="304"/>
      <c r="M32" s="305"/>
      <c r="N32" s="303"/>
      <c r="O32" s="304"/>
      <c r="P32" s="305"/>
      <c r="Q32" s="303"/>
      <c r="R32" s="304"/>
      <c r="S32" s="226"/>
      <c r="T32" s="42">
        <f t="shared" si="3"/>
        <v>15241</v>
      </c>
      <c r="U32" s="44">
        <f t="shared" si="3"/>
        <v>15241</v>
      </c>
      <c r="V32" s="298"/>
      <c r="W32" s="298"/>
      <c r="X32" s="298"/>
      <c r="Y32" s="298"/>
      <c r="Z32" s="298"/>
      <c r="AA32" s="298"/>
      <c r="AB32" s="298"/>
      <c r="AC32" s="298"/>
      <c r="AD32" s="298"/>
      <c r="AE32" s="298"/>
      <c r="AF32" s="298"/>
      <c r="AG32" s="298"/>
    </row>
    <row r="33" spans="1:33" s="299" customFormat="1" ht="15" customHeight="1">
      <c r="A33" s="292"/>
      <c r="B33" s="292"/>
      <c r="C33" s="301" t="s">
        <v>207</v>
      </c>
      <c r="D33" s="302"/>
      <c r="E33" s="303"/>
      <c r="F33" s="304">
        <v>3000</v>
      </c>
      <c r="G33" s="305"/>
      <c r="H33" s="303"/>
      <c r="I33" s="304"/>
      <c r="J33" s="305"/>
      <c r="K33" s="303"/>
      <c r="L33" s="304"/>
      <c r="M33" s="305"/>
      <c r="N33" s="303"/>
      <c r="O33" s="304"/>
      <c r="P33" s="305"/>
      <c r="Q33" s="303"/>
      <c r="R33" s="304"/>
      <c r="S33" s="226"/>
      <c r="T33" s="42">
        <f t="shared" si="3"/>
        <v>0</v>
      </c>
      <c r="U33" s="44">
        <f t="shared" si="3"/>
        <v>3000</v>
      </c>
      <c r="V33" s="298"/>
      <c r="W33" s="298"/>
      <c r="X33" s="298"/>
      <c r="Y33" s="298"/>
      <c r="Z33" s="298"/>
      <c r="AA33" s="298"/>
      <c r="AB33" s="298"/>
      <c r="AC33" s="298"/>
      <c r="AD33" s="298"/>
      <c r="AE33" s="298"/>
      <c r="AF33" s="298"/>
      <c r="AG33" s="298"/>
    </row>
    <row r="34" spans="1:33" s="299" customFormat="1" ht="15" customHeight="1">
      <c r="A34" s="292"/>
      <c r="B34" s="292"/>
      <c r="C34" s="301" t="s">
        <v>208</v>
      </c>
      <c r="D34" s="302"/>
      <c r="E34" s="303"/>
      <c r="F34" s="304">
        <v>38616</v>
      </c>
      <c r="G34" s="305"/>
      <c r="H34" s="303"/>
      <c r="I34" s="304"/>
      <c r="J34" s="305"/>
      <c r="K34" s="303"/>
      <c r="L34" s="304"/>
      <c r="M34" s="305"/>
      <c r="N34" s="303"/>
      <c r="O34" s="304"/>
      <c r="P34" s="305"/>
      <c r="Q34" s="303"/>
      <c r="R34" s="304"/>
      <c r="S34" s="226"/>
      <c r="T34" s="42">
        <f t="shared" si="3"/>
        <v>0</v>
      </c>
      <c r="U34" s="44">
        <f t="shared" si="3"/>
        <v>38616</v>
      </c>
      <c r="V34" s="298"/>
      <c r="W34" s="298"/>
      <c r="X34" s="298"/>
      <c r="Y34" s="298"/>
      <c r="Z34" s="298"/>
      <c r="AA34" s="298"/>
      <c r="AB34" s="298"/>
      <c r="AC34" s="298"/>
      <c r="AD34" s="298"/>
      <c r="AE34" s="298"/>
      <c r="AF34" s="298"/>
      <c r="AG34" s="298"/>
    </row>
    <row r="35" spans="1:33" s="2" customFormat="1" ht="27" customHeight="1">
      <c r="A35" s="306"/>
      <c r="B35" s="306"/>
      <c r="C35" s="307" t="s">
        <v>209</v>
      </c>
      <c r="D35" s="308">
        <f>SUM(D36:D37)</f>
        <v>27692</v>
      </c>
      <c r="E35" s="308">
        <v>27692</v>
      </c>
      <c r="F35" s="309">
        <f>SUM(F36:F37)</f>
        <v>27692</v>
      </c>
      <c r="G35" s="310"/>
      <c r="H35" s="308"/>
      <c r="I35" s="309"/>
      <c r="J35" s="310"/>
      <c r="K35" s="308"/>
      <c r="L35" s="309"/>
      <c r="M35" s="310"/>
      <c r="N35" s="308"/>
      <c r="O35" s="309"/>
      <c r="P35" s="310"/>
      <c r="Q35" s="311"/>
      <c r="R35" s="309"/>
      <c r="S35" s="228">
        <f aca="true" t="shared" si="4" ref="S35:S40">SUM(D35,G35,J35,M35,P35)</f>
        <v>27692</v>
      </c>
      <c r="T35" s="36">
        <f t="shared" si="3"/>
        <v>27692</v>
      </c>
      <c r="U35" s="56">
        <f t="shared" si="3"/>
        <v>27692</v>
      </c>
      <c r="V35" s="271"/>
      <c r="W35" s="271"/>
      <c r="X35" s="271"/>
      <c r="Y35" s="271"/>
      <c r="Z35" s="271"/>
      <c r="AA35" s="271"/>
      <c r="AB35" s="271"/>
      <c r="AC35" s="271"/>
      <c r="AD35" s="271"/>
      <c r="AE35" s="271"/>
      <c r="AF35" s="271"/>
      <c r="AG35" s="271"/>
    </row>
    <row r="36" spans="1:33" ht="15" customHeight="1">
      <c r="A36" s="291"/>
      <c r="B36" s="291"/>
      <c r="C36" s="312" t="s">
        <v>210</v>
      </c>
      <c r="D36" s="313">
        <v>23408</v>
      </c>
      <c r="E36" s="314">
        <v>23408</v>
      </c>
      <c r="F36" s="315">
        <v>23408</v>
      </c>
      <c r="G36" s="316"/>
      <c r="H36" s="314"/>
      <c r="I36" s="315"/>
      <c r="J36" s="316"/>
      <c r="K36" s="314"/>
      <c r="L36" s="315"/>
      <c r="M36" s="316"/>
      <c r="N36" s="314"/>
      <c r="O36" s="315"/>
      <c r="P36" s="316"/>
      <c r="Q36" s="314"/>
      <c r="R36" s="315"/>
      <c r="S36" s="226">
        <f t="shared" si="4"/>
        <v>23408</v>
      </c>
      <c r="T36" s="42">
        <f t="shared" si="3"/>
        <v>23408</v>
      </c>
      <c r="U36" s="44">
        <f t="shared" si="3"/>
        <v>23408</v>
      </c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</row>
    <row r="37" spans="1:33" ht="15" customHeight="1">
      <c r="A37" s="291"/>
      <c r="B37" s="291"/>
      <c r="C37" s="312" t="s">
        <v>211</v>
      </c>
      <c r="D37" s="313">
        <f>1123+3161</f>
        <v>4284</v>
      </c>
      <c r="E37" s="314">
        <v>4284</v>
      </c>
      <c r="F37" s="315">
        <v>4284</v>
      </c>
      <c r="G37" s="316"/>
      <c r="H37" s="314"/>
      <c r="I37" s="315"/>
      <c r="J37" s="316"/>
      <c r="K37" s="314"/>
      <c r="L37" s="315"/>
      <c r="M37" s="316"/>
      <c r="N37" s="314"/>
      <c r="O37" s="315"/>
      <c r="P37" s="316"/>
      <c r="Q37" s="314"/>
      <c r="R37" s="315"/>
      <c r="S37" s="226">
        <f t="shared" si="4"/>
        <v>4284</v>
      </c>
      <c r="T37" s="42">
        <f t="shared" si="3"/>
        <v>4284</v>
      </c>
      <c r="U37" s="44">
        <f t="shared" si="3"/>
        <v>4284</v>
      </c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F37" s="246"/>
      <c r="AG37" s="246"/>
    </row>
    <row r="38" spans="1:33" s="2" customFormat="1" ht="24" customHeight="1">
      <c r="A38" s="306"/>
      <c r="B38" s="306"/>
      <c r="C38" s="272" t="s">
        <v>212</v>
      </c>
      <c r="D38" s="273">
        <f>SUM(D39:D40)</f>
        <v>134015</v>
      </c>
      <c r="E38" s="273">
        <v>134015</v>
      </c>
      <c r="F38" s="275">
        <f>SUM(F39:F40)</f>
        <v>134015</v>
      </c>
      <c r="G38" s="277"/>
      <c r="H38" s="273"/>
      <c r="I38" s="275"/>
      <c r="J38" s="277"/>
      <c r="K38" s="273"/>
      <c r="L38" s="275"/>
      <c r="M38" s="277"/>
      <c r="N38" s="273"/>
      <c r="O38" s="275"/>
      <c r="P38" s="277"/>
      <c r="Q38" s="274"/>
      <c r="R38" s="275"/>
      <c r="S38" s="228">
        <f t="shared" si="4"/>
        <v>134015</v>
      </c>
      <c r="T38" s="36">
        <f t="shared" si="3"/>
        <v>134015</v>
      </c>
      <c r="U38" s="56">
        <f t="shared" si="3"/>
        <v>134015</v>
      </c>
      <c r="V38" s="271"/>
      <c r="W38" s="271"/>
      <c r="X38" s="271"/>
      <c r="Y38" s="271"/>
      <c r="Z38" s="271"/>
      <c r="AA38" s="271"/>
      <c r="AB38" s="271"/>
      <c r="AC38" s="271"/>
      <c r="AD38" s="271"/>
      <c r="AE38" s="271"/>
      <c r="AF38" s="271"/>
      <c r="AG38" s="271"/>
    </row>
    <row r="39" spans="1:33" ht="15" customHeight="1">
      <c r="A39" s="291"/>
      <c r="B39" s="291"/>
      <c r="C39" s="317" t="s">
        <v>213</v>
      </c>
      <c r="D39" s="313">
        <f>22729-2850</f>
        <v>19879</v>
      </c>
      <c r="E39" s="314">
        <v>19879</v>
      </c>
      <c r="F39" s="315">
        <v>19879</v>
      </c>
      <c r="G39" s="316"/>
      <c r="H39" s="314"/>
      <c r="I39" s="315"/>
      <c r="J39" s="316"/>
      <c r="K39" s="314"/>
      <c r="L39" s="315"/>
      <c r="M39" s="316"/>
      <c r="N39" s="314"/>
      <c r="O39" s="315"/>
      <c r="P39" s="316"/>
      <c r="Q39" s="314"/>
      <c r="R39" s="315"/>
      <c r="S39" s="226">
        <f t="shared" si="4"/>
        <v>19879</v>
      </c>
      <c r="T39" s="42">
        <f t="shared" si="3"/>
        <v>19879</v>
      </c>
      <c r="U39" s="44">
        <f t="shared" si="3"/>
        <v>19879</v>
      </c>
      <c r="V39" s="246"/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</row>
    <row r="40" spans="1:33" ht="15" customHeight="1">
      <c r="A40" s="291"/>
      <c r="B40" s="291"/>
      <c r="C40" s="317" t="s">
        <v>214</v>
      </c>
      <c r="D40" s="313">
        <v>114136</v>
      </c>
      <c r="E40" s="314">
        <v>114136</v>
      </c>
      <c r="F40" s="315">
        <v>114136</v>
      </c>
      <c r="G40" s="316"/>
      <c r="H40" s="314"/>
      <c r="I40" s="315"/>
      <c r="J40" s="316"/>
      <c r="K40" s="314"/>
      <c r="L40" s="315"/>
      <c r="M40" s="316"/>
      <c r="N40" s="314"/>
      <c r="O40" s="315"/>
      <c r="P40" s="316"/>
      <c r="Q40" s="314"/>
      <c r="R40" s="315"/>
      <c r="S40" s="226">
        <f t="shared" si="4"/>
        <v>114136</v>
      </c>
      <c r="T40" s="42">
        <f t="shared" si="3"/>
        <v>114136</v>
      </c>
      <c r="U40" s="44">
        <f t="shared" si="3"/>
        <v>114136</v>
      </c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</row>
    <row r="41" spans="1:33" s="2" customFormat="1" ht="15" customHeight="1">
      <c r="A41" s="306"/>
      <c r="B41" s="306"/>
      <c r="C41" s="318" t="s">
        <v>61</v>
      </c>
      <c r="D41" s="308"/>
      <c r="E41" s="311"/>
      <c r="F41" s="309"/>
      <c r="G41" s="319"/>
      <c r="H41" s="311">
        <v>451507</v>
      </c>
      <c r="I41" s="309">
        <f>SUM(I42:I43)</f>
        <v>451507</v>
      </c>
      <c r="J41" s="319"/>
      <c r="K41" s="311"/>
      <c r="L41" s="309"/>
      <c r="M41" s="319"/>
      <c r="N41" s="311"/>
      <c r="O41" s="309"/>
      <c r="P41" s="319"/>
      <c r="Q41" s="311"/>
      <c r="R41" s="309"/>
      <c r="S41" s="226"/>
      <c r="T41" s="36">
        <v>451507</v>
      </c>
      <c r="U41" s="56">
        <f>SUM(F41,I41,L41,O41,R41)</f>
        <v>451507</v>
      </c>
      <c r="V41" s="271"/>
      <c r="W41" s="271"/>
      <c r="X41" s="271"/>
      <c r="Y41" s="271"/>
      <c r="Z41" s="271"/>
      <c r="AA41" s="271"/>
      <c r="AB41" s="271"/>
      <c r="AC41" s="271"/>
      <c r="AD41" s="271"/>
      <c r="AE41" s="271"/>
      <c r="AF41" s="271"/>
      <c r="AG41" s="271"/>
    </row>
    <row r="42" spans="1:33" ht="15" customHeight="1">
      <c r="A42" s="291"/>
      <c r="B42" s="291"/>
      <c r="C42" s="320" t="s">
        <v>215</v>
      </c>
      <c r="D42" s="313"/>
      <c r="E42" s="314"/>
      <c r="F42" s="315"/>
      <c r="G42" s="316"/>
      <c r="H42" s="314">
        <v>123538</v>
      </c>
      <c r="I42" s="315">
        <v>123538</v>
      </c>
      <c r="J42" s="316"/>
      <c r="K42" s="314"/>
      <c r="L42" s="315"/>
      <c r="M42" s="316"/>
      <c r="N42" s="314"/>
      <c r="O42" s="315"/>
      <c r="P42" s="316"/>
      <c r="Q42" s="314"/>
      <c r="R42" s="315"/>
      <c r="S42" s="226"/>
      <c r="T42" s="42">
        <f>SUM(E42,H42,K42,N42,Q42)</f>
        <v>123538</v>
      </c>
      <c r="U42" s="44">
        <f>SUM(F42,I42,L42,O42,R42)</f>
        <v>123538</v>
      </c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</row>
    <row r="43" spans="1:33" ht="15" customHeight="1">
      <c r="A43" s="291"/>
      <c r="B43" s="291"/>
      <c r="C43" s="320" t="s">
        <v>216</v>
      </c>
      <c r="D43" s="313"/>
      <c r="E43" s="314"/>
      <c r="F43" s="315"/>
      <c r="G43" s="316"/>
      <c r="H43" s="314">
        <v>327969</v>
      </c>
      <c r="I43" s="315">
        <v>327969</v>
      </c>
      <c r="J43" s="316"/>
      <c r="K43" s="314"/>
      <c r="L43" s="315"/>
      <c r="M43" s="316"/>
      <c r="N43" s="314"/>
      <c r="O43" s="315"/>
      <c r="P43" s="316"/>
      <c r="Q43" s="314"/>
      <c r="R43" s="315"/>
      <c r="S43" s="226"/>
      <c r="T43" s="42">
        <f>SUM(E43,H43,K43,N43,Q43)</f>
        <v>327969</v>
      </c>
      <c r="U43" s="44">
        <f>SUM(F43,I43,L43,O43,R43)</f>
        <v>327969</v>
      </c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</row>
    <row r="44" spans="1:33" s="2" customFormat="1" ht="15" customHeight="1">
      <c r="A44" s="306"/>
      <c r="B44" s="306"/>
      <c r="C44" s="321" t="s">
        <v>78</v>
      </c>
      <c r="D44" s="322">
        <f>SUM(D6,D7,D8,D10,D14,D15,D16,D17,D18,D19,D25,D35,D38,D21,D20)</f>
        <v>5896985</v>
      </c>
      <c r="E44" s="322">
        <f>SUM(E6:E8,E10,E14:E19,E20:E21,E25,E35,E38)</f>
        <v>5472176</v>
      </c>
      <c r="F44" s="323">
        <f>SUM(F6,F7,F8,F10,F14,F15,F16,F17,F18,F19,F25,F35,F38,F21,F20)</f>
        <v>5519801</v>
      </c>
      <c r="G44" s="324">
        <f>SUM(G6,G7,G8,G10,G14,G15,G16,G17,G18,G19,G25,G35,G38,G21,G20)</f>
        <v>603639</v>
      </c>
      <c r="H44" s="322">
        <f>SUM(H6:H8,H12,H25+H41)</f>
        <v>1217065</v>
      </c>
      <c r="I44" s="323">
        <f>SUM(I6:I8,I12,I25+I41+I14)</f>
        <v>1237100</v>
      </c>
      <c r="J44" s="324">
        <f>SUM(J6,J7,J8,J10,J14,J15,J16,J17,J18,J19,J25,J35,J38,J21,J20)</f>
        <v>16864</v>
      </c>
      <c r="K44" s="322">
        <f>SUM(K6:K8)</f>
        <v>16931</v>
      </c>
      <c r="L44" s="323">
        <f>SUM(L6:L8)</f>
        <v>17258</v>
      </c>
      <c r="M44" s="324">
        <f>SUM(M6+M7+M8+M13+M14+M15)</f>
        <v>1564605</v>
      </c>
      <c r="N44" s="322">
        <f>SUM(N6:N8,N10,N14)</f>
        <v>1629174</v>
      </c>
      <c r="O44" s="323">
        <f>SUM(O6+O7+O8+O10+O14+O15)</f>
        <v>1680337</v>
      </c>
      <c r="P44" s="324">
        <f>SUM(P6+P7+P8+P15)</f>
        <v>761450</v>
      </c>
      <c r="Q44" s="325">
        <f>SUM(Q6:Q14)</f>
        <v>817042</v>
      </c>
      <c r="R44" s="323">
        <f>SUM(R6:R14)</f>
        <v>318441</v>
      </c>
      <c r="S44" s="241">
        <f>SUM(D44,G44,J44,M44,P44)</f>
        <v>8843543</v>
      </c>
      <c r="T44" s="86">
        <f>SUM(E44,H44,K44,N44,Q44)</f>
        <v>9152388</v>
      </c>
      <c r="U44" s="87">
        <f>SUM(F44,I44,L44,O44,R44)</f>
        <v>8772937</v>
      </c>
      <c r="V44" s="326">
        <f>SUM(U6,U7,U8,U10,U14,U15,U16,U17,U18,U19,U25,U35,U38,U21,U20+U41)</f>
        <v>8772937</v>
      </c>
      <c r="W44" s="271"/>
      <c r="X44" s="271"/>
      <c r="Y44" s="271"/>
      <c r="Z44" s="271"/>
      <c r="AA44" s="271"/>
      <c r="AB44" s="271"/>
      <c r="AC44" s="271"/>
      <c r="AD44" s="271"/>
      <c r="AE44" s="271"/>
      <c r="AF44" s="271"/>
      <c r="AG44" s="271"/>
    </row>
  </sheetData>
  <sheetProtection selectLockedCells="1" selectUnlockedCells="1"/>
  <mergeCells count="8">
    <mergeCell ref="C1:U1"/>
    <mergeCell ref="C2:U2"/>
    <mergeCell ref="D4:F4"/>
    <mergeCell ref="G4:I4"/>
    <mergeCell ref="J4:L4"/>
    <mergeCell ref="M4:O4"/>
    <mergeCell ref="P4:R4"/>
    <mergeCell ref="S4:U4"/>
  </mergeCells>
  <printOptions horizontalCentered="1"/>
  <pageMargins left="0.2" right="0" top="0.39375" bottom="0.39375" header="0.39375" footer="0.5118055555555555"/>
  <pageSetup horizontalDpi="300" verticalDpi="300" orientation="landscape" paperSize="9" scale="56"/>
  <headerFooter alignWithMargins="0">
    <oddHeader>&amp;L&amp;8 4. melléklet a 24/2012.(VIII.31.) önkormányzati rendelethez
"4. melléklet a 3/2012. (II.16.) önkormányzati rendelethez"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251"/>
  <sheetViews>
    <sheetView view="pageBreakPreview" zoomScale="75" zoomScaleSheetLayoutView="75" workbookViewId="0" topLeftCell="A130">
      <selection activeCell="N251" sqref="N251"/>
    </sheetView>
  </sheetViews>
  <sheetFormatPr defaultColWidth="9.00390625" defaultRowHeight="10.5" customHeight="1"/>
  <cols>
    <col min="1" max="1" width="8.00390625" style="327" customWidth="1"/>
    <col min="2" max="2" width="15.875" style="328" customWidth="1"/>
    <col min="3" max="3" width="12.875" style="329" customWidth="1"/>
    <col min="4" max="4" width="9.25390625" style="330" customWidth="1"/>
    <col min="5" max="5" width="9.00390625" style="328" customWidth="1"/>
    <col min="6" max="6" width="9.75390625" style="328" customWidth="1"/>
    <col min="7" max="7" width="11.125" style="328" customWidth="1"/>
    <col min="8" max="8" width="9.625" style="328" customWidth="1"/>
    <col min="9" max="9" width="9.375" style="328" customWidth="1"/>
    <col min="10" max="10" width="10.125" style="328" customWidth="1"/>
    <col min="11" max="11" width="9.375" style="328" customWidth="1"/>
    <col min="12" max="12" width="9.25390625" style="328" customWidth="1"/>
    <col min="13" max="13" width="8.875" style="331" customWidth="1"/>
    <col min="14" max="14" width="10.875" style="328" customWidth="1"/>
    <col min="15" max="16384" width="9.125" style="328" customWidth="1"/>
  </cols>
  <sheetData>
    <row r="1" spans="1:2" ht="12.75">
      <c r="A1" s="332"/>
      <c r="B1" s="332"/>
    </row>
    <row r="3" spans="1:14" ht="15.75" customHeight="1">
      <c r="A3" s="333" t="s">
        <v>217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</row>
    <row r="4" spans="1:14" ht="12.75" customHeight="1">
      <c r="A4" s="334"/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</row>
    <row r="5" spans="12:14" ht="11.25" customHeight="1">
      <c r="L5" s="330"/>
      <c r="M5" s="335"/>
      <c r="N5" s="335" t="s">
        <v>218</v>
      </c>
    </row>
    <row r="6" spans="1:14" s="342" customFormat="1" ht="13.5" customHeight="1">
      <c r="A6" s="336" t="s">
        <v>219</v>
      </c>
      <c r="B6" s="336"/>
      <c r="C6" s="336"/>
      <c r="D6" s="337" t="s">
        <v>220</v>
      </c>
      <c r="E6" s="338" t="s">
        <v>221</v>
      </c>
      <c r="F6" s="339" t="s">
        <v>222</v>
      </c>
      <c r="G6" s="339"/>
      <c r="H6" s="339"/>
      <c r="I6" s="339"/>
      <c r="J6" s="339"/>
      <c r="K6" s="339" t="s">
        <v>223</v>
      </c>
      <c r="L6" s="339"/>
      <c r="M6" s="340" t="s">
        <v>224</v>
      </c>
      <c r="N6" s="341" t="s">
        <v>225</v>
      </c>
    </row>
    <row r="7" spans="1:14" s="342" customFormat="1" ht="12" customHeight="1">
      <c r="A7" s="336"/>
      <c r="B7" s="336"/>
      <c r="C7" s="336"/>
      <c r="D7" s="337"/>
      <c r="E7" s="338"/>
      <c r="F7" s="343" t="s">
        <v>226</v>
      </c>
      <c r="G7" s="343" t="s">
        <v>227</v>
      </c>
      <c r="H7" s="343" t="s">
        <v>228</v>
      </c>
      <c r="I7" s="343" t="s">
        <v>229</v>
      </c>
      <c r="J7" s="343" t="s">
        <v>230</v>
      </c>
      <c r="K7" s="344" t="s">
        <v>112</v>
      </c>
      <c r="L7" s="344" t="s">
        <v>110</v>
      </c>
      <c r="M7" s="340"/>
      <c r="N7" s="341"/>
    </row>
    <row r="8" spans="1:14" s="342" customFormat="1" ht="39" customHeight="1">
      <c r="A8" s="336"/>
      <c r="B8" s="336"/>
      <c r="C8" s="336"/>
      <c r="D8" s="337"/>
      <c r="E8" s="338"/>
      <c r="F8" s="343"/>
      <c r="G8" s="343"/>
      <c r="H8" s="343"/>
      <c r="I8" s="343"/>
      <c r="J8" s="343"/>
      <c r="K8" s="344"/>
      <c r="L8" s="344"/>
      <c r="M8" s="340"/>
      <c r="N8" s="341"/>
    </row>
    <row r="9" spans="1:14" s="342" customFormat="1" ht="15" customHeight="1">
      <c r="A9" s="345" t="s">
        <v>231</v>
      </c>
      <c r="B9" s="346" t="s">
        <v>232</v>
      </c>
      <c r="C9" s="347" t="s">
        <v>6</v>
      </c>
      <c r="D9" s="348">
        <v>400</v>
      </c>
      <c r="E9" s="348">
        <f>SUM(F9:N9)</f>
        <v>8731</v>
      </c>
      <c r="F9" s="349"/>
      <c r="G9" s="349"/>
      <c r="H9" s="349">
        <v>8185</v>
      </c>
      <c r="I9" s="349">
        <v>546</v>
      </c>
      <c r="J9" s="349"/>
      <c r="K9" s="349"/>
      <c r="L9" s="349"/>
      <c r="M9" s="349"/>
      <c r="N9" s="350"/>
    </row>
    <row r="10" spans="1:14" s="342" customFormat="1" ht="15" customHeight="1">
      <c r="A10" s="345"/>
      <c r="B10" s="346"/>
      <c r="C10" s="351" t="s">
        <v>4</v>
      </c>
      <c r="D10" s="348">
        <v>400</v>
      </c>
      <c r="E10" s="348">
        <f aca="true" t="shared" si="0" ref="E10:E105">SUM(F10:N10)</f>
        <v>8731</v>
      </c>
      <c r="F10" s="349"/>
      <c r="G10" s="349"/>
      <c r="H10" s="349">
        <v>8185</v>
      </c>
      <c r="I10" s="349">
        <v>546</v>
      </c>
      <c r="J10" s="349"/>
      <c r="K10" s="349"/>
      <c r="L10" s="349"/>
      <c r="M10" s="349"/>
      <c r="N10" s="350"/>
    </row>
    <row r="11" spans="1:14" s="342" customFormat="1" ht="15" customHeight="1">
      <c r="A11" s="345"/>
      <c r="B11" s="346"/>
      <c r="C11" s="352" t="s">
        <v>5</v>
      </c>
      <c r="D11" s="348">
        <v>400</v>
      </c>
      <c r="E11" s="348">
        <f t="shared" si="0"/>
        <v>8731</v>
      </c>
      <c r="F11" s="349"/>
      <c r="G11" s="349"/>
      <c r="H11" s="349">
        <v>8185</v>
      </c>
      <c r="I11" s="349">
        <v>546</v>
      </c>
      <c r="J11" s="349"/>
      <c r="K11" s="349"/>
      <c r="L11" s="349"/>
      <c r="M11" s="349"/>
      <c r="N11" s="350"/>
    </row>
    <row r="12" spans="1:14" s="342" customFormat="1" ht="15" customHeight="1">
      <c r="A12" s="353">
        <v>360000</v>
      </c>
      <c r="B12" s="354" t="s">
        <v>233</v>
      </c>
      <c r="C12" s="351" t="s">
        <v>6</v>
      </c>
      <c r="D12" s="355">
        <v>432284</v>
      </c>
      <c r="E12" s="348">
        <f t="shared" si="0"/>
        <v>468220</v>
      </c>
      <c r="F12" s="356"/>
      <c r="G12" s="356"/>
      <c r="H12" s="356">
        <v>600</v>
      </c>
      <c r="I12" s="356">
        <v>78</v>
      </c>
      <c r="J12" s="356"/>
      <c r="K12" s="356"/>
      <c r="L12" s="356"/>
      <c r="M12" s="356"/>
      <c r="N12" s="357">
        <v>467542</v>
      </c>
    </row>
    <row r="13" spans="1:14" s="342" customFormat="1" ht="15" customHeight="1">
      <c r="A13" s="353"/>
      <c r="B13" s="354"/>
      <c r="C13" s="351" t="s">
        <v>4</v>
      </c>
      <c r="D13" s="355">
        <v>283422</v>
      </c>
      <c r="E13" s="348">
        <f t="shared" si="0"/>
        <v>299084</v>
      </c>
      <c r="F13" s="356"/>
      <c r="G13" s="356"/>
      <c r="H13" s="356">
        <v>666</v>
      </c>
      <c r="I13" s="356">
        <v>78</v>
      </c>
      <c r="J13" s="356"/>
      <c r="K13" s="356"/>
      <c r="L13" s="356"/>
      <c r="M13" s="356"/>
      <c r="N13" s="357">
        <v>298340</v>
      </c>
    </row>
    <row r="14" spans="1:14" s="342" customFormat="1" ht="15" customHeight="1">
      <c r="A14" s="353"/>
      <c r="B14" s="354"/>
      <c r="C14" s="352" t="s">
        <v>5</v>
      </c>
      <c r="D14" s="355">
        <v>283422</v>
      </c>
      <c r="E14" s="348">
        <f t="shared" si="0"/>
        <v>299084</v>
      </c>
      <c r="F14" s="356"/>
      <c r="G14" s="356"/>
      <c r="H14" s="356">
        <v>666</v>
      </c>
      <c r="I14" s="356">
        <v>78</v>
      </c>
      <c r="J14" s="356"/>
      <c r="K14" s="356"/>
      <c r="L14" s="356"/>
      <c r="M14" s="356"/>
      <c r="N14" s="357">
        <v>298340</v>
      </c>
    </row>
    <row r="15" spans="1:14" s="342" customFormat="1" ht="15" customHeight="1">
      <c r="A15" s="353">
        <v>370000</v>
      </c>
      <c r="B15" s="358" t="s">
        <v>234</v>
      </c>
      <c r="C15" s="351" t="s">
        <v>6</v>
      </c>
      <c r="D15" s="355">
        <v>14200</v>
      </c>
      <c r="E15" s="348">
        <f t="shared" si="0"/>
        <v>74924</v>
      </c>
      <c r="F15" s="356"/>
      <c r="G15" s="356"/>
      <c r="H15" s="356">
        <v>19764</v>
      </c>
      <c r="I15" s="356">
        <v>9360</v>
      </c>
      <c r="J15" s="356"/>
      <c r="K15" s="356">
        <v>13000</v>
      </c>
      <c r="L15" s="356"/>
      <c r="M15" s="356"/>
      <c r="N15" s="357">
        <v>32800</v>
      </c>
    </row>
    <row r="16" spans="1:14" s="342" customFormat="1" ht="15" customHeight="1">
      <c r="A16" s="353"/>
      <c r="B16" s="358"/>
      <c r="C16" s="351" t="s">
        <v>4</v>
      </c>
      <c r="D16" s="355">
        <v>14254</v>
      </c>
      <c r="E16" s="348">
        <f t="shared" si="0"/>
        <v>74978</v>
      </c>
      <c r="F16" s="356"/>
      <c r="G16" s="356"/>
      <c r="H16" s="356">
        <v>19764</v>
      </c>
      <c r="I16" s="356">
        <v>9414</v>
      </c>
      <c r="J16" s="356"/>
      <c r="K16" s="356">
        <v>13000</v>
      </c>
      <c r="L16" s="356"/>
      <c r="M16" s="356"/>
      <c r="N16" s="357">
        <v>32800</v>
      </c>
    </row>
    <row r="17" spans="1:14" s="342" customFormat="1" ht="15" customHeight="1">
      <c r="A17" s="353"/>
      <c r="B17" s="358"/>
      <c r="C17" s="352" t="s">
        <v>5</v>
      </c>
      <c r="D17" s="355">
        <v>14254</v>
      </c>
      <c r="E17" s="348">
        <f t="shared" si="0"/>
        <v>75066</v>
      </c>
      <c r="F17" s="356"/>
      <c r="G17" s="356"/>
      <c r="H17" s="356">
        <v>19764</v>
      </c>
      <c r="I17" s="356">
        <v>9414</v>
      </c>
      <c r="J17" s="356"/>
      <c r="K17" s="356">
        <v>13000</v>
      </c>
      <c r="L17" s="356">
        <v>88</v>
      </c>
      <c r="M17" s="356"/>
      <c r="N17" s="357">
        <v>32800</v>
      </c>
    </row>
    <row r="18" spans="1:14" s="342" customFormat="1" ht="15" customHeight="1">
      <c r="A18" s="353">
        <v>381103</v>
      </c>
      <c r="B18" s="358" t="s">
        <v>235</v>
      </c>
      <c r="C18" s="351" t="s">
        <v>6</v>
      </c>
      <c r="D18" s="355"/>
      <c r="E18" s="348">
        <f t="shared" si="0"/>
        <v>32554</v>
      </c>
      <c r="F18" s="356"/>
      <c r="G18" s="356"/>
      <c r="H18" s="356">
        <v>21400</v>
      </c>
      <c r="I18" s="356">
        <v>11154</v>
      </c>
      <c r="J18" s="356"/>
      <c r="K18" s="356"/>
      <c r="L18" s="356"/>
      <c r="M18" s="356"/>
      <c r="N18" s="357"/>
    </row>
    <row r="19" spans="1:14" s="342" customFormat="1" ht="15" customHeight="1">
      <c r="A19" s="353"/>
      <c r="B19" s="358"/>
      <c r="C19" s="351" t="s">
        <v>4</v>
      </c>
      <c r="D19" s="355"/>
      <c r="E19" s="348">
        <f t="shared" si="0"/>
        <v>32554</v>
      </c>
      <c r="F19" s="356"/>
      <c r="G19" s="356"/>
      <c r="H19" s="356">
        <v>21400</v>
      </c>
      <c r="I19" s="356">
        <v>11154</v>
      </c>
      <c r="J19" s="356"/>
      <c r="K19" s="356"/>
      <c r="L19" s="356"/>
      <c r="M19" s="356"/>
      <c r="N19" s="357"/>
    </row>
    <row r="20" spans="1:14" s="342" customFormat="1" ht="15" customHeight="1">
      <c r="A20" s="353"/>
      <c r="B20" s="358"/>
      <c r="C20" s="352" t="s">
        <v>5</v>
      </c>
      <c r="D20" s="355"/>
      <c r="E20" s="348">
        <f t="shared" si="0"/>
        <v>32554</v>
      </c>
      <c r="F20" s="356"/>
      <c r="G20" s="356"/>
      <c r="H20" s="356">
        <v>21400</v>
      </c>
      <c r="I20" s="356">
        <v>11154</v>
      </c>
      <c r="J20" s="356"/>
      <c r="K20" s="356"/>
      <c r="L20" s="356"/>
      <c r="M20" s="356"/>
      <c r="N20" s="357"/>
    </row>
    <row r="21" spans="1:14" s="342" customFormat="1" ht="15" customHeight="1">
      <c r="A21" s="353">
        <v>412000</v>
      </c>
      <c r="B21" s="358" t="s">
        <v>236</v>
      </c>
      <c r="C21" s="351" t="s">
        <v>6</v>
      </c>
      <c r="D21" s="355">
        <v>1436235</v>
      </c>
      <c r="E21" s="348">
        <f t="shared" si="0"/>
        <v>2532583</v>
      </c>
      <c r="F21" s="356"/>
      <c r="G21" s="356"/>
      <c r="H21" s="356"/>
      <c r="I21" s="356">
        <v>17552</v>
      </c>
      <c r="J21" s="356"/>
      <c r="K21" s="356">
        <v>19851</v>
      </c>
      <c r="L21" s="356">
        <v>1020986</v>
      </c>
      <c r="M21" s="356"/>
      <c r="N21" s="357">
        <v>1474194</v>
      </c>
    </row>
    <row r="22" spans="1:14" s="342" customFormat="1" ht="15" customHeight="1">
      <c r="A22" s="353"/>
      <c r="B22" s="358"/>
      <c r="C22" s="351" t="s">
        <v>4</v>
      </c>
      <c r="D22" s="355">
        <v>1436235</v>
      </c>
      <c r="E22" s="348">
        <f t="shared" si="0"/>
        <v>2537660</v>
      </c>
      <c r="F22" s="356">
        <v>304</v>
      </c>
      <c r="G22" s="356">
        <v>74</v>
      </c>
      <c r="H22" s="356"/>
      <c r="I22" s="356">
        <v>17552</v>
      </c>
      <c r="J22" s="356"/>
      <c r="K22" s="356">
        <v>24192</v>
      </c>
      <c r="L22" s="356">
        <v>1025685</v>
      </c>
      <c r="M22" s="356"/>
      <c r="N22" s="357">
        <v>1469853</v>
      </c>
    </row>
    <row r="23" spans="1:14" s="342" customFormat="1" ht="15" customHeight="1">
      <c r="A23" s="353"/>
      <c r="B23" s="358"/>
      <c r="C23" s="352" t="s">
        <v>5</v>
      </c>
      <c r="D23" s="355">
        <v>1436235</v>
      </c>
      <c r="E23" s="348">
        <f t="shared" si="0"/>
        <v>2559588</v>
      </c>
      <c r="F23" s="356">
        <v>2384</v>
      </c>
      <c r="G23" s="356">
        <v>579</v>
      </c>
      <c r="H23" s="356">
        <v>254</v>
      </c>
      <c r="I23" s="356">
        <v>19352</v>
      </c>
      <c r="J23" s="356"/>
      <c r="K23" s="356">
        <v>42526</v>
      </c>
      <c r="L23" s="356">
        <v>1029618</v>
      </c>
      <c r="M23" s="356"/>
      <c r="N23" s="357">
        <v>1464875</v>
      </c>
    </row>
    <row r="24" spans="1:14" s="342" customFormat="1" ht="15" customHeight="1">
      <c r="A24" s="353">
        <v>421100</v>
      </c>
      <c r="B24" s="358" t="s">
        <v>237</v>
      </c>
      <c r="C24" s="351" t="s">
        <v>6</v>
      </c>
      <c r="D24" s="355">
        <v>718986</v>
      </c>
      <c r="E24" s="348">
        <f t="shared" si="0"/>
        <v>930184</v>
      </c>
      <c r="F24" s="356"/>
      <c r="G24" s="356"/>
      <c r="H24" s="356">
        <v>3168</v>
      </c>
      <c r="I24" s="356">
        <v>14676</v>
      </c>
      <c r="J24" s="356"/>
      <c r="K24" s="356"/>
      <c r="L24" s="356">
        <v>479486</v>
      </c>
      <c r="M24" s="356"/>
      <c r="N24" s="357">
        <v>432854</v>
      </c>
    </row>
    <row r="25" spans="1:14" s="342" customFormat="1" ht="15" customHeight="1">
      <c r="A25" s="353"/>
      <c r="B25" s="358"/>
      <c r="C25" s="351" t="s">
        <v>4</v>
      </c>
      <c r="D25" s="355">
        <v>628986</v>
      </c>
      <c r="E25" s="348">
        <f t="shared" si="0"/>
        <v>833130</v>
      </c>
      <c r="F25" s="356"/>
      <c r="G25" s="356"/>
      <c r="H25" s="356">
        <v>3168</v>
      </c>
      <c r="I25" s="356">
        <v>14676</v>
      </c>
      <c r="J25" s="356"/>
      <c r="K25" s="356"/>
      <c r="L25" s="356">
        <v>520432</v>
      </c>
      <c r="M25" s="356"/>
      <c r="N25" s="357">
        <v>294854</v>
      </c>
    </row>
    <row r="26" spans="1:14" s="342" customFormat="1" ht="15" customHeight="1">
      <c r="A26" s="353"/>
      <c r="B26" s="358"/>
      <c r="C26" s="352" t="s">
        <v>5</v>
      </c>
      <c r="D26" s="355">
        <v>628986</v>
      </c>
      <c r="E26" s="348">
        <f t="shared" si="0"/>
        <v>834220</v>
      </c>
      <c r="F26" s="356">
        <v>1798</v>
      </c>
      <c r="G26" s="356">
        <v>437</v>
      </c>
      <c r="H26" s="356">
        <v>4184</v>
      </c>
      <c r="I26" s="356">
        <v>14676</v>
      </c>
      <c r="J26" s="356"/>
      <c r="K26" s="356"/>
      <c r="L26" s="356">
        <v>518271</v>
      </c>
      <c r="M26" s="356"/>
      <c r="N26" s="357">
        <v>294854</v>
      </c>
    </row>
    <row r="27" spans="1:14" s="342" customFormat="1" ht="15" customHeight="1">
      <c r="A27" s="353">
        <v>493102</v>
      </c>
      <c r="B27" s="358" t="s">
        <v>238</v>
      </c>
      <c r="C27" s="351" t="s">
        <v>6</v>
      </c>
      <c r="D27" s="355"/>
      <c r="E27" s="348">
        <f t="shared" si="0"/>
        <v>4570</v>
      </c>
      <c r="F27" s="356"/>
      <c r="G27" s="356"/>
      <c r="H27" s="356">
        <v>70</v>
      </c>
      <c r="I27" s="356">
        <v>4500</v>
      </c>
      <c r="J27" s="356"/>
      <c r="K27" s="356"/>
      <c r="L27" s="356"/>
      <c r="M27" s="356"/>
      <c r="N27" s="357"/>
    </row>
    <row r="28" spans="1:21" s="342" customFormat="1" ht="15" customHeight="1">
      <c r="A28" s="353"/>
      <c r="B28" s="358"/>
      <c r="C28" s="351" t="s">
        <v>4</v>
      </c>
      <c r="D28" s="355"/>
      <c r="E28" s="348">
        <f t="shared" si="0"/>
        <v>4570</v>
      </c>
      <c r="F28" s="356"/>
      <c r="G28" s="356"/>
      <c r="H28" s="356">
        <v>70</v>
      </c>
      <c r="I28" s="356">
        <v>4500</v>
      </c>
      <c r="J28" s="356"/>
      <c r="K28" s="356"/>
      <c r="L28" s="356"/>
      <c r="M28" s="356"/>
      <c r="N28" s="357"/>
      <c r="O28" s="359"/>
      <c r="P28" s="359"/>
      <c r="Q28" s="359"/>
      <c r="R28" s="359"/>
      <c r="S28" s="359"/>
      <c r="T28" s="359"/>
      <c r="U28" s="359"/>
    </row>
    <row r="29" spans="1:21" s="342" customFormat="1" ht="15" customHeight="1">
      <c r="A29" s="353"/>
      <c r="B29" s="358"/>
      <c r="C29" s="352" t="s">
        <v>5</v>
      </c>
      <c r="D29" s="355"/>
      <c r="E29" s="348">
        <f t="shared" si="0"/>
        <v>4570</v>
      </c>
      <c r="F29" s="356"/>
      <c r="G29" s="356"/>
      <c r="H29" s="356">
        <v>70</v>
      </c>
      <c r="I29" s="356">
        <v>4500</v>
      </c>
      <c r="J29" s="356"/>
      <c r="K29" s="356"/>
      <c r="L29" s="356"/>
      <c r="M29" s="356"/>
      <c r="N29" s="357"/>
      <c r="O29" s="359"/>
      <c r="P29" s="359"/>
      <c r="Q29" s="359"/>
      <c r="R29" s="359"/>
      <c r="S29" s="359"/>
      <c r="T29" s="359"/>
      <c r="U29" s="359"/>
    </row>
    <row r="30" spans="1:21" s="342" customFormat="1" ht="15" customHeight="1">
      <c r="A30" s="353">
        <v>522001</v>
      </c>
      <c r="B30" s="358" t="s">
        <v>239</v>
      </c>
      <c r="C30" s="351" t="s">
        <v>6</v>
      </c>
      <c r="D30" s="355"/>
      <c r="E30" s="348">
        <f t="shared" si="0"/>
        <v>40626</v>
      </c>
      <c r="F30" s="356"/>
      <c r="G30" s="356"/>
      <c r="H30" s="356">
        <v>31500</v>
      </c>
      <c r="I30" s="356">
        <v>9126</v>
      </c>
      <c r="J30" s="355"/>
      <c r="K30" s="355"/>
      <c r="L30" s="356"/>
      <c r="M30" s="356"/>
      <c r="N30" s="357"/>
      <c r="O30" s="359"/>
      <c r="P30" s="359"/>
      <c r="Q30" s="359"/>
      <c r="R30" s="359"/>
      <c r="S30" s="359"/>
      <c r="T30" s="359"/>
      <c r="U30" s="359"/>
    </row>
    <row r="31" spans="1:21" s="342" customFormat="1" ht="15" customHeight="1">
      <c r="A31" s="353"/>
      <c r="B31" s="358"/>
      <c r="C31" s="351" t="s">
        <v>4</v>
      </c>
      <c r="D31" s="355"/>
      <c r="E31" s="348">
        <f t="shared" si="0"/>
        <v>40626</v>
      </c>
      <c r="F31" s="356"/>
      <c r="G31" s="356"/>
      <c r="H31" s="356">
        <v>31500</v>
      </c>
      <c r="I31" s="356">
        <v>9126</v>
      </c>
      <c r="J31" s="355"/>
      <c r="K31" s="355"/>
      <c r="L31" s="356"/>
      <c r="M31" s="356"/>
      <c r="N31" s="357"/>
      <c r="O31" s="359"/>
      <c r="P31" s="359"/>
      <c r="Q31" s="359"/>
      <c r="R31" s="359"/>
      <c r="S31" s="359"/>
      <c r="T31" s="359"/>
      <c r="U31" s="359"/>
    </row>
    <row r="32" spans="1:21" s="342" customFormat="1" ht="15" customHeight="1">
      <c r="A32" s="353"/>
      <c r="B32" s="358"/>
      <c r="C32" s="352" t="s">
        <v>5</v>
      </c>
      <c r="D32" s="355"/>
      <c r="E32" s="348">
        <f t="shared" si="0"/>
        <v>40626</v>
      </c>
      <c r="F32" s="356"/>
      <c r="G32" s="356"/>
      <c r="H32" s="356">
        <v>31500</v>
      </c>
      <c r="I32" s="356">
        <v>9126</v>
      </c>
      <c r="J32" s="355"/>
      <c r="K32" s="355"/>
      <c r="L32" s="356"/>
      <c r="M32" s="356"/>
      <c r="N32" s="357"/>
      <c r="O32" s="359"/>
      <c r="P32" s="359"/>
      <c r="Q32" s="359"/>
      <c r="R32" s="359"/>
      <c r="S32" s="359"/>
      <c r="T32" s="359"/>
      <c r="U32" s="359"/>
    </row>
    <row r="33" spans="1:21" s="342" customFormat="1" ht="15" customHeight="1">
      <c r="A33" s="353">
        <v>581100</v>
      </c>
      <c r="B33" s="358" t="s">
        <v>240</v>
      </c>
      <c r="C33" s="351" t="s">
        <v>6</v>
      </c>
      <c r="D33" s="355"/>
      <c r="E33" s="348">
        <f t="shared" si="0"/>
        <v>1800</v>
      </c>
      <c r="F33" s="356"/>
      <c r="G33" s="356"/>
      <c r="H33" s="356">
        <v>1800</v>
      </c>
      <c r="I33" s="356"/>
      <c r="J33" s="355"/>
      <c r="K33" s="356"/>
      <c r="L33" s="356"/>
      <c r="M33" s="356"/>
      <c r="N33" s="357"/>
      <c r="O33" s="359"/>
      <c r="P33" s="359"/>
      <c r="Q33" s="359"/>
      <c r="R33" s="359"/>
      <c r="S33" s="359"/>
      <c r="T33" s="359"/>
      <c r="U33" s="359"/>
    </row>
    <row r="34" spans="1:21" s="342" customFormat="1" ht="15" customHeight="1">
      <c r="A34" s="353"/>
      <c r="B34" s="358"/>
      <c r="C34" s="351" t="s">
        <v>4</v>
      </c>
      <c r="D34" s="355"/>
      <c r="E34" s="348">
        <f t="shared" si="0"/>
        <v>1800</v>
      </c>
      <c r="F34" s="356"/>
      <c r="G34" s="356"/>
      <c r="H34" s="356">
        <v>1800</v>
      </c>
      <c r="I34" s="356"/>
      <c r="J34" s="355"/>
      <c r="K34" s="356"/>
      <c r="L34" s="356"/>
      <c r="M34" s="356"/>
      <c r="N34" s="357"/>
      <c r="O34" s="359"/>
      <c r="P34" s="359"/>
      <c r="Q34" s="359"/>
      <c r="R34" s="359"/>
      <c r="S34" s="359"/>
      <c r="T34" s="359"/>
      <c r="U34" s="359"/>
    </row>
    <row r="35" spans="1:21" s="342" customFormat="1" ht="15" customHeight="1">
      <c r="A35" s="353"/>
      <c r="B35" s="358"/>
      <c r="C35" s="352" t="s">
        <v>5</v>
      </c>
      <c r="D35" s="355"/>
      <c r="E35" s="348">
        <f t="shared" si="0"/>
        <v>1800</v>
      </c>
      <c r="F35" s="356"/>
      <c r="G35" s="356"/>
      <c r="H35" s="356">
        <v>1800</v>
      </c>
      <c r="I35" s="356"/>
      <c r="J35" s="355"/>
      <c r="K35" s="356"/>
      <c r="L35" s="356"/>
      <c r="M35" s="356"/>
      <c r="N35" s="357"/>
      <c r="O35" s="359"/>
      <c r="P35" s="359"/>
      <c r="Q35" s="359"/>
      <c r="R35" s="359"/>
      <c r="S35" s="359"/>
      <c r="T35" s="359"/>
      <c r="U35" s="359"/>
    </row>
    <row r="36" spans="1:21" s="342" customFormat="1" ht="15" customHeight="1">
      <c r="A36" s="360">
        <v>581900</v>
      </c>
      <c r="B36" s="361" t="s">
        <v>241</v>
      </c>
      <c r="C36" s="351" t="s">
        <v>6</v>
      </c>
      <c r="D36" s="355"/>
      <c r="E36" s="348">
        <f t="shared" si="0"/>
        <v>30452</v>
      </c>
      <c r="F36" s="362">
        <v>5760</v>
      </c>
      <c r="G36" s="362">
        <v>1454</v>
      </c>
      <c r="H36" s="362">
        <v>23238</v>
      </c>
      <c r="I36" s="362"/>
      <c r="J36" s="362"/>
      <c r="K36" s="362"/>
      <c r="L36" s="362"/>
      <c r="M36" s="362"/>
      <c r="N36" s="363"/>
      <c r="O36" s="359"/>
      <c r="P36" s="359"/>
      <c r="Q36" s="359"/>
      <c r="R36" s="359"/>
      <c r="S36" s="359"/>
      <c r="T36" s="359"/>
      <c r="U36" s="359"/>
    </row>
    <row r="37" spans="1:21" s="342" customFormat="1" ht="15" customHeight="1">
      <c r="A37" s="360"/>
      <c r="B37" s="361"/>
      <c r="C37" s="351" t="s">
        <v>4</v>
      </c>
      <c r="D37" s="355"/>
      <c r="E37" s="348">
        <f t="shared" si="0"/>
        <v>30657</v>
      </c>
      <c r="F37" s="362">
        <v>5760</v>
      </c>
      <c r="G37" s="362">
        <v>1454</v>
      </c>
      <c r="H37" s="362">
        <v>23443</v>
      </c>
      <c r="I37" s="362"/>
      <c r="J37" s="362"/>
      <c r="K37" s="362"/>
      <c r="L37" s="362"/>
      <c r="M37" s="362"/>
      <c r="N37" s="363"/>
      <c r="O37" s="359"/>
      <c r="P37" s="359"/>
      <c r="Q37" s="359"/>
      <c r="R37" s="359"/>
      <c r="S37" s="359"/>
      <c r="T37" s="359"/>
      <c r="U37" s="359"/>
    </row>
    <row r="38" spans="1:21" s="342" customFormat="1" ht="15" customHeight="1">
      <c r="A38" s="360"/>
      <c r="B38" s="361"/>
      <c r="C38" s="352" t="s">
        <v>5</v>
      </c>
      <c r="D38" s="355"/>
      <c r="E38" s="348">
        <f t="shared" si="0"/>
        <v>30875</v>
      </c>
      <c r="F38" s="362">
        <v>5760</v>
      </c>
      <c r="G38" s="362">
        <v>1454</v>
      </c>
      <c r="H38" s="362">
        <v>23611</v>
      </c>
      <c r="I38" s="362">
        <v>50</v>
      </c>
      <c r="J38" s="362"/>
      <c r="K38" s="362"/>
      <c r="L38" s="362"/>
      <c r="M38" s="362"/>
      <c r="N38" s="363"/>
      <c r="O38" s="359"/>
      <c r="P38" s="359"/>
      <c r="Q38" s="359"/>
      <c r="R38" s="359"/>
      <c r="S38" s="359"/>
      <c r="T38" s="359"/>
      <c r="U38" s="359"/>
    </row>
    <row r="39" spans="1:21" s="342" customFormat="1" ht="15" customHeight="1">
      <c r="A39" s="353">
        <v>680001</v>
      </c>
      <c r="B39" s="358" t="s">
        <v>242</v>
      </c>
      <c r="C39" s="351" t="s">
        <v>6</v>
      </c>
      <c r="D39" s="355">
        <v>39240</v>
      </c>
      <c r="E39" s="348">
        <f t="shared" si="0"/>
        <v>39930</v>
      </c>
      <c r="F39" s="356"/>
      <c r="G39" s="356"/>
      <c r="H39" s="356">
        <v>39930</v>
      </c>
      <c r="I39" s="356"/>
      <c r="J39" s="356"/>
      <c r="K39" s="356"/>
      <c r="L39" s="356"/>
      <c r="M39" s="356"/>
      <c r="N39" s="357"/>
      <c r="O39" s="359"/>
      <c r="P39" s="359"/>
      <c r="Q39" s="359"/>
      <c r="R39" s="359"/>
      <c r="S39" s="359"/>
      <c r="T39" s="359"/>
      <c r="U39" s="359"/>
    </row>
    <row r="40" spans="1:21" s="342" customFormat="1" ht="15" customHeight="1">
      <c r="A40" s="353"/>
      <c r="B40" s="358"/>
      <c r="C40" s="351" t="s">
        <v>4</v>
      </c>
      <c r="D40" s="355">
        <v>39240</v>
      </c>
      <c r="E40" s="348">
        <f t="shared" si="0"/>
        <v>39930</v>
      </c>
      <c r="F40" s="356"/>
      <c r="G40" s="356"/>
      <c r="H40" s="356">
        <v>39930</v>
      </c>
      <c r="I40" s="356"/>
      <c r="J40" s="356"/>
      <c r="K40" s="356"/>
      <c r="L40" s="356"/>
      <c r="M40" s="356"/>
      <c r="N40" s="357"/>
      <c r="O40" s="359"/>
      <c r="P40" s="359"/>
      <c r="Q40" s="359"/>
      <c r="R40" s="359"/>
      <c r="S40" s="359"/>
      <c r="T40" s="359"/>
      <c r="U40" s="359"/>
    </row>
    <row r="41" spans="1:21" s="342" customFormat="1" ht="15" customHeight="1">
      <c r="A41" s="353"/>
      <c r="B41" s="358"/>
      <c r="C41" s="352" t="s">
        <v>5</v>
      </c>
      <c r="D41" s="355">
        <v>39240</v>
      </c>
      <c r="E41" s="348">
        <f t="shared" si="0"/>
        <v>39930</v>
      </c>
      <c r="F41" s="356"/>
      <c r="G41" s="356"/>
      <c r="H41" s="356">
        <v>39930</v>
      </c>
      <c r="I41" s="356"/>
      <c r="J41" s="356"/>
      <c r="K41" s="356"/>
      <c r="L41" s="356"/>
      <c r="M41" s="356"/>
      <c r="N41" s="357"/>
      <c r="O41" s="359"/>
      <c r="P41" s="359"/>
      <c r="Q41" s="359"/>
      <c r="R41" s="359"/>
      <c r="S41" s="359"/>
      <c r="T41" s="359"/>
      <c r="U41" s="359"/>
    </row>
    <row r="42" spans="1:21" s="342" customFormat="1" ht="15" customHeight="1">
      <c r="A42" s="353">
        <v>680002</v>
      </c>
      <c r="B42" s="358" t="s">
        <v>243</v>
      </c>
      <c r="C42" s="351" t="s">
        <v>6</v>
      </c>
      <c r="D42" s="355">
        <v>54169</v>
      </c>
      <c r="E42" s="348">
        <f t="shared" si="0"/>
        <v>19596</v>
      </c>
      <c r="F42" s="356"/>
      <c r="G42" s="356"/>
      <c r="H42" s="356">
        <v>18816</v>
      </c>
      <c r="I42" s="356">
        <v>780</v>
      </c>
      <c r="J42" s="356"/>
      <c r="K42" s="356"/>
      <c r="L42" s="356"/>
      <c r="M42" s="356"/>
      <c r="N42" s="357"/>
      <c r="O42" s="359"/>
      <c r="P42" s="359"/>
      <c r="Q42" s="359"/>
      <c r="R42" s="359"/>
      <c r="S42" s="359"/>
      <c r="T42" s="359"/>
      <c r="U42" s="359"/>
    </row>
    <row r="43" spans="1:21" s="342" customFormat="1" ht="15" customHeight="1">
      <c r="A43" s="353"/>
      <c r="B43" s="358"/>
      <c r="C43" s="351" t="s">
        <v>4</v>
      </c>
      <c r="D43" s="355">
        <v>52169</v>
      </c>
      <c r="E43" s="348">
        <f t="shared" si="0"/>
        <v>19596</v>
      </c>
      <c r="F43" s="356"/>
      <c r="G43" s="356"/>
      <c r="H43" s="356">
        <v>18816</v>
      </c>
      <c r="I43" s="356">
        <v>780</v>
      </c>
      <c r="J43" s="356"/>
      <c r="K43" s="356"/>
      <c r="L43" s="356"/>
      <c r="M43" s="356"/>
      <c r="N43" s="357"/>
      <c r="O43" s="359"/>
      <c r="P43" s="359"/>
      <c r="Q43" s="359"/>
      <c r="R43" s="359"/>
      <c r="S43" s="359"/>
      <c r="T43" s="359"/>
      <c r="U43" s="359"/>
    </row>
    <row r="44" spans="1:21" s="342" customFormat="1" ht="15" customHeight="1">
      <c r="A44" s="353"/>
      <c r="B44" s="358"/>
      <c r="C44" s="352" t="s">
        <v>5</v>
      </c>
      <c r="D44" s="355">
        <v>52169</v>
      </c>
      <c r="E44" s="348">
        <f t="shared" si="0"/>
        <v>19596</v>
      </c>
      <c r="F44" s="356"/>
      <c r="G44" s="356"/>
      <c r="H44" s="356">
        <v>18816</v>
      </c>
      <c r="I44" s="356">
        <v>780</v>
      </c>
      <c r="J44" s="356"/>
      <c r="K44" s="356"/>
      <c r="L44" s="356"/>
      <c r="M44" s="356"/>
      <c r="N44" s="357"/>
      <c r="O44" s="359"/>
      <c r="P44" s="359"/>
      <c r="Q44" s="359"/>
      <c r="R44" s="359"/>
      <c r="S44" s="359"/>
      <c r="T44" s="359"/>
      <c r="U44" s="359"/>
    </row>
    <row r="45" spans="1:21" s="342" customFormat="1" ht="15" customHeight="1">
      <c r="A45" s="353">
        <v>750000</v>
      </c>
      <c r="B45" s="358" t="s">
        <v>244</v>
      </c>
      <c r="C45" s="351" t="s">
        <v>6</v>
      </c>
      <c r="D45" s="355"/>
      <c r="E45" s="348">
        <f t="shared" si="0"/>
        <v>4482</v>
      </c>
      <c r="F45" s="356"/>
      <c r="G45" s="356"/>
      <c r="H45" s="356">
        <v>3000</v>
      </c>
      <c r="I45" s="356">
        <v>1482</v>
      </c>
      <c r="J45" s="356"/>
      <c r="K45" s="356"/>
      <c r="L45" s="356"/>
      <c r="M45" s="356"/>
      <c r="N45" s="357"/>
      <c r="O45" s="359"/>
      <c r="P45" s="359"/>
      <c r="Q45" s="359"/>
      <c r="R45" s="359"/>
      <c r="S45" s="359"/>
      <c r="T45" s="359"/>
      <c r="U45" s="359"/>
    </row>
    <row r="46" spans="1:21" s="342" customFormat="1" ht="15" customHeight="1">
      <c r="A46" s="353"/>
      <c r="B46" s="358"/>
      <c r="C46" s="351" t="s">
        <v>4</v>
      </c>
      <c r="D46" s="355"/>
      <c r="E46" s="348">
        <f t="shared" si="0"/>
        <v>7482</v>
      </c>
      <c r="F46" s="356"/>
      <c r="G46" s="356"/>
      <c r="H46" s="356">
        <v>6000</v>
      </c>
      <c r="I46" s="356">
        <v>1482</v>
      </c>
      <c r="J46" s="356"/>
      <c r="K46" s="356"/>
      <c r="L46" s="356"/>
      <c r="M46" s="356"/>
      <c r="N46" s="357"/>
      <c r="O46" s="359"/>
      <c r="P46" s="359"/>
      <c r="Q46" s="359"/>
      <c r="R46" s="359"/>
      <c r="S46" s="359"/>
      <c r="T46" s="359"/>
      <c r="U46" s="359"/>
    </row>
    <row r="47" spans="1:21" s="342" customFormat="1" ht="15" customHeight="1">
      <c r="A47" s="353"/>
      <c r="B47" s="358"/>
      <c r="C47" s="352" t="s">
        <v>5</v>
      </c>
      <c r="D47" s="355"/>
      <c r="E47" s="348">
        <f t="shared" si="0"/>
        <v>7482</v>
      </c>
      <c r="F47" s="356"/>
      <c r="G47" s="356"/>
      <c r="H47" s="356">
        <v>6000</v>
      </c>
      <c r="I47" s="356">
        <v>1482</v>
      </c>
      <c r="J47" s="356"/>
      <c r="K47" s="356"/>
      <c r="L47" s="356"/>
      <c r="M47" s="356"/>
      <c r="N47" s="357"/>
      <c r="O47" s="359"/>
      <c r="P47" s="359"/>
      <c r="Q47" s="359"/>
      <c r="R47" s="359"/>
      <c r="S47" s="359"/>
      <c r="T47" s="359"/>
      <c r="U47" s="359"/>
    </row>
    <row r="48" spans="1:21" s="342" customFormat="1" ht="15" customHeight="1">
      <c r="A48" s="353">
        <v>813000</v>
      </c>
      <c r="B48" s="358" t="s">
        <v>245</v>
      </c>
      <c r="C48" s="351" t="s">
        <v>6</v>
      </c>
      <c r="D48" s="355"/>
      <c r="E48" s="348">
        <f t="shared" si="0"/>
        <v>74154</v>
      </c>
      <c r="F48" s="356"/>
      <c r="G48" s="356"/>
      <c r="H48" s="356">
        <v>52850</v>
      </c>
      <c r="I48" s="356">
        <v>21304</v>
      </c>
      <c r="J48" s="356"/>
      <c r="K48" s="356"/>
      <c r="L48" s="356"/>
      <c r="M48" s="356"/>
      <c r="N48" s="357"/>
      <c r="O48" s="359"/>
      <c r="P48" s="359"/>
      <c r="Q48" s="359"/>
      <c r="R48" s="359"/>
      <c r="S48" s="359"/>
      <c r="T48" s="359"/>
      <c r="U48" s="359"/>
    </row>
    <row r="49" spans="1:21" s="342" customFormat="1" ht="15" customHeight="1">
      <c r="A49" s="353"/>
      <c r="B49" s="358"/>
      <c r="C49" s="351" t="s">
        <v>4</v>
      </c>
      <c r="D49" s="355"/>
      <c r="E49" s="348">
        <f t="shared" si="0"/>
        <v>74083</v>
      </c>
      <c r="F49" s="356"/>
      <c r="G49" s="356"/>
      <c r="H49" s="356">
        <v>52779</v>
      </c>
      <c r="I49" s="356">
        <v>21304</v>
      </c>
      <c r="J49" s="356"/>
      <c r="K49" s="356"/>
      <c r="L49" s="356"/>
      <c r="M49" s="356"/>
      <c r="N49" s="357"/>
      <c r="O49" s="359"/>
      <c r="P49" s="359"/>
      <c r="Q49" s="359"/>
      <c r="R49" s="359"/>
      <c r="S49" s="359"/>
      <c r="T49" s="359"/>
      <c r="U49" s="359"/>
    </row>
    <row r="50" spans="1:21" s="342" customFormat="1" ht="15" customHeight="1">
      <c r="A50" s="353"/>
      <c r="B50" s="358"/>
      <c r="C50" s="352" t="s">
        <v>5</v>
      </c>
      <c r="D50" s="355"/>
      <c r="E50" s="348">
        <f t="shared" si="0"/>
        <v>74083</v>
      </c>
      <c r="F50" s="356"/>
      <c r="G50" s="356"/>
      <c r="H50" s="356">
        <v>52779</v>
      </c>
      <c r="I50" s="356">
        <v>21304</v>
      </c>
      <c r="J50" s="356"/>
      <c r="K50" s="356"/>
      <c r="L50" s="356"/>
      <c r="M50" s="356"/>
      <c r="N50" s="357"/>
      <c r="O50" s="359"/>
      <c r="P50" s="359"/>
      <c r="Q50" s="359"/>
      <c r="R50" s="359"/>
      <c r="S50" s="359"/>
      <c r="T50" s="359"/>
      <c r="U50" s="359"/>
    </row>
    <row r="51" spans="1:21" s="342" customFormat="1" ht="15" customHeight="1">
      <c r="A51" s="353">
        <v>813000</v>
      </c>
      <c r="B51" s="358" t="s">
        <v>246</v>
      </c>
      <c r="C51" s="351" t="s">
        <v>6</v>
      </c>
      <c r="D51" s="355"/>
      <c r="E51" s="348">
        <f t="shared" si="0"/>
        <v>3500</v>
      </c>
      <c r="F51" s="362"/>
      <c r="G51" s="362"/>
      <c r="H51" s="362">
        <v>2500</v>
      </c>
      <c r="I51" s="362"/>
      <c r="J51" s="362"/>
      <c r="K51" s="362"/>
      <c r="L51" s="362"/>
      <c r="M51" s="362"/>
      <c r="N51" s="363">
        <v>1000</v>
      </c>
      <c r="O51" s="359"/>
      <c r="P51" s="359"/>
      <c r="Q51" s="359"/>
      <c r="R51" s="359"/>
      <c r="S51" s="359"/>
      <c r="T51" s="359"/>
      <c r="U51" s="359"/>
    </row>
    <row r="52" spans="1:21" s="342" customFormat="1" ht="15" customHeight="1">
      <c r="A52" s="353"/>
      <c r="B52" s="358"/>
      <c r="C52" s="351" t="s">
        <v>4</v>
      </c>
      <c r="D52" s="355"/>
      <c r="E52" s="348">
        <f t="shared" si="0"/>
        <v>3500</v>
      </c>
      <c r="F52" s="362"/>
      <c r="G52" s="362"/>
      <c r="H52" s="362">
        <v>2500</v>
      </c>
      <c r="I52" s="362"/>
      <c r="J52" s="362"/>
      <c r="K52" s="362"/>
      <c r="L52" s="362"/>
      <c r="M52" s="362"/>
      <c r="N52" s="363">
        <v>1000</v>
      </c>
      <c r="O52" s="359"/>
      <c r="P52" s="359"/>
      <c r="Q52" s="359"/>
      <c r="R52" s="359"/>
      <c r="S52" s="359"/>
      <c r="T52" s="359"/>
      <c r="U52" s="359"/>
    </row>
    <row r="53" spans="1:21" s="342" customFormat="1" ht="15" customHeight="1">
      <c r="A53" s="353"/>
      <c r="B53" s="358"/>
      <c r="C53" s="352" t="s">
        <v>5</v>
      </c>
      <c r="D53" s="355"/>
      <c r="E53" s="348">
        <f t="shared" si="0"/>
        <v>3500</v>
      </c>
      <c r="F53" s="362"/>
      <c r="G53" s="362"/>
      <c r="H53" s="362">
        <v>2500</v>
      </c>
      <c r="I53" s="362"/>
      <c r="J53" s="362"/>
      <c r="K53" s="362"/>
      <c r="L53" s="362"/>
      <c r="M53" s="362"/>
      <c r="N53" s="363">
        <v>1000</v>
      </c>
      <c r="O53" s="359"/>
      <c r="P53" s="359"/>
      <c r="Q53" s="359"/>
      <c r="R53" s="359"/>
      <c r="S53" s="359"/>
      <c r="T53" s="359"/>
      <c r="U53" s="359"/>
    </row>
    <row r="54" spans="1:21" s="342" customFormat="1" ht="15" customHeight="1">
      <c r="A54" s="353">
        <v>841112</v>
      </c>
      <c r="B54" s="358" t="s">
        <v>247</v>
      </c>
      <c r="C54" s="351" t="s">
        <v>6</v>
      </c>
      <c r="D54" s="355">
        <v>5000</v>
      </c>
      <c r="E54" s="348">
        <f t="shared" si="0"/>
        <v>24799</v>
      </c>
      <c r="F54" s="356"/>
      <c r="G54" s="356"/>
      <c r="H54" s="356">
        <v>24799</v>
      </c>
      <c r="I54" s="356"/>
      <c r="J54" s="356"/>
      <c r="K54" s="356"/>
      <c r="L54" s="356"/>
      <c r="M54" s="356"/>
      <c r="N54" s="357"/>
      <c r="O54" s="359"/>
      <c r="P54" s="359"/>
      <c r="Q54" s="359"/>
      <c r="R54" s="359"/>
      <c r="S54" s="359"/>
      <c r="T54" s="359"/>
      <c r="U54" s="359"/>
    </row>
    <row r="55" spans="1:21" s="342" customFormat="1" ht="15" customHeight="1">
      <c r="A55" s="353"/>
      <c r="B55" s="358"/>
      <c r="C55" s="351" t="s">
        <v>4</v>
      </c>
      <c r="D55" s="355">
        <v>5000</v>
      </c>
      <c r="E55" s="348">
        <f t="shared" si="0"/>
        <v>24799</v>
      </c>
      <c r="F55" s="356"/>
      <c r="G55" s="356"/>
      <c r="H55" s="356">
        <v>24799</v>
      </c>
      <c r="I55" s="356"/>
      <c r="J55" s="356"/>
      <c r="K55" s="356"/>
      <c r="L55" s="356"/>
      <c r="M55" s="356"/>
      <c r="N55" s="357"/>
      <c r="O55" s="359"/>
      <c r="P55" s="359"/>
      <c r="Q55" s="359"/>
      <c r="R55" s="359"/>
      <c r="S55" s="359"/>
      <c r="T55" s="359"/>
      <c r="U55" s="359"/>
    </row>
    <row r="56" spans="1:21" s="342" customFormat="1" ht="15" customHeight="1">
      <c r="A56" s="353"/>
      <c r="B56" s="358"/>
      <c r="C56" s="352" t="s">
        <v>5</v>
      </c>
      <c r="D56" s="355">
        <v>5000</v>
      </c>
      <c r="E56" s="348">
        <f t="shared" si="0"/>
        <v>32603</v>
      </c>
      <c r="F56" s="356"/>
      <c r="G56" s="356"/>
      <c r="H56" s="356">
        <v>27645</v>
      </c>
      <c r="I56" s="356">
        <v>3964</v>
      </c>
      <c r="J56" s="356"/>
      <c r="K56" s="356"/>
      <c r="L56" s="356">
        <v>994</v>
      </c>
      <c r="M56" s="356"/>
      <c r="N56" s="357"/>
      <c r="O56" s="359"/>
      <c r="P56" s="359"/>
      <c r="Q56" s="359"/>
      <c r="R56" s="359"/>
      <c r="S56" s="359"/>
      <c r="T56" s="359"/>
      <c r="U56" s="359"/>
    </row>
    <row r="57" spans="1:21" s="342" customFormat="1" ht="15" customHeight="1">
      <c r="A57" s="353">
        <v>841112</v>
      </c>
      <c r="B57" s="358" t="s">
        <v>248</v>
      </c>
      <c r="C57" s="351" t="s">
        <v>6</v>
      </c>
      <c r="D57" s="355">
        <v>390428</v>
      </c>
      <c r="E57" s="348">
        <f t="shared" si="0"/>
        <v>0</v>
      </c>
      <c r="F57" s="356"/>
      <c r="G57" s="356"/>
      <c r="H57" s="356"/>
      <c r="I57" s="356"/>
      <c r="J57" s="356"/>
      <c r="K57" s="356"/>
      <c r="L57" s="356"/>
      <c r="M57" s="356"/>
      <c r="N57" s="357"/>
      <c r="O57" s="359"/>
      <c r="P57" s="359"/>
      <c r="Q57" s="359"/>
      <c r="R57" s="359"/>
      <c r="S57" s="359"/>
      <c r="T57" s="359"/>
      <c r="U57" s="359"/>
    </row>
    <row r="58" spans="1:21" s="342" customFormat="1" ht="15" customHeight="1">
      <c r="A58" s="353"/>
      <c r="B58" s="358"/>
      <c r="C58" s="351" t="s">
        <v>4</v>
      </c>
      <c r="D58" s="355">
        <v>451303</v>
      </c>
      <c r="E58" s="348">
        <f t="shared" si="0"/>
        <v>38589</v>
      </c>
      <c r="F58" s="356"/>
      <c r="G58" s="356"/>
      <c r="H58" s="356"/>
      <c r="I58" s="356"/>
      <c r="J58" s="356"/>
      <c r="K58" s="356"/>
      <c r="L58" s="356"/>
      <c r="M58" s="356"/>
      <c r="N58" s="357">
        <v>38589</v>
      </c>
      <c r="O58" s="359"/>
      <c r="P58" s="359"/>
      <c r="Q58" s="359"/>
      <c r="R58" s="359"/>
      <c r="S58" s="359"/>
      <c r="T58" s="359"/>
      <c r="U58" s="359"/>
    </row>
    <row r="59" spans="1:21" s="342" customFormat="1" ht="15" customHeight="1">
      <c r="A59" s="353"/>
      <c r="B59" s="358"/>
      <c r="C59" s="352" t="s">
        <v>5</v>
      </c>
      <c r="D59" s="355">
        <v>451303</v>
      </c>
      <c r="E59" s="348">
        <f t="shared" si="0"/>
        <v>25173</v>
      </c>
      <c r="F59" s="356"/>
      <c r="G59" s="356"/>
      <c r="H59" s="356"/>
      <c r="I59" s="356"/>
      <c r="J59" s="356"/>
      <c r="K59" s="356"/>
      <c r="L59" s="356"/>
      <c r="M59" s="356"/>
      <c r="N59" s="357">
        <v>25173</v>
      </c>
      <c r="O59" s="359"/>
      <c r="P59" s="359"/>
      <c r="Q59" s="359"/>
      <c r="R59" s="359"/>
      <c r="S59" s="359"/>
      <c r="T59" s="359"/>
      <c r="U59" s="359"/>
    </row>
    <row r="60" spans="1:21" s="342" customFormat="1" ht="15" customHeight="1">
      <c r="A60" s="353">
        <v>841133</v>
      </c>
      <c r="B60" s="358" t="s">
        <v>249</v>
      </c>
      <c r="C60" s="351" t="s">
        <v>6</v>
      </c>
      <c r="D60" s="355">
        <v>1595800</v>
      </c>
      <c r="E60" s="348">
        <f t="shared" si="0"/>
        <v>0</v>
      </c>
      <c r="F60" s="362"/>
      <c r="G60" s="362"/>
      <c r="H60" s="362"/>
      <c r="I60" s="362"/>
      <c r="J60" s="362"/>
      <c r="K60" s="362"/>
      <c r="L60" s="362"/>
      <c r="M60" s="362"/>
      <c r="N60" s="363"/>
      <c r="O60" s="359"/>
      <c r="P60" s="359"/>
      <c r="Q60" s="359"/>
      <c r="R60" s="359"/>
      <c r="S60" s="359"/>
      <c r="T60" s="359"/>
      <c r="U60" s="359"/>
    </row>
    <row r="61" spans="1:21" s="342" customFormat="1" ht="15" customHeight="1">
      <c r="A61" s="353"/>
      <c r="B61" s="358"/>
      <c r="C61" s="351" t="s">
        <v>4</v>
      </c>
      <c r="D61" s="355">
        <v>1595800</v>
      </c>
      <c r="E61" s="348">
        <f t="shared" si="0"/>
        <v>0</v>
      </c>
      <c r="F61" s="362"/>
      <c r="G61" s="362"/>
      <c r="H61" s="362"/>
      <c r="I61" s="362"/>
      <c r="J61" s="362"/>
      <c r="K61" s="362"/>
      <c r="L61" s="362"/>
      <c r="M61" s="362"/>
      <c r="N61" s="363"/>
      <c r="O61" s="359"/>
      <c r="P61" s="359"/>
      <c r="Q61" s="359"/>
      <c r="R61" s="359"/>
      <c r="S61" s="359"/>
      <c r="T61" s="359"/>
      <c r="U61" s="359"/>
    </row>
    <row r="62" spans="1:21" s="342" customFormat="1" ht="15" customHeight="1">
      <c r="A62" s="353"/>
      <c r="B62" s="358"/>
      <c r="C62" s="352" t="s">
        <v>5</v>
      </c>
      <c r="D62" s="355">
        <v>1595800</v>
      </c>
      <c r="E62" s="348"/>
      <c r="F62" s="362"/>
      <c r="G62" s="362"/>
      <c r="H62" s="362"/>
      <c r="I62" s="362"/>
      <c r="J62" s="362"/>
      <c r="K62" s="362"/>
      <c r="L62" s="362"/>
      <c r="M62" s="362"/>
      <c r="N62" s="363"/>
      <c r="O62" s="359"/>
      <c r="P62" s="359"/>
      <c r="Q62" s="359"/>
      <c r="R62" s="359"/>
      <c r="S62" s="359"/>
      <c r="T62" s="359"/>
      <c r="U62" s="359"/>
    </row>
    <row r="63" spans="1:21" s="342" customFormat="1" ht="15" customHeight="1">
      <c r="A63" s="353">
        <v>841154</v>
      </c>
      <c r="B63" s="358" t="s">
        <v>250</v>
      </c>
      <c r="C63" s="351" t="s">
        <v>6</v>
      </c>
      <c r="D63" s="355">
        <v>366855</v>
      </c>
      <c r="E63" s="348">
        <f t="shared" si="0"/>
        <v>122101</v>
      </c>
      <c r="F63" s="356"/>
      <c r="G63" s="356"/>
      <c r="H63" s="356">
        <v>39601</v>
      </c>
      <c r="I63" s="356"/>
      <c r="J63" s="356"/>
      <c r="K63" s="356"/>
      <c r="L63" s="356"/>
      <c r="M63" s="356"/>
      <c r="N63" s="357">
        <v>82500</v>
      </c>
      <c r="O63" s="359"/>
      <c r="P63" s="359"/>
      <c r="Q63" s="359"/>
      <c r="R63" s="359"/>
      <c r="S63" s="359"/>
      <c r="T63" s="359"/>
      <c r="U63" s="359"/>
    </row>
    <row r="64" spans="1:21" s="342" customFormat="1" ht="15" customHeight="1">
      <c r="A64" s="353"/>
      <c r="B64" s="358"/>
      <c r="C64" s="351" t="s">
        <v>4</v>
      </c>
      <c r="D64" s="355">
        <v>366855</v>
      </c>
      <c r="E64" s="348">
        <f t="shared" si="0"/>
        <v>122106</v>
      </c>
      <c r="F64" s="356"/>
      <c r="G64" s="356"/>
      <c r="H64" s="356">
        <v>39516</v>
      </c>
      <c r="I64" s="356"/>
      <c r="J64" s="356"/>
      <c r="K64" s="356"/>
      <c r="L64" s="356">
        <v>22690</v>
      </c>
      <c r="M64" s="356"/>
      <c r="N64" s="357">
        <v>59900</v>
      </c>
      <c r="O64" s="359"/>
      <c r="P64" s="359"/>
      <c r="Q64" s="359"/>
      <c r="R64" s="359"/>
      <c r="S64" s="359"/>
      <c r="T64" s="359"/>
      <c r="U64" s="359"/>
    </row>
    <row r="65" spans="1:21" s="342" customFormat="1" ht="15" customHeight="1">
      <c r="A65" s="353"/>
      <c r="B65" s="358"/>
      <c r="C65" s="352" t="s">
        <v>5</v>
      </c>
      <c r="D65" s="355">
        <v>386855</v>
      </c>
      <c r="E65" s="348">
        <f t="shared" si="0"/>
        <v>102660</v>
      </c>
      <c r="F65" s="356"/>
      <c r="G65" s="356"/>
      <c r="H65" s="356">
        <v>39354</v>
      </c>
      <c r="I65" s="356"/>
      <c r="J65" s="356"/>
      <c r="K65" s="356"/>
      <c r="L65" s="356">
        <v>3406</v>
      </c>
      <c r="M65" s="356"/>
      <c r="N65" s="357">
        <v>59900</v>
      </c>
      <c r="O65" s="359"/>
      <c r="P65" s="359"/>
      <c r="Q65" s="359"/>
      <c r="R65" s="359"/>
      <c r="S65" s="359"/>
      <c r="T65" s="359"/>
      <c r="U65" s="359"/>
    </row>
    <row r="66" spans="1:21" s="342" customFormat="1" ht="15" customHeight="1">
      <c r="A66" s="353">
        <v>841191</v>
      </c>
      <c r="B66" s="358" t="s">
        <v>251</v>
      </c>
      <c r="C66" s="351" t="s">
        <v>6</v>
      </c>
      <c r="D66" s="355"/>
      <c r="E66" s="348">
        <f t="shared" si="0"/>
        <v>3089</v>
      </c>
      <c r="F66" s="362"/>
      <c r="G66" s="362">
        <v>756</v>
      </c>
      <c r="H66" s="362">
        <v>2333</v>
      </c>
      <c r="I66" s="362"/>
      <c r="J66" s="362"/>
      <c r="K66" s="362"/>
      <c r="L66" s="362"/>
      <c r="M66" s="362"/>
      <c r="N66" s="363"/>
      <c r="O66" s="359"/>
      <c r="P66" s="359"/>
      <c r="Q66" s="359"/>
      <c r="R66" s="359"/>
      <c r="S66" s="359"/>
      <c r="T66" s="359"/>
      <c r="U66" s="359"/>
    </row>
    <row r="67" spans="1:21" s="342" customFormat="1" ht="15" customHeight="1">
      <c r="A67" s="353"/>
      <c r="B67" s="358"/>
      <c r="C67" s="351" t="s">
        <v>4</v>
      </c>
      <c r="D67" s="355"/>
      <c r="E67" s="348">
        <f t="shared" si="0"/>
        <v>3089</v>
      </c>
      <c r="F67" s="362"/>
      <c r="G67" s="362">
        <v>756</v>
      </c>
      <c r="H67" s="362">
        <v>2333</v>
      </c>
      <c r="I67" s="362"/>
      <c r="J67" s="362"/>
      <c r="K67" s="362"/>
      <c r="L67" s="362"/>
      <c r="M67" s="362"/>
      <c r="N67" s="363"/>
      <c r="O67" s="359"/>
      <c r="P67" s="359"/>
      <c r="Q67" s="359"/>
      <c r="R67" s="359"/>
      <c r="S67" s="359"/>
      <c r="T67" s="359"/>
      <c r="U67" s="359"/>
    </row>
    <row r="68" spans="1:21" s="342" customFormat="1" ht="15" customHeight="1">
      <c r="A68" s="353"/>
      <c r="B68" s="358"/>
      <c r="C68" s="352" t="s">
        <v>5</v>
      </c>
      <c r="D68" s="355"/>
      <c r="E68" s="348">
        <f t="shared" si="0"/>
        <v>3089</v>
      </c>
      <c r="F68" s="362"/>
      <c r="G68" s="362">
        <v>756</v>
      </c>
      <c r="H68" s="362">
        <v>2333</v>
      </c>
      <c r="I68" s="362"/>
      <c r="J68" s="362"/>
      <c r="K68" s="362"/>
      <c r="L68" s="362"/>
      <c r="M68" s="362"/>
      <c r="N68" s="363"/>
      <c r="O68" s="359"/>
      <c r="P68" s="359"/>
      <c r="Q68" s="359"/>
      <c r="R68" s="359"/>
      <c r="S68" s="359"/>
      <c r="T68" s="359"/>
      <c r="U68" s="359"/>
    </row>
    <row r="69" spans="1:21" s="342" customFormat="1" ht="15" customHeight="1">
      <c r="A69" s="353">
        <v>841192</v>
      </c>
      <c r="B69" s="358" t="s">
        <v>252</v>
      </c>
      <c r="C69" s="351" t="s">
        <v>6</v>
      </c>
      <c r="D69" s="355">
        <v>1500</v>
      </c>
      <c r="E69" s="348">
        <f t="shared" si="0"/>
        <v>2000</v>
      </c>
      <c r="F69" s="362"/>
      <c r="G69" s="362"/>
      <c r="H69" s="362">
        <v>2000</v>
      </c>
      <c r="I69" s="362"/>
      <c r="J69" s="362"/>
      <c r="K69" s="362"/>
      <c r="L69" s="362"/>
      <c r="M69" s="362"/>
      <c r="N69" s="363"/>
      <c r="O69" s="359"/>
      <c r="P69" s="359"/>
      <c r="Q69" s="359"/>
      <c r="R69" s="359"/>
      <c r="S69" s="359"/>
      <c r="T69" s="359"/>
      <c r="U69" s="359"/>
    </row>
    <row r="70" spans="1:21" s="364" customFormat="1" ht="15" customHeight="1">
      <c r="A70" s="353"/>
      <c r="B70" s="358"/>
      <c r="C70" s="351" t="s">
        <v>4</v>
      </c>
      <c r="D70" s="355">
        <v>1500</v>
      </c>
      <c r="E70" s="348">
        <f t="shared" si="0"/>
        <v>2000</v>
      </c>
      <c r="F70" s="362"/>
      <c r="G70" s="362"/>
      <c r="H70" s="362">
        <v>2000</v>
      </c>
      <c r="I70" s="362"/>
      <c r="J70" s="362"/>
      <c r="K70" s="362"/>
      <c r="L70" s="362"/>
      <c r="M70" s="362"/>
      <c r="N70" s="363"/>
      <c r="O70" s="359"/>
      <c r="P70" s="359"/>
      <c r="Q70" s="359"/>
      <c r="R70" s="359"/>
      <c r="S70" s="359"/>
      <c r="T70" s="359"/>
      <c r="U70" s="359"/>
    </row>
    <row r="71" spans="1:14" s="359" customFormat="1" ht="15" customHeight="1">
      <c r="A71" s="365"/>
      <c r="B71" s="346"/>
      <c r="C71" s="352" t="s">
        <v>5</v>
      </c>
      <c r="D71" s="348">
        <v>2500</v>
      </c>
      <c r="E71" s="348">
        <f t="shared" si="0"/>
        <v>3000</v>
      </c>
      <c r="F71" s="366"/>
      <c r="G71" s="366"/>
      <c r="H71" s="366">
        <v>3000</v>
      </c>
      <c r="I71" s="366"/>
      <c r="J71" s="366"/>
      <c r="K71" s="366"/>
      <c r="L71" s="366"/>
      <c r="M71" s="366"/>
      <c r="N71" s="367"/>
    </row>
    <row r="72" spans="1:21" s="342" customFormat="1" ht="15" customHeight="1">
      <c r="A72" s="365">
        <v>841192</v>
      </c>
      <c r="B72" s="346" t="s">
        <v>253</v>
      </c>
      <c r="C72" s="351" t="s">
        <v>6</v>
      </c>
      <c r="D72" s="348"/>
      <c r="E72" s="348">
        <f t="shared" si="0"/>
        <v>4205</v>
      </c>
      <c r="F72" s="366">
        <v>3000</v>
      </c>
      <c r="G72" s="366">
        <v>810</v>
      </c>
      <c r="H72" s="366">
        <v>395</v>
      </c>
      <c r="I72" s="366"/>
      <c r="J72" s="366"/>
      <c r="K72" s="366"/>
      <c r="L72" s="366"/>
      <c r="M72" s="366"/>
      <c r="N72" s="367"/>
      <c r="O72" s="359"/>
      <c r="P72" s="359"/>
      <c r="Q72" s="359"/>
      <c r="R72" s="359"/>
      <c r="S72" s="359"/>
      <c r="T72" s="359"/>
      <c r="U72" s="359"/>
    </row>
    <row r="73" spans="1:21" s="342" customFormat="1" ht="15" customHeight="1">
      <c r="A73" s="353"/>
      <c r="B73" s="358"/>
      <c r="C73" s="351" t="s">
        <v>4</v>
      </c>
      <c r="D73" s="355"/>
      <c r="E73" s="348">
        <f t="shared" si="0"/>
        <v>4205</v>
      </c>
      <c r="F73" s="362">
        <v>3000</v>
      </c>
      <c r="G73" s="362">
        <v>810</v>
      </c>
      <c r="H73" s="362">
        <v>395</v>
      </c>
      <c r="I73" s="362"/>
      <c r="J73" s="362"/>
      <c r="K73" s="362"/>
      <c r="L73" s="362"/>
      <c r="M73" s="362"/>
      <c r="N73" s="363"/>
      <c r="O73" s="359"/>
      <c r="P73" s="359"/>
      <c r="Q73" s="359"/>
      <c r="R73" s="359"/>
      <c r="S73" s="359"/>
      <c r="T73" s="359"/>
      <c r="U73" s="359"/>
    </row>
    <row r="74" spans="1:21" s="342" customFormat="1" ht="15" customHeight="1">
      <c r="A74" s="353"/>
      <c r="B74" s="358"/>
      <c r="C74" s="352" t="s">
        <v>5</v>
      </c>
      <c r="D74" s="355">
        <v>361</v>
      </c>
      <c r="E74" s="348">
        <f t="shared" si="0"/>
        <v>4205</v>
      </c>
      <c r="F74" s="362">
        <v>3000</v>
      </c>
      <c r="G74" s="362">
        <v>810</v>
      </c>
      <c r="H74" s="362">
        <v>395</v>
      </c>
      <c r="I74" s="362"/>
      <c r="J74" s="362"/>
      <c r="K74" s="362"/>
      <c r="L74" s="362"/>
      <c r="M74" s="362"/>
      <c r="N74" s="363"/>
      <c r="O74" s="359"/>
      <c r="P74" s="359"/>
      <c r="Q74" s="359"/>
      <c r="R74" s="359"/>
      <c r="S74" s="359"/>
      <c r="T74" s="359"/>
      <c r="U74" s="359"/>
    </row>
    <row r="75" spans="1:21" s="342" customFormat="1" ht="15" customHeight="1">
      <c r="A75" s="353">
        <v>841192</v>
      </c>
      <c r="B75" s="358" t="s">
        <v>254</v>
      </c>
      <c r="C75" s="351" t="s">
        <v>6</v>
      </c>
      <c r="D75" s="355"/>
      <c r="E75" s="348">
        <f t="shared" si="0"/>
        <v>6572</v>
      </c>
      <c r="F75" s="362"/>
      <c r="G75" s="362">
        <v>1215</v>
      </c>
      <c r="H75" s="362">
        <v>5357</v>
      </c>
      <c r="I75" s="362"/>
      <c r="J75" s="362"/>
      <c r="K75" s="362"/>
      <c r="L75" s="362"/>
      <c r="M75" s="362"/>
      <c r="N75" s="363"/>
      <c r="O75" s="359"/>
      <c r="P75" s="359"/>
      <c r="Q75" s="359"/>
      <c r="R75" s="359"/>
      <c r="S75" s="359"/>
      <c r="T75" s="359"/>
      <c r="U75" s="359"/>
    </row>
    <row r="76" spans="1:21" s="342" customFormat="1" ht="15" customHeight="1">
      <c r="A76" s="353"/>
      <c r="B76" s="358"/>
      <c r="C76" s="351" t="s">
        <v>4</v>
      </c>
      <c r="D76" s="355"/>
      <c r="E76" s="348">
        <f t="shared" si="0"/>
        <v>6572</v>
      </c>
      <c r="F76" s="362"/>
      <c r="G76" s="362">
        <v>1215</v>
      </c>
      <c r="H76" s="362">
        <v>5357</v>
      </c>
      <c r="I76" s="362"/>
      <c r="J76" s="362"/>
      <c r="K76" s="362"/>
      <c r="L76" s="362"/>
      <c r="M76" s="362"/>
      <c r="N76" s="363"/>
      <c r="O76" s="359"/>
      <c r="P76" s="359"/>
      <c r="Q76" s="359"/>
      <c r="R76" s="359"/>
      <c r="S76" s="359"/>
      <c r="T76" s="359"/>
      <c r="U76" s="359"/>
    </row>
    <row r="77" spans="1:21" s="342" customFormat="1" ht="15" customHeight="1">
      <c r="A77" s="353"/>
      <c r="B77" s="358"/>
      <c r="C77" s="352" t="s">
        <v>5</v>
      </c>
      <c r="D77" s="355"/>
      <c r="E77" s="348">
        <f t="shared" si="0"/>
        <v>6572</v>
      </c>
      <c r="F77" s="362"/>
      <c r="G77" s="362">
        <v>1215</v>
      </c>
      <c r="H77" s="362">
        <v>5357</v>
      </c>
      <c r="I77" s="362"/>
      <c r="J77" s="362"/>
      <c r="K77" s="362"/>
      <c r="L77" s="362"/>
      <c r="M77" s="362"/>
      <c r="N77" s="363"/>
      <c r="O77" s="359"/>
      <c r="P77" s="359"/>
      <c r="Q77" s="359"/>
      <c r="R77" s="359"/>
      <c r="S77" s="359"/>
      <c r="T77" s="359"/>
      <c r="U77" s="359"/>
    </row>
    <row r="78" spans="1:21" s="342" customFormat="1" ht="15" customHeight="1">
      <c r="A78" s="353">
        <v>841235</v>
      </c>
      <c r="B78" s="358" t="s">
        <v>255</v>
      </c>
      <c r="C78" s="351" t="s">
        <v>6</v>
      </c>
      <c r="D78" s="355">
        <v>52420</v>
      </c>
      <c r="E78" s="348">
        <f t="shared" si="0"/>
        <v>123342</v>
      </c>
      <c r="F78" s="362"/>
      <c r="G78" s="362"/>
      <c r="H78" s="362">
        <v>19770</v>
      </c>
      <c r="I78" s="362">
        <v>76601</v>
      </c>
      <c r="J78" s="362"/>
      <c r="K78" s="362"/>
      <c r="L78" s="362"/>
      <c r="M78" s="362"/>
      <c r="N78" s="363">
        <v>26971</v>
      </c>
      <c r="O78" s="359"/>
      <c r="P78" s="359"/>
      <c r="Q78" s="359"/>
      <c r="R78" s="359"/>
      <c r="S78" s="359"/>
      <c r="T78" s="359"/>
      <c r="U78" s="359"/>
    </row>
    <row r="79" spans="1:21" s="342" customFormat="1" ht="15" customHeight="1">
      <c r="A79" s="353"/>
      <c r="B79" s="358"/>
      <c r="C79" s="351" t="s">
        <v>4</v>
      </c>
      <c r="D79" s="355">
        <v>52420</v>
      </c>
      <c r="E79" s="348">
        <f t="shared" si="0"/>
        <v>123342</v>
      </c>
      <c r="F79" s="362"/>
      <c r="G79" s="362"/>
      <c r="H79" s="362">
        <v>19770</v>
      </c>
      <c r="I79" s="362">
        <v>76601</v>
      </c>
      <c r="J79" s="362"/>
      <c r="K79" s="362"/>
      <c r="L79" s="362"/>
      <c r="M79" s="362"/>
      <c r="N79" s="363">
        <v>26971</v>
      </c>
      <c r="O79" s="359"/>
      <c r="P79" s="359"/>
      <c r="Q79" s="359"/>
      <c r="R79" s="359"/>
      <c r="S79" s="359"/>
      <c r="T79" s="359"/>
      <c r="U79" s="359"/>
    </row>
    <row r="80" spans="1:21" s="342" customFormat="1" ht="15" customHeight="1">
      <c r="A80" s="353"/>
      <c r="B80" s="358"/>
      <c r="C80" s="352" t="s">
        <v>5</v>
      </c>
      <c r="D80" s="355">
        <v>92188</v>
      </c>
      <c r="E80" s="348">
        <f t="shared" si="0"/>
        <v>161668</v>
      </c>
      <c r="F80" s="362"/>
      <c r="G80" s="362"/>
      <c r="H80" s="362">
        <v>19770</v>
      </c>
      <c r="I80" s="362">
        <v>76311</v>
      </c>
      <c r="J80" s="362"/>
      <c r="K80" s="362"/>
      <c r="L80" s="362"/>
      <c r="M80" s="362">
        <v>38616</v>
      </c>
      <c r="N80" s="363">
        <v>26971</v>
      </c>
      <c r="O80" s="359"/>
      <c r="P80" s="359"/>
      <c r="Q80" s="359"/>
      <c r="R80" s="359"/>
      <c r="S80" s="359"/>
      <c r="T80" s="359"/>
      <c r="U80" s="359"/>
    </row>
    <row r="81" spans="1:21" s="342" customFormat="1" ht="15" customHeight="1">
      <c r="A81" s="353">
        <v>841361</v>
      </c>
      <c r="B81" s="358" t="s">
        <v>256</v>
      </c>
      <c r="C81" s="351" t="s">
        <v>6</v>
      </c>
      <c r="D81" s="355"/>
      <c r="E81" s="348">
        <f t="shared" si="0"/>
        <v>2000</v>
      </c>
      <c r="F81" s="356"/>
      <c r="G81" s="356"/>
      <c r="H81" s="356"/>
      <c r="I81" s="356">
        <v>2000</v>
      </c>
      <c r="J81" s="356"/>
      <c r="K81" s="356"/>
      <c r="L81" s="356"/>
      <c r="M81" s="356"/>
      <c r="N81" s="357"/>
      <c r="O81" s="359"/>
      <c r="P81" s="359"/>
      <c r="Q81" s="359"/>
      <c r="R81" s="359"/>
      <c r="S81" s="359"/>
      <c r="T81" s="359"/>
      <c r="U81" s="359"/>
    </row>
    <row r="82" spans="1:21" s="342" customFormat="1" ht="15" customHeight="1">
      <c r="A82" s="353"/>
      <c r="B82" s="358"/>
      <c r="C82" s="351" t="s">
        <v>4</v>
      </c>
      <c r="D82" s="355"/>
      <c r="E82" s="348">
        <f t="shared" si="0"/>
        <v>2000</v>
      </c>
      <c r="F82" s="356"/>
      <c r="G82" s="356"/>
      <c r="H82" s="356"/>
      <c r="I82" s="356">
        <v>2000</v>
      </c>
      <c r="J82" s="356"/>
      <c r="K82" s="356"/>
      <c r="L82" s="356"/>
      <c r="M82" s="356"/>
      <c r="N82" s="357"/>
      <c r="O82" s="359"/>
      <c r="P82" s="359"/>
      <c r="Q82" s="359"/>
      <c r="R82" s="359"/>
      <c r="S82" s="359"/>
      <c r="T82" s="359"/>
      <c r="U82" s="359"/>
    </row>
    <row r="83" spans="1:21" s="342" customFormat="1" ht="15" customHeight="1">
      <c r="A83" s="353"/>
      <c r="B83" s="358"/>
      <c r="C83" s="352" t="s">
        <v>5</v>
      </c>
      <c r="D83" s="355"/>
      <c r="E83" s="348">
        <f t="shared" si="0"/>
        <v>2000</v>
      </c>
      <c r="F83" s="356"/>
      <c r="G83" s="356"/>
      <c r="H83" s="356"/>
      <c r="I83" s="356">
        <v>2000</v>
      </c>
      <c r="J83" s="356"/>
      <c r="K83" s="356"/>
      <c r="L83" s="356"/>
      <c r="M83" s="356"/>
      <c r="N83" s="357"/>
      <c r="O83" s="359"/>
      <c r="P83" s="359"/>
      <c r="Q83" s="359"/>
      <c r="R83" s="359"/>
      <c r="S83" s="359"/>
      <c r="T83" s="359"/>
      <c r="U83" s="359"/>
    </row>
    <row r="84" spans="1:21" s="342" customFormat="1" ht="15" customHeight="1">
      <c r="A84" s="353">
        <v>841402</v>
      </c>
      <c r="B84" s="358" t="s">
        <v>257</v>
      </c>
      <c r="C84" s="351" t="s">
        <v>6</v>
      </c>
      <c r="D84" s="355"/>
      <c r="E84" s="348">
        <f t="shared" si="0"/>
        <v>57621</v>
      </c>
      <c r="F84" s="362"/>
      <c r="G84" s="362"/>
      <c r="H84" s="362">
        <v>43971</v>
      </c>
      <c r="I84" s="362"/>
      <c r="J84" s="362"/>
      <c r="K84" s="362"/>
      <c r="L84" s="362"/>
      <c r="M84" s="368"/>
      <c r="N84" s="363">
        <v>13650</v>
      </c>
      <c r="O84" s="359"/>
      <c r="P84" s="359"/>
      <c r="Q84" s="359"/>
      <c r="R84" s="359"/>
      <c r="S84" s="359"/>
      <c r="T84" s="359"/>
      <c r="U84" s="359"/>
    </row>
    <row r="85" spans="1:21" s="342" customFormat="1" ht="15" customHeight="1">
      <c r="A85" s="353"/>
      <c r="B85" s="358"/>
      <c r="C85" s="351" t="s">
        <v>4</v>
      </c>
      <c r="D85" s="355"/>
      <c r="E85" s="348">
        <f t="shared" si="0"/>
        <v>62066</v>
      </c>
      <c r="F85" s="362"/>
      <c r="G85" s="362"/>
      <c r="H85" s="362">
        <v>42784</v>
      </c>
      <c r="I85" s="362"/>
      <c r="J85" s="362"/>
      <c r="K85" s="362"/>
      <c r="L85" s="362">
        <v>5632</v>
      </c>
      <c r="M85" s="368"/>
      <c r="N85" s="363">
        <v>13650</v>
      </c>
      <c r="O85" s="359"/>
      <c r="P85" s="359"/>
      <c r="Q85" s="359"/>
      <c r="R85" s="359"/>
      <c r="S85" s="359"/>
      <c r="T85" s="359"/>
      <c r="U85" s="359"/>
    </row>
    <row r="86" spans="1:21" s="342" customFormat="1" ht="15" customHeight="1">
      <c r="A86" s="353"/>
      <c r="B86" s="358"/>
      <c r="C86" s="352" t="s">
        <v>5</v>
      </c>
      <c r="D86" s="355"/>
      <c r="E86" s="348">
        <f t="shared" si="0"/>
        <v>62066</v>
      </c>
      <c r="F86" s="362"/>
      <c r="G86" s="362"/>
      <c r="H86" s="362">
        <v>42784</v>
      </c>
      <c r="I86" s="362"/>
      <c r="J86" s="362"/>
      <c r="K86" s="362"/>
      <c r="L86" s="362">
        <v>5632</v>
      </c>
      <c r="M86" s="368"/>
      <c r="N86" s="363">
        <v>13650</v>
      </c>
      <c r="O86" s="359"/>
      <c r="P86" s="359"/>
      <c r="Q86" s="359"/>
      <c r="R86" s="359"/>
      <c r="S86" s="359"/>
      <c r="T86" s="359"/>
      <c r="U86" s="359"/>
    </row>
    <row r="87" spans="1:21" s="342" customFormat="1" ht="15" customHeight="1">
      <c r="A87" s="353">
        <v>841401</v>
      </c>
      <c r="B87" s="358" t="s">
        <v>258</v>
      </c>
      <c r="C87" s="351" t="s">
        <v>6</v>
      </c>
      <c r="D87" s="355"/>
      <c r="E87" s="348">
        <f t="shared" si="0"/>
        <v>4313</v>
      </c>
      <c r="F87" s="362"/>
      <c r="G87" s="362"/>
      <c r="H87" s="362">
        <v>4313</v>
      </c>
      <c r="I87" s="362"/>
      <c r="J87" s="362"/>
      <c r="K87" s="362"/>
      <c r="L87" s="362"/>
      <c r="M87" s="362"/>
      <c r="N87" s="363"/>
      <c r="O87" s="359"/>
      <c r="P87" s="359"/>
      <c r="Q87" s="359"/>
      <c r="R87" s="359"/>
      <c r="S87" s="359"/>
      <c r="T87" s="359"/>
      <c r="U87" s="359"/>
    </row>
    <row r="88" spans="1:21" s="342" customFormat="1" ht="15" customHeight="1">
      <c r="A88" s="353"/>
      <c r="B88" s="358"/>
      <c r="C88" s="351" t="s">
        <v>4</v>
      </c>
      <c r="D88" s="355"/>
      <c r="E88" s="348">
        <f t="shared" si="0"/>
        <v>4313</v>
      </c>
      <c r="F88" s="362"/>
      <c r="G88" s="362"/>
      <c r="H88" s="362">
        <v>4313</v>
      </c>
      <c r="I88" s="362"/>
      <c r="J88" s="362"/>
      <c r="K88" s="362"/>
      <c r="L88" s="362"/>
      <c r="M88" s="362"/>
      <c r="N88" s="363"/>
      <c r="O88" s="359"/>
      <c r="P88" s="359"/>
      <c r="Q88" s="359"/>
      <c r="R88" s="359"/>
      <c r="S88" s="359"/>
      <c r="T88" s="359"/>
      <c r="U88" s="359"/>
    </row>
    <row r="89" spans="1:21" s="342" customFormat="1" ht="15" customHeight="1">
      <c r="A89" s="353"/>
      <c r="B89" s="358"/>
      <c r="C89" s="352" t="s">
        <v>5</v>
      </c>
      <c r="D89" s="355"/>
      <c r="E89" s="348">
        <f t="shared" si="0"/>
        <v>4313</v>
      </c>
      <c r="F89" s="362"/>
      <c r="G89" s="362"/>
      <c r="H89" s="362">
        <v>4313</v>
      </c>
      <c r="I89" s="362"/>
      <c r="J89" s="362"/>
      <c r="K89" s="362"/>
      <c r="L89" s="362"/>
      <c r="M89" s="362"/>
      <c r="N89" s="363"/>
      <c r="O89" s="359"/>
      <c r="P89" s="359"/>
      <c r="Q89" s="359"/>
      <c r="R89" s="359"/>
      <c r="S89" s="359"/>
      <c r="T89" s="359"/>
      <c r="U89" s="359"/>
    </row>
    <row r="90" spans="1:21" s="342" customFormat="1" ht="15" customHeight="1">
      <c r="A90" s="353">
        <v>841403</v>
      </c>
      <c r="B90" s="358" t="s">
        <v>259</v>
      </c>
      <c r="C90" s="351" t="s">
        <v>6</v>
      </c>
      <c r="D90" s="355">
        <v>73038</v>
      </c>
      <c r="E90" s="348">
        <f t="shared" si="0"/>
        <v>109447</v>
      </c>
      <c r="F90" s="362"/>
      <c r="G90" s="362"/>
      <c r="H90" s="362">
        <v>26360</v>
      </c>
      <c r="I90" s="362">
        <v>4212</v>
      </c>
      <c r="J90" s="362"/>
      <c r="K90" s="362"/>
      <c r="L90" s="362"/>
      <c r="M90" s="368">
        <v>2500</v>
      </c>
      <c r="N90" s="363">
        <v>76375</v>
      </c>
      <c r="O90" s="359"/>
      <c r="P90" s="359"/>
      <c r="Q90" s="359"/>
      <c r="R90" s="359"/>
      <c r="S90" s="359"/>
      <c r="T90" s="359"/>
      <c r="U90" s="359"/>
    </row>
    <row r="91" spans="1:21" s="342" customFormat="1" ht="15" customHeight="1">
      <c r="A91" s="353"/>
      <c r="B91" s="358"/>
      <c r="C91" s="351" t="s">
        <v>4</v>
      </c>
      <c r="D91" s="355">
        <v>73038</v>
      </c>
      <c r="E91" s="348">
        <f t="shared" si="0"/>
        <v>109533</v>
      </c>
      <c r="F91" s="362"/>
      <c r="G91" s="362"/>
      <c r="H91" s="362">
        <v>26446</v>
      </c>
      <c r="I91" s="362">
        <v>4212</v>
      </c>
      <c r="J91" s="362"/>
      <c r="K91" s="362"/>
      <c r="L91" s="362">
        <v>2025</v>
      </c>
      <c r="M91" s="368">
        <v>2500</v>
      </c>
      <c r="N91" s="363">
        <v>74350</v>
      </c>
      <c r="O91" s="359"/>
      <c r="P91" s="359"/>
      <c r="Q91" s="359"/>
      <c r="R91" s="359"/>
      <c r="S91" s="359"/>
      <c r="T91" s="359"/>
      <c r="U91" s="359"/>
    </row>
    <row r="92" spans="1:21" s="342" customFormat="1" ht="15" customHeight="1">
      <c r="A92" s="353"/>
      <c r="B92" s="358"/>
      <c r="C92" s="352" t="s">
        <v>5</v>
      </c>
      <c r="D92" s="355">
        <v>73038</v>
      </c>
      <c r="E92" s="348">
        <f t="shared" si="0"/>
        <v>109533</v>
      </c>
      <c r="F92" s="362"/>
      <c r="G92" s="362"/>
      <c r="H92" s="362">
        <v>26446</v>
      </c>
      <c r="I92" s="362">
        <v>4212</v>
      </c>
      <c r="J92" s="362"/>
      <c r="K92" s="362"/>
      <c r="L92" s="362">
        <v>2978</v>
      </c>
      <c r="M92" s="368">
        <v>2500</v>
      </c>
      <c r="N92" s="363">
        <v>73397</v>
      </c>
      <c r="O92" s="359"/>
      <c r="P92" s="359"/>
      <c r="Q92" s="359"/>
      <c r="R92" s="359"/>
      <c r="S92" s="359"/>
      <c r="T92" s="359"/>
      <c r="U92" s="359"/>
    </row>
    <row r="93" spans="1:21" s="342" customFormat="1" ht="15" customHeight="1">
      <c r="A93" s="353">
        <v>841403</v>
      </c>
      <c r="B93" s="358" t="s">
        <v>260</v>
      </c>
      <c r="C93" s="351" t="s">
        <v>6</v>
      </c>
      <c r="D93" s="355"/>
      <c r="E93" s="348">
        <f t="shared" si="0"/>
        <v>19657</v>
      </c>
      <c r="F93" s="356">
        <v>1600</v>
      </c>
      <c r="G93" s="356">
        <v>432</v>
      </c>
      <c r="H93" s="356">
        <v>12675</v>
      </c>
      <c r="I93" s="356">
        <v>4000</v>
      </c>
      <c r="J93" s="356"/>
      <c r="K93" s="356"/>
      <c r="L93" s="356"/>
      <c r="M93" s="356"/>
      <c r="N93" s="357">
        <v>950</v>
      </c>
      <c r="O93" s="359"/>
      <c r="P93" s="359"/>
      <c r="Q93" s="359"/>
      <c r="R93" s="359"/>
      <c r="S93" s="359"/>
      <c r="T93" s="359"/>
      <c r="U93" s="359"/>
    </row>
    <row r="94" spans="1:21" s="342" customFormat="1" ht="15" customHeight="1">
      <c r="A94" s="353"/>
      <c r="B94" s="358"/>
      <c r="C94" s="351" t="s">
        <v>4</v>
      </c>
      <c r="D94" s="355"/>
      <c r="E94" s="348">
        <f t="shared" si="0"/>
        <v>19657</v>
      </c>
      <c r="F94" s="356">
        <v>1600</v>
      </c>
      <c r="G94" s="356">
        <v>432</v>
      </c>
      <c r="H94" s="356">
        <v>11725</v>
      </c>
      <c r="I94" s="356">
        <v>4000</v>
      </c>
      <c r="J94" s="356"/>
      <c r="K94" s="356"/>
      <c r="L94" s="356">
        <v>950</v>
      </c>
      <c r="M94" s="356"/>
      <c r="N94" s="357">
        <v>950</v>
      </c>
      <c r="O94" s="359"/>
      <c r="P94" s="359"/>
      <c r="Q94" s="359"/>
      <c r="R94" s="359"/>
      <c r="S94" s="359"/>
      <c r="T94" s="359"/>
      <c r="U94" s="359"/>
    </row>
    <row r="95" spans="1:21" s="342" customFormat="1" ht="15" customHeight="1">
      <c r="A95" s="353"/>
      <c r="B95" s="358"/>
      <c r="C95" s="352" t="s">
        <v>5</v>
      </c>
      <c r="D95" s="355"/>
      <c r="E95" s="348">
        <f t="shared" si="0"/>
        <v>19657</v>
      </c>
      <c r="F95" s="356">
        <v>1600</v>
      </c>
      <c r="G95" s="356">
        <v>432</v>
      </c>
      <c r="H95" s="356">
        <v>11725</v>
      </c>
      <c r="I95" s="356">
        <v>4000</v>
      </c>
      <c r="J95" s="356"/>
      <c r="K95" s="356"/>
      <c r="L95" s="356">
        <v>950</v>
      </c>
      <c r="M95" s="356"/>
      <c r="N95" s="357">
        <v>950</v>
      </c>
      <c r="O95" s="359"/>
      <c r="P95" s="359"/>
      <c r="Q95" s="359"/>
      <c r="R95" s="359"/>
      <c r="S95" s="359"/>
      <c r="T95" s="359"/>
      <c r="U95" s="359"/>
    </row>
    <row r="96" spans="1:21" s="342" customFormat="1" ht="15" customHeight="1">
      <c r="A96" s="353">
        <v>841901</v>
      </c>
      <c r="B96" s="358" t="s">
        <v>261</v>
      </c>
      <c r="C96" s="351" t="s">
        <v>6</v>
      </c>
      <c r="D96" s="355">
        <v>1237767</v>
      </c>
      <c r="E96" s="348">
        <f t="shared" si="0"/>
        <v>0</v>
      </c>
      <c r="F96" s="356"/>
      <c r="G96" s="356"/>
      <c r="H96" s="356"/>
      <c r="I96" s="356"/>
      <c r="J96" s="356"/>
      <c r="K96" s="356"/>
      <c r="L96" s="356"/>
      <c r="M96" s="356"/>
      <c r="N96" s="357"/>
      <c r="O96" s="359"/>
      <c r="P96" s="359"/>
      <c r="Q96" s="359"/>
      <c r="R96" s="359"/>
      <c r="S96" s="359"/>
      <c r="T96" s="359"/>
      <c r="U96" s="359"/>
    </row>
    <row r="97" spans="1:21" s="342" customFormat="1" ht="15" customHeight="1">
      <c r="A97" s="353"/>
      <c r="B97" s="358"/>
      <c r="C97" s="351" t="s">
        <v>4</v>
      </c>
      <c r="D97" s="355">
        <v>1265832</v>
      </c>
      <c r="E97" s="348">
        <f t="shared" si="0"/>
        <v>0</v>
      </c>
      <c r="F97" s="356"/>
      <c r="G97" s="356"/>
      <c r="H97" s="356"/>
      <c r="I97" s="356"/>
      <c r="J97" s="356"/>
      <c r="K97" s="356"/>
      <c r="L97" s="356"/>
      <c r="M97" s="356"/>
      <c r="N97" s="357"/>
      <c r="O97" s="359"/>
      <c r="P97" s="359"/>
      <c r="Q97" s="359"/>
      <c r="R97" s="359"/>
      <c r="S97" s="359"/>
      <c r="T97" s="359"/>
      <c r="U97" s="359"/>
    </row>
    <row r="98" spans="1:21" s="342" customFormat="1" ht="15" customHeight="1">
      <c r="A98" s="353"/>
      <c r="B98" s="358"/>
      <c r="C98" s="352" t="s">
        <v>5</v>
      </c>
      <c r="D98" s="355">
        <v>1273912</v>
      </c>
      <c r="E98" s="348">
        <f t="shared" si="0"/>
        <v>0</v>
      </c>
      <c r="F98" s="356"/>
      <c r="G98" s="356"/>
      <c r="H98" s="356"/>
      <c r="I98" s="356"/>
      <c r="J98" s="356"/>
      <c r="K98" s="356"/>
      <c r="L98" s="356"/>
      <c r="M98" s="356"/>
      <c r="N98" s="357"/>
      <c r="O98" s="359"/>
      <c r="P98" s="359"/>
      <c r="Q98" s="359"/>
      <c r="R98" s="359"/>
      <c r="S98" s="359"/>
      <c r="T98" s="359"/>
      <c r="U98" s="359"/>
    </row>
    <row r="99" spans="1:21" s="342" customFormat="1" ht="15" customHeight="1">
      <c r="A99" s="353">
        <v>841902</v>
      </c>
      <c r="B99" s="358" t="s">
        <v>262</v>
      </c>
      <c r="C99" s="351" t="s">
        <v>6</v>
      </c>
      <c r="D99" s="355"/>
      <c r="E99" s="348">
        <f t="shared" si="0"/>
        <v>4000</v>
      </c>
      <c r="F99" s="362"/>
      <c r="G99" s="362"/>
      <c r="H99" s="362">
        <v>4000</v>
      </c>
      <c r="I99" s="362"/>
      <c r="J99" s="362"/>
      <c r="K99" s="362"/>
      <c r="L99" s="362"/>
      <c r="M99" s="362"/>
      <c r="N99" s="363"/>
      <c r="O99" s="359"/>
      <c r="P99" s="359"/>
      <c r="Q99" s="359"/>
      <c r="R99" s="359"/>
      <c r="S99" s="359"/>
      <c r="T99" s="359"/>
      <c r="U99" s="359"/>
    </row>
    <row r="100" spans="1:21" s="342" customFormat="1" ht="15" customHeight="1">
      <c r="A100" s="353"/>
      <c r="B100" s="358"/>
      <c r="C100" s="351" t="s">
        <v>4</v>
      </c>
      <c r="D100" s="355"/>
      <c r="E100" s="348">
        <f t="shared" si="0"/>
        <v>4000</v>
      </c>
      <c r="F100" s="362"/>
      <c r="G100" s="362"/>
      <c r="H100" s="362">
        <v>4000</v>
      </c>
      <c r="I100" s="362"/>
      <c r="J100" s="362"/>
      <c r="K100" s="362"/>
      <c r="L100" s="362"/>
      <c r="M100" s="362"/>
      <c r="N100" s="363"/>
      <c r="O100" s="359"/>
      <c r="P100" s="359"/>
      <c r="Q100" s="359"/>
      <c r="R100" s="359"/>
      <c r="S100" s="359"/>
      <c r="T100" s="359"/>
      <c r="U100" s="359"/>
    </row>
    <row r="101" spans="1:21" s="342" customFormat="1" ht="15" customHeight="1">
      <c r="A101" s="353"/>
      <c r="B101" s="358"/>
      <c r="C101" s="352" t="s">
        <v>5</v>
      </c>
      <c r="D101" s="355"/>
      <c r="E101" s="348">
        <f t="shared" si="0"/>
        <v>12416</v>
      </c>
      <c r="F101" s="362"/>
      <c r="G101" s="362"/>
      <c r="H101" s="362">
        <v>12416</v>
      </c>
      <c r="I101" s="362"/>
      <c r="J101" s="362"/>
      <c r="K101" s="362"/>
      <c r="L101" s="362"/>
      <c r="M101" s="362"/>
      <c r="N101" s="363"/>
      <c r="O101" s="359"/>
      <c r="P101" s="359"/>
      <c r="Q101" s="359"/>
      <c r="R101" s="359"/>
      <c r="S101" s="359"/>
      <c r="T101" s="359"/>
      <c r="U101" s="359"/>
    </row>
    <row r="102" spans="1:21" s="342" customFormat="1" ht="15" customHeight="1">
      <c r="A102" s="353">
        <v>841906</v>
      </c>
      <c r="B102" s="358" t="s">
        <v>263</v>
      </c>
      <c r="C102" s="351" t="s">
        <v>6</v>
      </c>
      <c r="D102" s="355">
        <v>1055533</v>
      </c>
      <c r="E102" s="348">
        <f t="shared" si="0"/>
        <v>261597</v>
      </c>
      <c r="F102" s="362"/>
      <c r="G102" s="362"/>
      <c r="H102" s="362">
        <v>124421</v>
      </c>
      <c r="I102" s="362">
        <v>3161</v>
      </c>
      <c r="J102" s="362"/>
      <c r="K102" s="362"/>
      <c r="L102" s="362"/>
      <c r="M102" s="362">
        <v>134015</v>
      </c>
      <c r="N102" s="363"/>
      <c r="O102" s="359"/>
      <c r="P102" s="359"/>
      <c r="Q102" s="359"/>
      <c r="R102" s="359"/>
      <c r="S102" s="359"/>
      <c r="T102" s="359"/>
      <c r="U102" s="359"/>
    </row>
    <row r="103" spans="1:21" s="342" customFormat="1" ht="15" customHeight="1">
      <c r="A103" s="353"/>
      <c r="B103" s="358"/>
      <c r="C103" s="351" t="s">
        <v>4</v>
      </c>
      <c r="D103" s="355">
        <v>958227</v>
      </c>
      <c r="E103" s="348">
        <f t="shared" si="0"/>
        <v>261597</v>
      </c>
      <c r="F103" s="362"/>
      <c r="G103" s="362"/>
      <c r="H103" s="362">
        <v>124421</v>
      </c>
      <c r="I103" s="362">
        <v>3161</v>
      </c>
      <c r="J103" s="362"/>
      <c r="K103" s="362"/>
      <c r="L103" s="362"/>
      <c r="M103" s="362">
        <v>134015</v>
      </c>
      <c r="N103" s="363"/>
      <c r="O103" s="359"/>
      <c r="P103" s="359"/>
      <c r="Q103" s="359"/>
      <c r="R103" s="359"/>
      <c r="S103" s="359"/>
      <c r="T103" s="359"/>
      <c r="U103" s="359"/>
    </row>
    <row r="104" spans="1:21" s="342" customFormat="1" ht="15" customHeight="1">
      <c r="A104" s="353"/>
      <c r="B104" s="358"/>
      <c r="C104" s="352" t="s">
        <v>5</v>
      </c>
      <c r="D104" s="355">
        <v>949432</v>
      </c>
      <c r="E104" s="348">
        <f t="shared" si="0"/>
        <v>261597</v>
      </c>
      <c r="F104" s="362"/>
      <c r="G104" s="362"/>
      <c r="H104" s="362">
        <v>124421</v>
      </c>
      <c r="I104" s="362">
        <v>3161</v>
      </c>
      <c r="J104" s="362"/>
      <c r="K104" s="362"/>
      <c r="L104" s="362"/>
      <c r="M104" s="362">
        <v>134015</v>
      </c>
      <c r="N104" s="363"/>
      <c r="O104" s="359"/>
      <c r="P104" s="359"/>
      <c r="Q104" s="359"/>
      <c r="R104" s="359"/>
      <c r="S104" s="359"/>
      <c r="T104" s="359"/>
      <c r="U104" s="359"/>
    </row>
    <row r="105" spans="1:21" s="342" customFormat="1" ht="15" customHeight="1">
      <c r="A105" s="353">
        <v>841908</v>
      </c>
      <c r="B105" s="358" t="s">
        <v>39</v>
      </c>
      <c r="C105" s="351" t="s">
        <v>6</v>
      </c>
      <c r="D105" s="355"/>
      <c r="E105" s="348">
        <f t="shared" si="0"/>
        <v>13000</v>
      </c>
      <c r="F105" s="362"/>
      <c r="G105" s="362"/>
      <c r="H105" s="362"/>
      <c r="I105" s="362"/>
      <c r="J105" s="362"/>
      <c r="K105" s="362"/>
      <c r="L105" s="362"/>
      <c r="M105" s="362"/>
      <c r="N105" s="363">
        <v>13000</v>
      </c>
      <c r="O105" s="359"/>
      <c r="P105" s="359"/>
      <c r="Q105" s="359"/>
      <c r="R105" s="359"/>
      <c r="S105" s="359"/>
      <c r="T105" s="359"/>
      <c r="U105" s="359"/>
    </row>
    <row r="106" spans="1:21" s="342" customFormat="1" ht="15" customHeight="1">
      <c r="A106" s="353"/>
      <c r="B106" s="358"/>
      <c r="C106" s="351" t="s">
        <v>4</v>
      </c>
      <c r="D106" s="355"/>
      <c r="E106" s="348">
        <v>9575</v>
      </c>
      <c r="F106" s="362"/>
      <c r="G106" s="362"/>
      <c r="H106" s="362"/>
      <c r="I106" s="362"/>
      <c r="J106" s="362"/>
      <c r="K106" s="362"/>
      <c r="L106" s="362"/>
      <c r="M106" s="362"/>
      <c r="N106" s="363">
        <v>9575</v>
      </c>
      <c r="O106" s="359"/>
      <c r="P106" s="359"/>
      <c r="Q106" s="359"/>
      <c r="R106" s="359"/>
      <c r="S106" s="359"/>
      <c r="T106" s="359"/>
      <c r="U106" s="359"/>
    </row>
    <row r="107" spans="1:21" s="342" customFormat="1" ht="15" customHeight="1">
      <c r="A107" s="353"/>
      <c r="B107" s="358"/>
      <c r="C107" s="352" t="s">
        <v>5</v>
      </c>
      <c r="D107" s="355"/>
      <c r="E107" s="348">
        <f>SUM(F107:N107)</f>
        <v>4357</v>
      </c>
      <c r="F107" s="362"/>
      <c r="G107" s="362"/>
      <c r="H107" s="362"/>
      <c r="I107" s="362"/>
      <c r="J107" s="362"/>
      <c r="K107" s="362"/>
      <c r="L107" s="362"/>
      <c r="M107" s="362"/>
      <c r="N107" s="363">
        <v>4357</v>
      </c>
      <c r="O107" s="359"/>
      <c r="P107" s="359"/>
      <c r="Q107" s="359"/>
      <c r="R107" s="359"/>
      <c r="S107" s="359"/>
      <c r="T107" s="359"/>
      <c r="U107" s="359"/>
    </row>
    <row r="108" spans="1:21" s="342" customFormat="1" ht="15" customHeight="1">
      <c r="A108" s="353">
        <v>841908</v>
      </c>
      <c r="B108" s="358" t="s">
        <v>264</v>
      </c>
      <c r="C108" s="351" t="s">
        <v>6</v>
      </c>
      <c r="D108" s="355"/>
      <c r="E108" s="348">
        <f aca="true" t="shared" si="1" ref="E108:E201">SUM(F108:N108)</f>
        <v>204545</v>
      </c>
      <c r="F108" s="362"/>
      <c r="G108" s="362"/>
      <c r="H108" s="362"/>
      <c r="I108" s="362"/>
      <c r="J108" s="362"/>
      <c r="K108" s="362"/>
      <c r="L108" s="362"/>
      <c r="M108" s="362"/>
      <c r="N108" s="363">
        <v>204545</v>
      </c>
      <c r="O108" s="359"/>
      <c r="P108" s="359"/>
      <c r="Q108" s="359"/>
      <c r="R108" s="359"/>
      <c r="S108" s="359"/>
      <c r="T108" s="359"/>
      <c r="U108" s="359"/>
    </row>
    <row r="109" spans="1:21" s="342" customFormat="1" ht="15" customHeight="1">
      <c r="A109" s="353"/>
      <c r="B109" s="358"/>
      <c r="C109" s="351" t="s">
        <v>4</v>
      </c>
      <c r="D109" s="355"/>
      <c r="E109" s="348">
        <f t="shared" si="1"/>
        <v>108308</v>
      </c>
      <c r="F109" s="362"/>
      <c r="G109" s="362"/>
      <c r="H109" s="362"/>
      <c r="I109" s="362"/>
      <c r="J109" s="362"/>
      <c r="K109" s="362"/>
      <c r="L109" s="362"/>
      <c r="M109" s="362"/>
      <c r="N109" s="363">
        <v>108308</v>
      </c>
      <c r="O109" s="359"/>
      <c r="P109" s="359"/>
      <c r="Q109" s="359"/>
      <c r="R109" s="359"/>
      <c r="S109" s="359"/>
      <c r="T109" s="359"/>
      <c r="U109" s="359"/>
    </row>
    <row r="110" spans="1:21" s="342" customFormat="1" ht="15" customHeight="1">
      <c r="A110" s="353"/>
      <c r="B110" s="358"/>
      <c r="C110" s="352" t="s">
        <v>5</v>
      </c>
      <c r="D110" s="355"/>
      <c r="E110" s="348">
        <f t="shared" si="1"/>
        <v>25785</v>
      </c>
      <c r="F110" s="362"/>
      <c r="G110" s="362"/>
      <c r="H110" s="362"/>
      <c r="I110" s="362"/>
      <c r="J110" s="362"/>
      <c r="K110" s="362"/>
      <c r="L110" s="362"/>
      <c r="M110" s="362"/>
      <c r="N110" s="363">
        <v>25785</v>
      </c>
      <c r="O110" s="359"/>
      <c r="P110" s="359"/>
      <c r="Q110" s="359"/>
      <c r="R110" s="359"/>
      <c r="S110" s="359"/>
      <c r="T110" s="359"/>
      <c r="U110" s="359"/>
    </row>
    <row r="111" spans="1:21" s="342" customFormat="1" ht="15" customHeight="1">
      <c r="A111" s="353">
        <v>842155</v>
      </c>
      <c r="B111" s="358" t="s">
        <v>265</v>
      </c>
      <c r="C111" s="351" t="s">
        <v>6</v>
      </c>
      <c r="D111" s="355">
        <v>8700</v>
      </c>
      <c r="E111" s="348">
        <f t="shared" si="1"/>
        <v>1532</v>
      </c>
      <c r="F111" s="362">
        <v>1088</v>
      </c>
      <c r="G111" s="362">
        <v>294</v>
      </c>
      <c r="H111" s="362">
        <v>70</v>
      </c>
      <c r="I111" s="362">
        <v>80</v>
      </c>
      <c r="J111" s="362"/>
      <c r="K111" s="362"/>
      <c r="L111" s="362"/>
      <c r="M111" s="368"/>
      <c r="N111" s="363"/>
      <c r="O111" s="359"/>
      <c r="P111" s="359"/>
      <c r="Q111" s="359"/>
      <c r="R111" s="359"/>
      <c r="S111" s="359"/>
      <c r="T111" s="359"/>
      <c r="U111" s="359"/>
    </row>
    <row r="112" spans="1:21" s="342" customFormat="1" ht="15" customHeight="1">
      <c r="A112" s="353"/>
      <c r="B112" s="358"/>
      <c r="C112" s="351" t="s">
        <v>4</v>
      </c>
      <c r="D112" s="355">
        <v>8700</v>
      </c>
      <c r="E112" s="348">
        <f t="shared" si="1"/>
        <v>1532</v>
      </c>
      <c r="F112" s="362">
        <v>1088</v>
      </c>
      <c r="G112" s="362">
        <v>294</v>
      </c>
      <c r="H112" s="362">
        <v>70</v>
      </c>
      <c r="I112" s="362">
        <v>80</v>
      </c>
      <c r="J112" s="362"/>
      <c r="K112" s="362"/>
      <c r="L112" s="362"/>
      <c r="M112" s="368"/>
      <c r="N112" s="363"/>
      <c r="O112" s="359"/>
      <c r="P112" s="359"/>
      <c r="Q112" s="359"/>
      <c r="R112" s="359"/>
      <c r="S112" s="359"/>
      <c r="T112" s="359"/>
      <c r="U112" s="359"/>
    </row>
    <row r="113" spans="1:21" s="342" customFormat="1" ht="15" customHeight="1">
      <c r="A113" s="353"/>
      <c r="B113" s="358"/>
      <c r="C113" s="352" t="s">
        <v>5</v>
      </c>
      <c r="D113" s="355">
        <v>8700</v>
      </c>
      <c r="E113" s="348">
        <f t="shared" si="1"/>
        <v>1532</v>
      </c>
      <c r="F113" s="362">
        <v>1088</v>
      </c>
      <c r="G113" s="362">
        <v>294</v>
      </c>
      <c r="H113" s="362">
        <v>70</v>
      </c>
      <c r="I113" s="362">
        <v>80</v>
      </c>
      <c r="J113" s="362"/>
      <c r="K113" s="362"/>
      <c r="L113" s="362"/>
      <c r="M113" s="368"/>
      <c r="N113" s="363"/>
      <c r="O113" s="359"/>
      <c r="P113" s="359"/>
      <c r="Q113" s="359"/>
      <c r="R113" s="359"/>
      <c r="S113" s="359"/>
      <c r="T113" s="359"/>
      <c r="U113" s="359"/>
    </row>
    <row r="114" spans="1:21" s="342" customFormat="1" ht="15" customHeight="1">
      <c r="A114" s="353">
        <v>842155</v>
      </c>
      <c r="B114" s="358" t="s">
        <v>266</v>
      </c>
      <c r="C114" s="351" t="s">
        <v>6</v>
      </c>
      <c r="D114" s="355"/>
      <c r="E114" s="348">
        <f t="shared" si="1"/>
        <v>20802</v>
      </c>
      <c r="F114" s="362"/>
      <c r="G114" s="362">
        <v>1350</v>
      </c>
      <c r="H114" s="362">
        <v>19452</v>
      </c>
      <c r="I114" s="362"/>
      <c r="J114" s="362"/>
      <c r="K114" s="362"/>
      <c r="L114" s="362"/>
      <c r="M114" s="362"/>
      <c r="N114" s="363"/>
      <c r="O114" s="359"/>
      <c r="P114" s="359"/>
      <c r="Q114" s="359"/>
      <c r="R114" s="359"/>
      <c r="S114" s="359"/>
      <c r="T114" s="359"/>
      <c r="U114" s="359"/>
    </row>
    <row r="115" spans="1:21" s="342" customFormat="1" ht="15" customHeight="1">
      <c r="A115" s="353"/>
      <c r="B115" s="358"/>
      <c r="C115" s="351" t="s">
        <v>4</v>
      </c>
      <c r="D115" s="355"/>
      <c r="E115" s="348">
        <f t="shared" si="1"/>
        <v>20802</v>
      </c>
      <c r="F115" s="362"/>
      <c r="G115" s="362">
        <v>1350</v>
      </c>
      <c r="H115" s="362">
        <v>19452</v>
      </c>
      <c r="I115" s="362"/>
      <c r="J115" s="362"/>
      <c r="K115" s="362"/>
      <c r="L115" s="362"/>
      <c r="M115" s="362"/>
      <c r="N115" s="363"/>
      <c r="O115" s="359"/>
      <c r="P115" s="359"/>
      <c r="Q115" s="359"/>
      <c r="R115" s="359"/>
      <c r="S115" s="359"/>
      <c r="T115" s="359"/>
      <c r="U115" s="359"/>
    </row>
    <row r="116" spans="1:21" s="342" customFormat="1" ht="15" customHeight="1">
      <c r="A116" s="353"/>
      <c r="B116" s="358"/>
      <c r="C116" s="352" t="s">
        <v>5</v>
      </c>
      <c r="D116" s="355"/>
      <c r="E116" s="348">
        <f t="shared" si="1"/>
        <v>20802</v>
      </c>
      <c r="F116" s="362"/>
      <c r="G116" s="362">
        <v>1350</v>
      </c>
      <c r="H116" s="362">
        <v>19452</v>
      </c>
      <c r="I116" s="362"/>
      <c r="J116" s="362"/>
      <c r="K116" s="362"/>
      <c r="L116" s="362"/>
      <c r="M116" s="362"/>
      <c r="N116" s="363"/>
      <c r="O116" s="359"/>
      <c r="P116" s="359"/>
      <c r="Q116" s="359"/>
      <c r="R116" s="359"/>
      <c r="S116" s="359"/>
      <c r="T116" s="359"/>
      <c r="U116" s="359"/>
    </row>
    <row r="117" spans="1:21" s="342" customFormat="1" ht="15" customHeight="1">
      <c r="A117" s="353">
        <v>842155</v>
      </c>
      <c r="B117" s="358" t="s">
        <v>267</v>
      </c>
      <c r="C117" s="351" t="s">
        <v>6</v>
      </c>
      <c r="D117" s="355"/>
      <c r="E117" s="348">
        <f t="shared" si="1"/>
        <v>2800</v>
      </c>
      <c r="F117" s="362"/>
      <c r="G117" s="362"/>
      <c r="H117" s="362">
        <v>2800</v>
      </c>
      <c r="I117" s="362"/>
      <c r="J117" s="362"/>
      <c r="K117" s="362"/>
      <c r="L117" s="362"/>
      <c r="M117" s="362"/>
      <c r="N117" s="363"/>
      <c r="O117" s="359"/>
      <c r="P117" s="359"/>
      <c r="Q117" s="359"/>
      <c r="R117" s="359"/>
      <c r="S117" s="359"/>
      <c r="T117" s="359"/>
      <c r="U117" s="359"/>
    </row>
    <row r="118" spans="1:21" s="342" customFormat="1" ht="15" customHeight="1">
      <c r="A118" s="353"/>
      <c r="B118" s="358"/>
      <c r="C118" s="351" t="s">
        <v>4</v>
      </c>
      <c r="D118" s="355"/>
      <c r="E118" s="348">
        <f t="shared" si="1"/>
        <v>2800</v>
      </c>
      <c r="F118" s="362"/>
      <c r="G118" s="362"/>
      <c r="H118" s="362">
        <v>2800</v>
      </c>
      <c r="I118" s="362"/>
      <c r="J118" s="362"/>
      <c r="K118" s="362"/>
      <c r="L118" s="362"/>
      <c r="M118" s="362"/>
      <c r="N118" s="363"/>
      <c r="O118" s="359"/>
      <c r="P118" s="359"/>
      <c r="Q118" s="359"/>
      <c r="R118" s="359"/>
      <c r="S118" s="359"/>
      <c r="T118" s="359"/>
      <c r="U118" s="359"/>
    </row>
    <row r="119" spans="1:21" s="342" customFormat="1" ht="15" customHeight="1">
      <c r="A119" s="353"/>
      <c r="B119" s="358"/>
      <c r="C119" s="352" t="s">
        <v>5</v>
      </c>
      <c r="D119" s="355"/>
      <c r="E119" s="348">
        <f t="shared" si="1"/>
        <v>2800</v>
      </c>
      <c r="F119" s="362"/>
      <c r="G119" s="362"/>
      <c r="H119" s="362">
        <v>2800</v>
      </c>
      <c r="I119" s="362"/>
      <c r="J119" s="362"/>
      <c r="K119" s="362"/>
      <c r="L119" s="362"/>
      <c r="M119" s="362"/>
      <c r="N119" s="363"/>
      <c r="O119" s="359"/>
      <c r="P119" s="359"/>
      <c r="Q119" s="359"/>
      <c r="R119" s="359"/>
      <c r="S119" s="359"/>
      <c r="T119" s="359"/>
      <c r="U119" s="359"/>
    </row>
    <row r="120" spans="1:21" s="342" customFormat="1" ht="15" customHeight="1">
      <c r="A120" s="353">
        <v>842421</v>
      </c>
      <c r="B120" s="358" t="s">
        <v>268</v>
      </c>
      <c r="C120" s="351" t="s">
        <v>6</v>
      </c>
      <c r="D120" s="355">
        <v>600</v>
      </c>
      <c r="E120" s="348">
        <f t="shared" si="1"/>
        <v>7072</v>
      </c>
      <c r="F120" s="362"/>
      <c r="G120" s="362"/>
      <c r="H120" s="362"/>
      <c r="I120" s="362">
        <v>2500</v>
      </c>
      <c r="J120" s="362"/>
      <c r="K120" s="362"/>
      <c r="L120" s="362"/>
      <c r="M120" s="362"/>
      <c r="N120" s="363">
        <v>4572</v>
      </c>
      <c r="O120" s="359"/>
      <c r="P120" s="359"/>
      <c r="Q120" s="359"/>
      <c r="R120" s="359"/>
      <c r="S120" s="359"/>
      <c r="T120" s="359"/>
      <c r="U120" s="359"/>
    </row>
    <row r="121" spans="1:21" s="342" customFormat="1" ht="15" customHeight="1">
      <c r="A121" s="353"/>
      <c r="B121" s="358"/>
      <c r="C121" s="351" t="s">
        <v>4</v>
      </c>
      <c r="D121" s="355">
        <v>600</v>
      </c>
      <c r="E121" s="348">
        <f t="shared" si="1"/>
        <v>7072</v>
      </c>
      <c r="F121" s="362"/>
      <c r="G121" s="362"/>
      <c r="H121" s="362"/>
      <c r="I121" s="362">
        <v>2500</v>
      </c>
      <c r="J121" s="362"/>
      <c r="K121" s="362"/>
      <c r="L121" s="362"/>
      <c r="M121" s="362"/>
      <c r="N121" s="363">
        <v>4572</v>
      </c>
      <c r="O121" s="359"/>
      <c r="P121" s="359"/>
      <c r="Q121" s="359"/>
      <c r="R121" s="359"/>
      <c r="S121" s="359"/>
      <c r="T121" s="359"/>
      <c r="U121" s="359"/>
    </row>
    <row r="122" spans="1:21" s="342" customFormat="1" ht="15" customHeight="1">
      <c r="A122" s="353"/>
      <c r="B122" s="358"/>
      <c r="C122" s="352" t="s">
        <v>5</v>
      </c>
      <c r="D122" s="355">
        <v>600</v>
      </c>
      <c r="E122" s="348">
        <f t="shared" si="1"/>
        <v>7072</v>
      </c>
      <c r="F122" s="362"/>
      <c r="G122" s="362"/>
      <c r="H122" s="362"/>
      <c r="I122" s="362">
        <v>2500</v>
      </c>
      <c r="J122" s="362"/>
      <c r="K122" s="362"/>
      <c r="L122" s="362"/>
      <c r="M122" s="362"/>
      <c r="N122" s="363">
        <v>4572</v>
      </c>
      <c r="O122" s="359"/>
      <c r="P122" s="359"/>
      <c r="Q122" s="359"/>
      <c r="R122" s="359"/>
      <c r="S122" s="359"/>
      <c r="T122" s="359"/>
      <c r="U122" s="359"/>
    </row>
    <row r="123" spans="1:21" s="342" customFormat="1" ht="15" customHeight="1">
      <c r="A123" s="353">
        <v>842521</v>
      </c>
      <c r="B123" s="358" t="s">
        <v>269</v>
      </c>
      <c r="C123" s="351" t="s">
        <v>6</v>
      </c>
      <c r="D123" s="355"/>
      <c r="E123" s="348">
        <f t="shared" si="1"/>
        <v>250</v>
      </c>
      <c r="F123" s="362"/>
      <c r="G123" s="362"/>
      <c r="H123" s="362">
        <v>250</v>
      </c>
      <c r="I123" s="362"/>
      <c r="J123" s="362"/>
      <c r="K123" s="362"/>
      <c r="L123" s="362"/>
      <c r="M123" s="362"/>
      <c r="N123" s="363"/>
      <c r="O123" s="359"/>
      <c r="P123" s="359"/>
      <c r="Q123" s="359"/>
      <c r="R123" s="359"/>
      <c r="S123" s="359"/>
      <c r="T123" s="359"/>
      <c r="U123" s="359"/>
    </row>
    <row r="124" spans="1:21" s="342" customFormat="1" ht="15" customHeight="1">
      <c r="A124" s="353"/>
      <c r="B124" s="358"/>
      <c r="C124" s="351" t="s">
        <v>4</v>
      </c>
      <c r="D124" s="355"/>
      <c r="E124" s="348">
        <f t="shared" si="1"/>
        <v>250</v>
      </c>
      <c r="F124" s="362"/>
      <c r="G124" s="362"/>
      <c r="H124" s="362">
        <v>250</v>
      </c>
      <c r="I124" s="362"/>
      <c r="J124" s="362"/>
      <c r="K124" s="362"/>
      <c r="L124" s="362"/>
      <c r="M124" s="362"/>
      <c r="N124" s="363"/>
      <c r="O124" s="359"/>
      <c r="P124" s="359"/>
      <c r="Q124" s="359"/>
      <c r="R124" s="359"/>
      <c r="S124" s="359"/>
      <c r="T124" s="359"/>
      <c r="U124" s="359"/>
    </row>
    <row r="125" spans="1:21" s="342" customFormat="1" ht="15" customHeight="1">
      <c r="A125" s="353"/>
      <c r="B125" s="358"/>
      <c r="C125" s="352" t="s">
        <v>5</v>
      </c>
      <c r="D125" s="355"/>
      <c r="E125" s="348">
        <f t="shared" si="1"/>
        <v>250</v>
      </c>
      <c r="F125" s="362"/>
      <c r="G125" s="362"/>
      <c r="H125" s="362">
        <v>250</v>
      </c>
      <c r="I125" s="362"/>
      <c r="J125" s="362"/>
      <c r="K125" s="362"/>
      <c r="L125" s="362"/>
      <c r="M125" s="362"/>
      <c r="N125" s="363"/>
      <c r="O125" s="359"/>
      <c r="P125" s="359"/>
      <c r="Q125" s="359"/>
      <c r="R125" s="359"/>
      <c r="S125" s="359"/>
      <c r="T125" s="359"/>
      <c r="U125" s="359"/>
    </row>
    <row r="126" spans="1:21" s="342" customFormat="1" ht="15" customHeight="1">
      <c r="A126" s="353">
        <v>842532</v>
      </c>
      <c r="B126" s="358" t="s">
        <v>270</v>
      </c>
      <c r="C126" s="351" t="s">
        <v>6</v>
      </c>
      <c r="D126" s="355"/>
      <c r="E126" s="348">
        <f t="shared" si="1"/>
        <v>991</v>
      </c>
      <c r="F126" s="356"/>
      <c r="G126" s="356"/>
      <c r="H126" s="356">
        <v>991</v>
      </c>
      <c r="I126" s="356"/>
      <c r="J126" s="356"/>
      <c r="K126" s="356"/>
      <c r="L126" s="356"/>
      <c r="M126" s="356"/>
      <c r="N126" s="357"/>
      <c r="O126" s="359"/>
      <c r="P126" s="359"/>
      <c r="Q126" s="359"/>
      <c r="R126" s="359"/>
      <c r="S126" s="359"/>
      <c r="T126" s="359"/>
      <c r="U126" s="359"/>
    </row>
    <row r="127" spans="1:21" s="342" customFormat="1" ht="15" customHeight="1">
      <c r="A127" s="353"/>
      <c r="B127" s="358"/>
      <c r="C127" s="351" t="s">
        <v>4</v>
      </c>
      <c r="D127" s="355"/>
      <c r="E127" s="348">
        <f t="shared" si="1"/>
        <v>991</v>
      </c>
      <c r="F127" s="356"/>
      <c r="G127" s="356"/>
      <c r="H127" s="356">
        <v>991</v>
      </c>
      <c r="I127" s="356"/>
      <c r="J127" s="356"/>
      <c r="K127" s="356"/>
      <c r="L127" s="356"/>
      <c r="M127" s="356"/>
      <c r="N127" s="357"/>
      <c r="O127" s="359"/>
      <c r="P127" s="359"/>
      <c r="Q127" s="359"/>
      <c r="R127" s="359"/>
      <c r="S127" s="359"/>
      <c r="T127" s="359"/>
      <c r="U127" s="359"/>
    </row>
    <row r="128" spans="1:21" s="342" customFormat="1" ht="15" customHeight="1">
      <c r="A128" s="353"/>
      <c r="B128" s="358"/>
      <c r="C128" s="352" t="s">
        <v>5</v>
      </c>
      <c r="D128" s="355"/>
      <c r="E128" s="348">
        <f t="shared" si="1"/>
        <v>991</v>
      </c>
      <c r="F128" s="356"/>
      <c r="G128" s="356"/>
      <c r="H128" s="356">
        <v>991</v>
      </c>
      <c r="I128" s="356"/>
      <c r="J128" s="356"/>
      <c r="K128" s="356"/>
      <c r="L128" s="356"/>
      <c r="M128" s="356"/>
      <c r="N128" s="357"/>
      <c r="O128" s="359"/>
      <c r="P128" s="359"/>
      <c r="Q128" s="359"/>
      <c r="R128" s="359"/>
      <c r="S128" s="359"/>
      <c r="T128" s="359"/>
      <c r="U128" s="359"/>
    </row>
    <row r="129" spans="1:21" s="342" customFormat="1" ht="15" customHeight="1">
      <c r="A129" s="353">
        <v>851011</v>
      </c>
      <c r="B129" s="358" t="s">
        <v>271</v>
      </c>
      <c r="C129" s="351" t="s">
        <v>6</v>
      </c>
      <c r="D129" s="355"/>
      <c r="E129" s="348">
        <f t="shared" si="1"/>
        <v>12000</v>
      </c>
      <c r="F129" s="362"/>
      <c r="G129" s="362"/>
      <c r="H129" s="362"/>
      <c r="I129" s="362">
        <v>12000</v>
      </c>
      <c r="J129" s="362"/>
      <c r="K129" s="362"/>
      <c r="L129" s="362"/>
      <c r="M129" s="362"/>
      <c r="N129" s="363"/>
      <c r="O129" s="359"/>
      <c r="P129" s="359"/>
      <c r="Q129" s="359"/>
      <c r="R129" s="359"/>
      <c r="S129" s="359"/>
      <c r="T129" s="359"/>
      <c r="U129" s="359"/>
    </row>
    <row r="130" spans="1:21" s="342" customFormat="1" ht="15" customHeight="1">
      <c r="A130" s="369"/>
      <c r="B130" s="370"/>
      <c r="C130" s="351" t="s">
        <v>4</v>
      </c>
      <c r="D130" s="371"/>
      <c r="E130" s="348">
        <f t="shared" si="1"/>
        <v>12000</v>
      </c>
      <c r="F130" s="372"/>
      <c r="G130" s="372"/>
      <c r="H130" s="372"/>
      <c r="I130" s="372">
        <v>12000</v>
      </c>
      <c r="J130" s="372"/>
      <c r="K130" s="372"/>
      <c r="L130" s="372"/>
      <c r="M130" s="372"/>
      <c r="N130" s="373"/>
      <c r="O130" s="359"/>
      <c r="P130" s="359"/>
      <c r="Q130" s="359"/>
      <c r="R130" s="359"/>
      <c r="S130" s="359"/>
      <c r="T130" s="359"/>
      <c r="U130" s="359"/>
    </row>
    <row r="131" spans="1:21" s="342" customFormat="1" ht="15" customHeight="1">
      <c r="A131" s="369"/>
      <c r="B131" s="370"/>
      <c r="C131" s="352" t="s">
        <v>5</v>
      </c>
      <c r="D131" s="371"/>
      <c r="E131" s="348">
        <f t="shared" si="1"/>
        <v>12000</v>
      </c>
      <c r="F131" s="372"/>
      <c r="G131" s="372"/>
      <c r="H131" s="372"/>
      <c r="I131" s="372">
        <v>12000</v>
      </c>
      <c r="J131" s="372"/>
      <c r="K131" s="372"/>
      <c r="L131" s="372"/>
      <c r="M131" s="372"/>
      <c r="N131" s="373"/>
      <c r="O131" s="359"/>
      <c r="P131" s="359"/>
      <c r="Q131" s="359"/>
      <c r="R131" s="359"/>
      <c r="S131" s="359"/>
      <c r="T131" s="359"/>
      <c r="U131" s="359"/>
    </row>
    <row r="132" spans="1:21" s="342" customFormat="1" ht="15" customHeight="1">
      <c r="A132" s="369">
        <v>852000</v>
      </c>
      <c r="B132" s="370" t="s">
        <v>272</v>
      </c>
      <c r="C132" s="351" t="s">
        <v>6</v>
      </c>
      <c r="D132" s="371">
        <v>31500</v>
      </c>
      <c r="E132" s="348">
        <f t="shared" si="1"/>
        <v>9340</v>
      </c>
      <c r="F132" s="372"/>
      <c r="G132" s="372"/>
      <c r="H132" s="372"/>
      <c r="I132" s="372">
        <v>4680</v>
      </c>
      <c r="J132" s="372"/>
      <c r="K132" s="372"/>
      <c r="L132" s="372"/>
      <c r="M132" s="372"/>
      <c r="N132" s="373">
        <v>4660</v>
      </c>
      <c r="O132" s="359"/>
      <c r="P132" s="359"/>
      <c r="Q132" s="359"/>
      <c r="R132" s="359"/>
      <c r="S132" s="359"/>
      <c r="T132" s="359"/>
      <c r="U132" s="359"/>
    </row>
    <row r="133" spans="1:21" s="342" customFormat="1" ht="15" customHeight="1">
      <c r="A133" s="369"/>
      <c r="B133" s="370"/>
      <c r="C133" s="351" t="s">
        <v>4</v>
      </c>
      <c r="D133" s="371">
        <v>31500</v>
      </c>
      <c r="E133" s="374">
        <f t="shared" si="1"/>
        <v>8940</v>
      </c>
      <c r="F133" s="372"/>
      <c r="G133" s="372"/>
      <c r="H133" s="372"/>
      <c r="I133" s="372">
        <v>4280</v>
      </c>
      <c r="J133" s="372"/>
      <c r="K133" s="372"/>
      <c r="L133" s="372"/>
      <c r="M133" s="372"/>
      <c r="N133" s="373">
        <v>4660</v>
      </c>
      <c r="O133" s="359"/>
      <c r="P133" s="359"/>
      <c r="Q133" s="359"/>
      <c r="R133" s="359"/>
      <c r="S133" s="359"/>
      <c r="T133" s="359"/>
      <c r="U133" s="359"/>
    </row>
    <row r="134" spans="1:22" s="351" customFormat="1" ht="15" customHeight="1">
      <c r="A134" s="353"/>
      <c r="B134" s="358"/>
      <c r="C134" s="352" t="s">
        <v>5</v>
      </c>
      <c r="D134" s="355">
        <v>35903</v>
      </c>
      <c r="E134" s="374">
        <f t="shared" si="1"/>
        <v>9661</v>
      </c>
      <c r="F134" s="362"/>
      <c r="G134" s="362"/>
      <c r="H134" s="362">
        <v>921</v>
      </c>
      <c r="I134" s="362">
        <v>4080</v>
      </c>
      <c r="J134" s="362"/>
      <c r="K134" s="362"/>
      <c r="L134" s="362"/>
      <c r="M134" s="362"/>
      <c r="N134" s="363">
        <v>4660</v>
      </c>
      <c r="O134" s="359"/>
      <c r="P134" s="359"/>
      <c r="Q134" s="359"/>
      <c r="R134" s="359"/>
      <c r="S134" s="359"/>
      <c r="T134" s="359"/>
      <c r="U134" s="359"/>
      <c r="V134" s="375"/>
    </row>
    <row r="135" spans="1:22" s="351" customFormat="1" ht="15" customHeight="1">
      <c r="A135" s="353">
        <v>852000</v>
      </c>
      <c r="B135" s="358" t="s">
        <v>273</v>
      </c>
      <c r="C135" s="351" t="s">
        <v>6</v>
      </c>
      <c r="D135" s="355"/>
      <c r="E135" s="355">
        <f t="shared" si="1"/>
        <v>1000</v>
      </c>
      <c r="F135" s="356">
        <v>1000</v>
      </c>
      <c r="G135" s="356"/>
      <c r="H135" s="356"/>
      <c r="I135" s="356"/>
      <c r="J135" s="356"/>
      <c r="K135" s="356"/>
      <c r="L135" s="356"/>
      <c r="M135" s="356"/>
      <c r="N135" s="357"/>
      <c r="O135" s="359"/>
      <c r="P135" s="359"/>
      <c r="Q135" s="359"/>
      <c r="R135" s="359"/>
      <c r="S135" s="359"/>
      <c r="T135" s="359"/>
      <c r="U135" s="359"/>
      <c r="V135" s="375"/>
    </row>
    <row r="136" spans="1:21" s="342" customFormat="1" ht="15" customHeight="1">
      <c r="A136" s="365"/>
      <c r="B136" s="346"/>
      <c r="C136" s="351" t="s">
        <v>4</v>
      </c>
      <c r="D136" s="348"/>
      <c r="E136" s="348">
        <f t="shared" si="1"/>
        <v>1000</v>
      </c>
      <c r="F136" s="349">
        <v>1000</v>
      </c>
      <c r="G136" s="349"/>
      <c r="H136" s="349"/>
      <c r="I136" s="349"/>
      <c r="J136" s="349"/>
      <c r="K136" s="349"/>
      <c r="L136" s="349"/>
      <c r="M136" s="349"/>
      <c r="N136" s="350"/>
      <c r="O136" s="359"/>
      <c r="P136" s="359"/>
      <c r="Q136" s="359"/>
      <c r="R136" s="359"/>
      <c r="S136" s="359"/>
      <c r="T136" s="359"/>
      <c r="U136" s="359"/>
    </row>
    <row r="137" spans="1:21" s="342" customFormat="1" ht="15" customHeight="1">
      <c r="A137" s="365"/>
      <c r="B137" s="346"/>
      <c r="C137" s="352" t="s">
        <v>5</v>
      </c>
      <c r="D137" s="348"/>
      <c r="E137" s="348">
        <f t="shared" si="1"/>
        <v>1000</v>
      </c>
      <c r="F137" s="349">
        <v>1000</v>
      </c>
      <c r="G137" s="349"/>
      <c r="H137" s="349"/>
      <c r="I137" s="349"/>
      <c r="J137" s="349"/>
      <c r="K137" s="349"/>
      <c r="L137" s="349"/>
      <c r="M137" s="349"/>
      <c r="N137" s="350"/>
      <c r="O137" s="359"/>
      <c r="P137" s="359"/>
      <c r="Q137" s="359"/>
      <c r="R137" s="359"/>
      <c r="S137" s="359"/>
      <c r="T137" s="359"/>
      <c r="U137" s="359"/>
    </row>
    <row r="138" spans="1:21" s="342" customFormat="1" ht="15" customHeight="1">
      <c r="A138" s="353">
        <v>855100</v>
      </c>
      <c r="B138" s="358" t="s">
        <v>274</v>
      </c>
      <c r="C138" s="351" t="s">
        <v>6</v>
      </c>
      <c r="D138" s="355">
        <v>50323</v>
      </c>
      <c r="E138" s="348">
        <f t="shared" si="1"/>
        <v>50323</v>
      </c>
      <c r="F138" s="362"/>
      <c r="G138" s="362"/>
      <c r="H138" s="362">
        <v>50323</v>
      </c>
      <c r="I138" s="362"/>
      <c r="J138" s="362"/>
      <c r="K138" s="362"/>
      <c r="L138" s="362"/>
      <c r="M138" s="368"/>
      <c r="N138" s="363"/>
      <c r="O138" s="359"/>
      <c r="P138" s="359"/>
      <c r="Q138" s="359"/>
      <c r="R138" s="359"/>
      <c r="S138" s="359"/>
      <c r="T138" s="359"/>
      <c r="U138" s="359"/>
    </row>
    <row r="139" spans="1:21" s="342" customFormat="1" ht="15" customHeight="1">
      <c r="A139" s="365"/>
      <c r="B139" s="346"/>
      <c r="C139" s="351" t="s">
        <v>4</v>
      </c>
      <c r="D139" s="348">
        <v>50323</v>
      </c>
      <c r="E139" s="348">
        <f t="shared" si="1"/>
        <v>55323</v>
      </c>
      <c r="F139" s="366"/>
      <c r="G139" s="366"/>
      <c r="H139" s="366">
        <v>50323</v>
      </c>
      <c r="I139" s="366"/>
      <c r="J139" s="366"/>
      <c r="K139" s="366"/>
      <c r="L139" s="366">
        <v>5000</v>
      </c>
      <c r="M139" s="376"/>
      <c r="N139" s="367"/>
      <c r="O139" s="359"/>
      <c r="P139" s="359"/>
      <c r="Q139" s="359"/>
      <c r="R139" s="359"/>
      <c r="S139" s="359"/>
      <c r="T139" s="359"/>
      <c r="U139" s="359"/>
    </row>
    <row r="140" spans="1:21" s="342" customFormat="1" ht="15" customHeight="1">
      <c r="A140" s="365"/>
      <c r="B140" s="346"/>
      <c r="C140" s="352" t="s">
        <v>5</v>
      </c>
      <c r="D140" s="348">
        <v>50323</v>
      </c>
      <c r="E140" s="348">
        <f t="shared" si="1"/>
        <v>55323</v>
      </c>
      <c r="F140" s="366"/>
      <c r="G140" s="366"/>
      <c r="H140" s="366">
        <v>50323</v>
      </c>
      <c r="I140" s="366"/>
      <c r="J140" s="366"/>
      <c r="K140" s="366"/>
      <c r="L140" s="366">
        <v>5000</v>
      </c>
      <c r="M140" s="376"/>
      <c r="N140" s="367"/>
      <c r="O140" s="359"/>
      <c r="P140" s="359"/>
      <c r="Q140" s="359"/>
      <c r="R140" s="359"/>
      <c r="S140" s="359"/>
      <c r="T140" s="359"/>
      <c r="U140" s="359"/>
    </row>
    <row r="141" spans="1:21" s="342" customFormat="1" ht="15" customHeight="1">
      <c r="A141" s="365">
        <v>856020</v>
      </c>
      <c r="B141" s="346" t="s">
        <v>275</v>
      </c>
      <c r="C141" s="351" t="s">
        <v>6</v>
      </c>
      <c r="D141" s="348"/>
      <c r="E141" s="348">
        <f t="shared" si="1"/>
        <v>1000</v>
      </c>
      <c r="F141" s="366"/>
      <c r="G141" s="366"/>
      <c r="H141" s="366">
        <v>1000</v>
      </c>
      <c r="I141" s="366"/>
      <c r="J141" s="366"/>
      <c r="K141" s="366"/>
      <c r="L141" s="366"/>
      <c r="M141" s="376"/>
      <c r="N141" s="367"/>
      <c r="O141" s="359"/>
      <c r="P141" s="359"/>
      <c r="Q141" s="359"/>
      <c r="R141" s="359"/>
      <c r="S141" s="359"/>
      <c r="T141" s="359"/>
      <c r="U141" s="359"/>
    </row>
    <row r="142" spans="1:21" s="342" customFormat="1" ht="15" customHeight="1">
      <c r="A142" s="365"/>
      <c r="B142" s="346"/>
      <c r="C142" s="351" t="s">
        <v>4</v>
      </c>
      <c r="D142" s="348"/>
      <c r="E142" s="348">
        <f t="shared" si="1"/>
        <v>1000</v>
      </c>
      <c r="F142" s="366"/>
      <c r="G142" s="366"/>
      <c r="H142" s="366">
        <v>1000</v>
      </c>
      <c r="I142" s="366"/>
      <c r="J142" s="366"/>
      <c r="K142" s="366"/>
      <c r="L142" s="366"/>
      <c r="M142" s="376"/>
      <c r="N142" s="367"/>
      <c r="O142" s="359"/>
      <c r="P142" s="359"/>
      <c r="Q142" s="359"/>
      <c r="R142" s="359"/>
      <c r="S142" s="359"/>
      <c r="T142" s="359"/>
      <c r="U142" s="359"/>
    </row>
    <row r="143" spans="1:21" s="342" customFormat="1" ht="15" customHeight="1">
      <c r="A143" s="365"/>
      <c r="B143" s="346"/>
      <c r="C143" s="352" t="s">
        <v>5</v>
      </c>
      <c r="D143" s="348"/>
      <c r="E143" s="348">
        <f t="shared" si="1"/>
        <v>1000</v>
      </c>
      <c r="F143" s="366"/>
      <c r="G143" s="366"/>
      <c r="H143" s="366">
        <v>1000</v>
      </c>
      <c r="I143" s="366"/>
      <c r="J143" s="366"/>
      <c r="K143" s="366"/>
      <c r="L143" s="366"/>
      <c r="M143" s="376"/>
      <c r="N143" s="367"/>
      <c r="O143" s="359"/>
      <c r="P143" s="359"/>
      <c r="Q143" s="359"/>
      <c r="R143" s="359"/>
      <c r="S143" s="359"/>
      <c r="T143" s="359"/>
      <c r="U143" s="359"/>
    </row>
    <row r="144" spans="1:21" s="342" customFormat="1" ht="15" customHeight="1">
      <c r="A144" s="353">
        <v>860000</v>
      </c>
      <c r="B144" s="358" t="s">
        <v>276</v>
      </c>
      <c r="C144" s="351" t="s">
        <v>6</v>
      </c>
      <c r="D144" s="355"/>
      <c r="E144" s="348">
        <f t="shared" si="1"/>
        <v>900</v>
      </c>
      <c r="F144" s="362"/>
      <c r="G144" s="362"/>
      <c r="H144" s="362">
        <v>400</v>
      </c>
      <c r="I144" s="362"/>
      <c r="J144" s="362"/>
      <c r="K144" s="362"/>
      <c r="L144" s="362">
        <v>500</v>
      </c>
      <c r="M144" s="368"/>
      <c r="N144" s="363"/>
      <c r="O144" s="359"/>
      <c r="P144" s="359"/>
      <c r="Q144" s="359"/>
      <c r="R144" s="359"/>
      <c r="S144" s="359"/>
      <c r="T144" s="359"/>
      <c r="U144" s="359"/>
    </row>
    <row r="145" spans="1:21" s="342" customFormat="1" ht="15" customHeight="1">
      <c r="A145" s="353"/>
      <c r="B145" s="358"/>
      <c r="C145" s="351" t="s">
        <v>4</v>
      </c>
      <c r="D145" s="355"/>
      <c r="E145" s="348">
        <f t="shared" si="1"/>
        <v>900</v>
      </c>
      <c r="F145" s="362"/>
      <c r="G145" s="362"/>
      <c r="H145" s="362">
        <v>400</v>
      </c>
      <c r="I145" s="362"/>
      <c r="J145" s="362"/>
      <c r="K145" s="362"/>
      <c r="L145" s="362">
        <v>500</v>
      </c>
      <c r="M145" s="368"/>
      <c r="N145" s="363"/>
      <c r="O145" s="359"/>
      <c r="P145" s="359"/>
      <c r="Q145" s="359"/>
      <c r="R145" s="359"/>
      <c r="S145" s="359"/>
      <c r="T145" s="359"/>
      <c r="U145" s="359"/>
    </row>
    <row r="146" spans="1:21" s="342" customFormat="1" ht="15" customHeight="1">
      <c r="A146" s="353"/>
      <c r="B146" s="358"/>
      <c r="C146" s="352" t="s">
        <v>5</v>
      </c>
      <c r="D146" s="355"/>
      <c r="E146" s="348">
        <f t="shared" si="1"/>
        <v>900</v>
      </c>
      <c r="F146" s="362"/>
      <c r="G146" s="362"/>
      <c r="H146" s="362">
        <v>400</v>
      </c>
      <c r="I146" s="362"/>
      <c r="J146" s="362"/>
      <c r="K146" s="362"/>
      <c r="L146" s="362">
        <v>500</v>
      </c>
      <c r="M146" s="368"/>
      <c r="N146" s="363"/>
      <c r="O146" s="359"/>
      <c r="P146" s="359"/>
      <c r="Q146" s="359"/>
      <c r="R146" s="359"/>
      <c r="S146" s="359"/>
      <c r="T146" s="359"/>
      <c r="U146" s="359"/>
    </row>
    <row r="147" spans="1:21" s="342" customFormat="1" ht="15" customHeight="1">
      <c r="A147" s="353">
        <v>862000</v>
      </c>
      <c r="B147" s="358" t="s">
        <v>277</v>
      </c>
      <c r="C147" s="351" t="s">
        <v>6</v>
      </c>
      <c r="D147" s="355"/>
      <c r="E147" s="348">
        <f t="shared" si="1"/>
        <v>6100</v>
      </c>
      <c r="F147" s="362"/>
      <c r="G147" s="362"/>
      <c r="H147" s="362"/>
      <c r="I147" s="362">
        <v>6100</v>
      </c>
      <c r="J147" s="362"/>
      <c r="K147" s="362"/>
      <c r="L147" s="362"/>
      <c r="M147" s="362"/>
      <c r="N147" s="363"/>
      <c r="O147" s="359"/>
      <c r="P147" s="359"/>
      <c r="Q147" s="359"/>
      <c r="R147" s="359"/>
      <c r="S147" s="359"/>
      <c r="T147" s="359"/>
      <c r="U147" s="359"/>
    </row>
    <row r="148" spans="1:21" s="342" customFormat="1" ht="15" customHeight="1">
      <c r="A148" s="353"/>
      <c r="B148" s="358"/>
      <c r="C148" s="351" t="s">
        <v>4</v>
      </c>
      <c r="D148" s="355"/>
      <c r="E148" s="348">
        <f t="shared" si="1"/>
        <v>6100</v>
      </c>
      <c r="F148" s="362"/>
      <c r="G148" s="362"/>
      <c r="H148" s="362"/>
      <c r="I148" s="362">
        <v>6100</v>
      </c>
      <c r="J148" s="362"/>
      <c r="K148" s="362"/>
      <c r="L148" s="362"/>
      <c r="M148" s="362"/>
      <c r="N148" s="363"/>
      <c r="O148" s="359"/>
      <c r="P148" s="359"/>
      <c r="Q148" s="359"/>
      <c r="R148" s="359"/>
      <c r="S148" s="359"/>
      <c r="T148" s="359"/>
      <c r="U148" s="359"/>
    </row>
    <row r="149" spans="1:21" s="342" customFormat="1" ht="15" customHeight="1">
      <c r="A149" s="353"/>
      <c r="B149" s="358"/>
      <c r="C149" s="352" t="s">
        <v>5</v>
      </c>
      <c r="D149" s="355"/>
      <c r="E149" s="348">
        <f t="shared" si="1"/>
        <v>6350</v>
      </c>
      <c r="F149" s="362"/>
      <c r="G149" s="362"/>
      <c r="H149" s="362"/>
      <c r="I149" s="362">
        <v>6350</v>
      </c>
      <c r="J149" s="362"/>
      <c r="K149" s="362"/>
      <c r="L149" s="362"/>
      <c r="M149" s="362"/>
      <c r="N149" s="363"/>
      <c r="O149" s="359"/>
      <c r="P149" s="359"/>
      <c r="Q149" s="359"/>
      <c r="R149" s="359"/>
      <c r="S149" s="359"/>
      <c r="T149" s="359"/>
      <c r="U149" s="359"/>
    </row>
    <row r="150" spans="1:21" s="342" customFormat="1" ht="15" customHeight="1">
      <c r="A150" s="353">
        <v>870000</v>
      </c>
      <c r="B150" s="358" t="s">
        <v>278</v>
      </c>
      <c r="C150" s="351" t="s">
        <v>6</v>
      </c>
      <c r="D150" s="355"/>
      <c r="E150" s="348">
        <f t="shared" si="1"/>
        <v>8750</v>
      </c>
      <c r="F150" s="362"/>
      <c r="G150" s="362"/>
      <c r="H150" s="362"/>
      <c r="I150" s="362">
        <v>8750</v>
      </c>
      <c r="J150" s="362"/>
      <c r="K150" s="362"/>
      <c r="L150" s="362"/>
      <c r="M150" s="362"/>
      <c r="N150" s="363"/>
      <c r="O150" s="359"/>
      <c r="P150" s="359"/>
      <c r="Q150" s="359"/>
      <c r="R150" s="359"/>
      <c r="S150" s="359"/>
      <c r="T150" s="359"/>
      <c r="U150" s="359"/>
    </row>
    <row r="151" spans="1:21" s="342" customFormat="1" ht="15" customHeight="1">
      <c r="A151" s="353"/>
      <c r="B151" s="358"/>
      <c r="C151" s="351" t="s">
        <v>4</v>
      </c>
      <c r="D151" s="355"/>
      <c r="E151" s="348">
        <f t="shared" si="1"/>
        <v>8750</v>
      </c>
      <c r="F151" s="362"/>
      <c r="G151" s="362"/>
      <c r="H151" s="362"/>
      <c r="I151" s="362">
        <v>8750</v>
      </c>
      <c r="J151" s="362"/>
      <c r="K151" s="362"/>
      <c r="L151" s="362"/>
      <c r="M151" s="362"/>
      <c r="N151" s="363"/>
      <c r="O151" s="359"/>
      <c r="P151" s="359"/>
      <c r="Q151" s="359"/>
      <c r="R151" s="359"/>
      <c r="S151" s="359"/>
      <c r="T151" s="359"/>
      <c r="U151" s="359"/>
    </row>
    <row r="152" spans="1:21" s="342" customFormat="1" ht="15" customHeight="1">
      <c r="A152" s="353"/>
      <c r="B152" s="358"/>
      <c r="C152" s="352" t="s">
        <v>5</v>
      </c>
      <c r="D152" s="355"/>
      <c r="E152" s="348">
        <f t="shared" si="1"/>
        <v>8750</v>
      </c>
      <c r="F152" s="362"/>
      <c r="G152" s="362"/>
      <c r="H152" s="362"/>
      <c r="I152" s="362">
        <v>8750</v>
      </c>
      <c r="J152" s="362"/>
      <c r="K152" s="362"/>
      <c r="L152" s="362"/>
      <c r="M152" s="362"/>
      <c r="N152" s="363"/>
      <c r="O152" s="359"/>
      <c r="P152" s="359"/>
      <c r="Q152" s="359"/>
      <c r="R152" s="359"/>
      <c r="S152" s="359"/>
      <c r="T152" s="359"/>
      <c r="U152" s="359"/>
    </row>
    <row r="153" spans="1:21" s="342" customFormat="1" ht="15" customHeight="1">
      <c r="A153" s="353">
        <v>880000</v>
      </c>
      <c r="B153" s="358" t="s">
        <v>279</v>
      </c>
      <c r="C153" s="351" t="s">
        <v>6</v>
      </c>
      <c r="D153" s="355"/>
      <c r="E153" s="348">
        <f t="shared" si="1"/>
        <v>38320</v>
      </c>
      <c r="F153" s="362"/>
      <c r="G153" s="362"/>
      <c r="H153" s="362"/>
      <c r="I153" s="362">
        <v>10320</v>
      </c>
      <c r="J153" s="362">
        <v>28000</v>
      </c>
      <c r="K153" s="362"/>
      <c r="L153" s="362"/>
      <c r="M153" s="368"/>
      <c r="N153" s="363"/>
      <c r="O153" s="359"/>
      <c r="P153" s="359"/>
      <c r="Q153" s="359"/>
      <c r="R153" s="359"/>
      <c r="S153" s="359"/>
      <c r="T153" s="359"/>
      <c r="U153" s="359"/>
    </row>
    <row r="154" spans="1:21" s="342" customFormat="1" ht="15" customHeight="1">
      <c r="A154" s="369"/>
      <c r="B154" s="370"/>
      <c r="C154" s="351" t="s">
        <v>4</v>
      </c>
      <c r="D154" s="371"/>
      <c r="E154" s="348">
        <v>37210</v>
      </c>
      <c r="F154" s="372"/>
      <c r="G154" s="372"/>
      <c r="H154" s="372">
        <v>140</v>
      </c>
      <c r="I154" s="372">
        <v>9070</v>
      </c>
      <c r="J154" s="372">
        <v>28000</v>
      </c>
      <c r="K154" s="372"/>
      <c r="L154" s="372"/>
      <c r="M154" s="377"/>
      <c r="N154" s="373"/>
      <c r="O154" s="359"/>
      <c r="P154" s="359"/>
      <c r="Q154" s="359"/>
      <c r="R154" s="359"/>
      <c r="S154" s="359"/>
      <c r="T154" s="359"/>
      <c r="U154" s="359"/>
    </row>
    <row r="155" spans="1:21" s="342" customFormat="1" ht="15" customHeight="1">
      <c r="A155" s="369"/>
      <c r="B155" s="370"/>
      <c r="C155" s="352" t="s">
        <v>5</v>
      </c>
      <c r="D155" s="371"/>
      <c r="E155" s="348">
        <f>SUM(F155:N155)</f>
        <v>37635</v>
      </c>
      <c r="F155" s="372"/>
      <c r="G155" s="372"/>
      <c r="H155" s="372">
        <v>140</v>
      </c>
      <c r="I155" s="372">
        <v>9495</v>
      </c>
      <c r="J155" s="372">
        <v>28000</v>
      </c>
      <c r="K155" s="372"/>
      <c r="L155" s="372"/>
      <c r="M155" s="377"/>
      <c r="N155" s="373"/>
      <c r="O155" s="359"/>
      <c r="P155" s="359"/>
      <c r="Q155" s="359"/>
      <c r="R155" s="359"/>
      <c r="S155" s="359"/>
      <c r="T155" s="359"/>
      <c r="U155" s="359"/>
    </row>
    <row r="156" spans="1:21" s="342" customFormat="1" ht="15" customHeight="1">
      <c r="A156" s="353">
        <v>882111</v>
      </c>
      <c r="B156" s="358" t="s">
        <v>280</v>
      </c>
      <c r="C156" s="351" t="s">
        <v>6</v>
      </c>
      <c r="D156" s="355">
        <v>61600</v>
      </c>
      <c r="E156" s="348">
        <f t="shared" si="1"/>
        <v>74000</v>
      </c>
      <c r="F156" s="362"/>
      <c r="G156" s="362"/>
      <c r="H156" s="362"/>
      <c r="I156" s="362"/>
      <c r="J156" s="362">
        <v>74000</v>
      </c>
      <c r="K156" s="362"/>
      <c r="L156" s="362"/>
      <c r="M156" s="368"/>
      <c r="N156" s="363"/>
      <c r="O156" s="359"/>
      <c r="P156" s="359"/>
      <c r="Q156" s="359"/>
      <c r="R156" s="359"/>
      <c r="S156" s="359"/>
      <c r="T156" s="359"/>
      <c r="U156" s="359"/>
    </row>
    <row r="157" spans="1:22" s="379" customFormat="1" ht="15" customHeight="1">
      <c r="A157" s="365"/>
      <c r="B157" s="346"/>
      <c r="C157" s="351" t="s">
        <v>4</v>
      </c>
      <c r="D157" s="348">
        <v>61600</v>
      </c>
      <c r="E157" s="348">
        <f t="shared" si="1"/>
        <v>0</v>
      </c>
      <c r="F157" s="366"/>
      <c r="G157" s="366"/>
      <c r="H157" s="366"/>
      <c r="I157" s="366"/>
      <c r="J157" s="366">
        <v>0</v>
      </c>
      <c r="K157" s="366"/>
      <c r="L157" s="366"/>
      <c r="M157" s="376"/>
      <c r="N157" s="367"/>
      <c r="O157" s="359"/>
      <c r="P157" s="359"/>
      <c r="Q157" s="359"/>
      <c r="R157" s="359"/>
      <c r="S157" s="359"/>
      <c r="T157" s="359"/>
      <c r="U157" s="359"/>
      <c r="V157" s="378"/>
    </row>
    <row r="158" spans="1:22" s="351" customFormat="1" ht="15" customHeight="1">
      <c r="A158" s="353"/>
      <c r="B158" s="358"/>
      <c r="C158" s="352" t="s">
        <v>5</v>
      </c>
      <c r="D158" s="355">
        <v>61600</v>
      </c>
      <c r="E158" s="355"/>
      <c r="F158" s="362"/>
      <c r="G158" s="362"/>
      <c r="H158" s="362"/>
      <c r="I158" s="362"/>
      <c r="J158" s="362"/>
      <c r="K158" s="362"/>
      <c r="L158" s="362"/>
      <c r="M158" s="368"/>
      <c r="N158" s="363"/>
      <c r="O158" s="359"/>
      <c r="P158" s="359"/>
      <c r="Q158" s="359"/>
      <c r="R158" s="359"/>
      <c r="S158" s="359"/>
      <c r="T158" s="359"/>
      <c r="U158" s="359"/>
      <c r="V158" s="375"/>
    </row>
    <row r="159" spans="1:21" s="342" customFormat="1" ht="15" customHeight="1">
      <c r="A159" s="365">
        <v>882112</v>
      </c>
      <c r="B159" s="346" t="s">
        <v>281</v>
      </c>
      <c r="C159" s="351" t="s">
        <v>6</v>
      </c>
      <c r="D159" s="348">
        <v>1170</v>
      </c>
      <c r="E159" s="348">
        <f t="shared" si="1"/>
        <v>1300</v>
      </c>
      <c r="F159" s="366"/>
      <c r="G159" s="366"/>
      <c r="H159" s="366"/>
      <c r="I159" s="366"/>
      <c r="J159" s="366">
        <v>1300</v>
      </c>
      <c r="K159" s="366"/>
      <c r="L159" s="366"/>
      <c r="M159" s="366"/>
      <c r="N159" s="367"/>
      <c r="O159" s="359"/>
      <c r="P159" s="359"/>
      <c r="Q159" s="359"/>
      <c r="R159" s="359"/>
      <c r="S159" s="359"/>
      <c r="T159" s="359"/>
      <c r="U159" s="359"/>
    </row>
    <row r="160" spans="1:22" s="379" customFormat="1" ht="15" customHeight="1">
      <c r="A160" s="365"/>
      <c r="B160" s="346"/>
      <c r="C160" s="351" t="s">
        <v>4</v>
      </c>
      <c r="D160" s="348">
        <v>1170</v>
      </c>
      <c r="E160" s="348">
        <f t="shared" si="1"/>
        <v>0</v>
      </c>
      <c r="F160" s="366"/>
      <c r="G160" s="366"/>
      <c r="H160" s="366"/>
      <c r="I160" s="366"/>
      <c r="J160" s="366">
        <v>0</v>
      </c>
      <c r="K160" s="366"/>
      <c r="L160" s="366"/>
      <c r="M160" s="366"/>
      <c r="N160" s="367"/>
      <c r="O160" s="359"/>
      <c r="P160" s="359"/>
      <c r="Q160" s="359"/>
      <c r="R160" s="359"/>
      <c r="S160" s="359"/>
      <c r="T160" s="359"/>
      <c r="U160" s="359"/>
      <c r="V160" s="378"/>
    </row>
    <row r="161" spans="1:22" s="351" customFormat="1" ht="15" customHeight="1">
      <c r="A161" s="353"/>
      <c r="B161" s="358"/>
      <c r="C161" s="352" t="s">
        <v>5</v>
      </c>
      <c r="D161" s="355">
        <v>1170</v>
      </c>
      <c r="E161" s="355"/>
      <c r="F161" s="362"/>
      <c r="G161" s="362"/>
      <c r="H161" s="362"/>
      <c r="I161" s="362"/>
      <c r="J161" s="362"/>
      <c r="K161" s="362"/>
      <c r="L161" s="362"/>
      <c r="M161" s="362"/>
      <c r="N161" s="363"/>
      <c r="O161" s="359"/>
      <c r="P161" s="359"/>
      <c r="Q161" s="359"/>
      <c r="R161" s="359"/>
      <c r="S161" s="359"/>
      <c r="T161" s="359"/>
      <c r="U161" s="359"/>
      <c r="V161" s="375"/>
    </row>
    <row r="162" spans="1:21" s="342" customFormat="1" ht="15" customHeight="1">
      <c r="A162" s="365">
        <v>882113</v>
      </c>
      <c r="B162" s="346" t="s">
        <v>282</v>
      </c>
      <c r="C162" s="351" t="s">
        <v>6</v>
      </c>
      <c r="D162" s="348">
        <v>15120</v>
      </c>
      <c r="E162" s="348">
        <f t="shared" si="1"/>
        <v>16800</v>
      </c>
      <c r="F162" s="366"/>
      <c r="G162" s="366"/>
      <c r="H162" s="366"/>
      <c r="I162" s="366"/>
      <c r="J162" s="366">
        <v>16800</v>
      </c>
      <c r="K162" s="366"/>
      <c r="L162" s="366"/>
      <c r="M162" s="366"/>
      <c r="N162" s="367"/>
      <c r="O162" s="359"/>
      <c r="P162" s="359"/>
      <c r="Q162" s="359"/>
      <c r="R162" s="359"/>
      <c r="S162" s="359"/>
      <c r="T162" s="359"/>
      <c r="U162" s="359"/>
    </row>
    <row r="163" spans="1:21" s="342" customFormat="1" ht="15" customHeight="1">
      <c r="A163" s="353"/>
      <c r="B163" s="358"/>
      <c r="C163" s="351" t="s">
        <v>4</v>
      </c>
      <c r="D163" s="355">
        <v>15120</v>
      </c>
      <c r="E163" s="348">
        <f t="shared" si="1"/>
        <v>0</v>
      </c>
      <c r="F163" s="362"/>
      <c r="G163" s="362"/>
      <c r="H163" s="362"/>
      <c r="I163" s="362"/>
      <c r="J163" s="362">
        <v>0</v>
      </c>
      <c r="K163" s="362"/>
      <c r="L163" s="362"/>
      <c r="M163" s="362"/>
      <c r="N163" s="363"/>
      <c r="O163" s="359"/>
      <c r="P163" s="359"/>
      <c r="Q163" s="359"/>
      <c r="R163" s="359"/>
      <c r="S163" s="359"/>
      <c r="T163" s="359"/>
      <c r="U163" s="359"/>
    </row>
    <row r="164" spans="1:21" s="342" customFormat="1" ht="15" customHeight="1">
      <c r="A164" s="353"/>
      <c r="B164" s="358"/>
      <c r="C164" s="352" t="s">
        <v>5</v>
      </c>
      <c r="D164" s="355">
        <v>15120</v>
      </c>
      <c r="E164" s="348"/>
      <c r="F164" s="362"/>
      <c r="G164" s="362"/>
      <c r="H164" s="362"/>
      <c r="I164" s="362"/>
      <c r="J164" s="362"/>
      <c r="K164" s="362"/>
      <c r="L164" s="362"/>
      <c r="M164" s="362"/>
      <c r="N164" s="363"/>
      <c r="O164" s="359"/>
      <c r="P164" s="359"/>
      <c r="Q164" s="359"/>
      <c r="R164" s="359"/>
      <c r="S164" s="359"/>
      <c r="T164" s="359"/>
      <c r="U164" s="359"/>
    </row>
    <row r="165" spans="1:21" s="342" customFormat="1" ht="15" customHeight="1">
      <c r="A165" s="353">
        <v>882114</v>
      </c>
      <c r="B165" s="358" t="s">
        <v>283</v>
      </c>
      <c r="C165" s="351" t="s">
        <v>6</v>
      </c>
      <c r="D165" s="355"/>
      <c r="E165" s="348">
        <f t="shared" si="1"/>
        <v>1500</v>
      </c>
      <c r="F165" s="362"/>
      <c r="G165" s="362"/>
      <c r="H165" s="362"/>
      <c r="I165" s="362"/>
      <c r="J165" s="362">
        <v>1500</v>
      </c>
      <c r="K165" s="362"/>
      <c r="L165" s="362"/>
      <c r="M165" s="362"/>
      <c r="N165" s="363"/>
      <c r="O165" s="359"/>
      <c r="P165" s="359"/>
      <c r="Q165" s="359"/>
      <c r="R165" s="359"/>
      <c r="S165" s="359"/>
      <c r="T165" s="359"/>
      <c r="U165" s="359"/>
    </row>
    <row r="166" spans="1:21" s="342" customFormat="1" ht="15" customHeight="1">
      <c r="A166" s="353"/>
      <c r="B166" s="358"/>
      <c r="C166" s="351" t="s">
        <v>4</v>
      </c>
      <c r="D166" s="355"/>
      <c r="E166" s="348">
        <f t="shared" si="1"/>
        <v>1500</v>
      </c>
      <c r="F166" s="362"/>
      <c r="G166" s="362"/>
      <c r="H166" s="362"/>
      <c r="I166" s="362"/>
      <c r="J166" s="362">
        <v>1500</v>
      </c>
      <c r="K166" s="362"/>
      <c r="L166" s="362"/>
      <c r="M166" s="362"/>
      <c r="N166" s="363"/>
      <c r="O166" s="359"/>
      <c r="P166" s="359"/>
      <c r="Q166" s="359"/>
      <c r="R166" s="359"/>
      <c r="S166" s="359"/>
      <c r="T166" s="359"/>
      <c r="U166" s="359"/>
    </row>
    <row r="167" spans="1:21" s="342" customFormat="1" ht="15" customHeight="1">
      <c r="A167" s="353"/>
      <c r="B167" s="358"/>
      <c r="C167" s="352" t="s">
        <v>5</v>
      </c>
      <c r="D167" s="355"/>
      <c r="E167" s="348">
        <f t="shared" si="1"/>
        <v>1500</v>
      </c>
      <c r="F167" s="362"/>
      <c r="G167" s="362"/>
      <c r="H167" s="362"/>
      <c r="I167" s="362"/>
      <c r="J167" s="362">
        <v>1500</v>
      </c>
      <c r="K167" s="362"/>
      <c r="L167" s="362"/>
      <c r="M167" s="362"/>
      <c r="N167" s="363"/>
      <c r="O167" s="359"/>
      <c r="P167" s="359"/>
      <c r="Q167" s="359"/>
      <c r="R167" s="359"/>
      <c r="S167" s="359"/>
      <c r="T167" s="359"/>
      <c r="U167" s="359"/>
    </row>
    <row r="168" spans="1:21" s="342" customFormat="1" ht="15" customHeight="1">
      <c r="A168" s="353">
        <v>882115</v>
      </c>
      <c r="B168" s="358" t="s">
        <v>284</v>
      </c>
      <c r="C168" s="351" t="s">
        <v>6</v>
      </c>
      <c r="D168" s="355">
        <v>26970</v>
      </c>
      <c r="E168" s="348">
        <f t="shared" si="1"/>
        <v>35960</v>
      </c>
      <c r="F168" s="362"/>
      <c r="G168" s="362">
        <v>6960</v>
      </c>
      <c r="H168" s="362"/>
      <c r="I168" s="362"/>
      <c r="J168" s="362">
        <v>29000</v>
      </c>
      <c r="K168" s="362"/>
      <c r="L168" s="362"/>
      <c r="M168" s="362"/>
      <c r="N168" s="363"/>
      <c r="O168" s="359"/>
      <c r="P168" s="359"/>
      <c r="Q168" s="359"/>
      <c r="R168" s="359"/>
      <c r="S168" s="359"/>
      <c r="T168" s="359"/>
      <c r="U168" s="359"/>
    </row>
    <row r="169" spans="1:21" s="342" customFormat="1" ht="15" customHeight="1">
      <c r="A169" s="365"/>
      <c r="B169" s="346"/>
      <c r="C169" s="351" t="s">
        <v>4</v>
      </c>
      <c r="D169" s="348">
        <v>26970</v>
      </c>
      <c r="E169" s="348">
        <f t="shared" si="1"/>
        <v>0</v>
      </c>
      <c r="F169" s="366"/>
      <c r="G169" s="366">
        <v>0</v>
      </c>
      <c r="H169" s="366"/>
      <c r="I169" s="366"/>
      <c r="J169" s="366">
        <v>0</v>
      </c>
      <c r="K169" s="366"/>
      <c r="L169" s="366"/>
      <c r="M169" s="366"/>
      <c r="N169" s="367"/>
      <c r="O169" s="359"/>
      <c r="P169" s="359"/>
      <c r="Q169" s="359"/>
      <c r="R169" s="359"/>
      <c r="S169" s="359"/>
      <c r="T169" s="359"/>
      <c r="U169" s="359"/>
    </row>
    <row r="170" spans="1:21" s="342" customFormat="1" ht="15" customHeight="1">
      <c r="A170" s="365"/>
      <c r="B170" s="346"/>
      <c r="C170" s="352" t="s">
        <v>5</v>
      </c>
      <c r="D170" s="348">
        <v>26970</v>
      </c>
      <c r="E170" s="348"/>
      <c r="F170" s="366"/>
      <c r="G170" s="366"/>
      <c r="H170" s="366"/>
      <c r="I170" s="366"/>
      <c r="J170" s="366"/>
      <c r="K170" s="366"/>
      <c r="L170" s="366"/>
      <c r="M170" s="366"/>
      <c r="N170" s="367"/>
      <c r="O170" s="359"/>
      <c r="P170" s="359"/>
      <c r="Q170" s="359"/>
      <c r="R170" s="359"/>
      <c r="S170" s="359"/>
      <c r="T170" s="359"/>
      <c r="U170" s="359"/>
    </row>
    <row r="171" spans="1:21" s="342" customFormat="1" ht="15" customHeight="1">
      <c r="A171" s="365">
        <v>882116</v>
      </c>
      <c r="B171" s="346" t="s">
        <v>285</v>
      </c>
      <c r="C171" s="351" t="s">
        <v>6</v>
      </c>
      <c r="D171" s="348"/>
      <c r="E171" s="348">
        <f t="shared" si="1"/>
        <v>2108</v>
      </c>
      <c r="F171" s="366"/>
      <c r="G171" s="366">
        <v>408</v>
      </c>
      <c r="H171" s="366"/>
      <c r="I171" s="366"/>
      <c r="J171" s="366">
        <v>1700</v>
      </c>
      <c r="K171" s="366"/>
      <c r="L171" s="366"/>
      <c r="M171" s="366"/>
      <c r="N171" s="367"/>
      <c r="O171" s="359"/>
      <c r="P171" s="359"/>
      <c r="Q171" s="359"/>
      <c r="R171" s="359"/>
      <c r="S171" s="359"/>
      <c r="T171" s="359"/>
      <c r="U171" s="359"/>
    </row>
    <row r="172" spans="1:21" s="342" customFormat="1" ht="15" customHeight="1">
      <c r="A172" s="365"/>
      <c r="B172" s="346"/>
      <c r="C172" s="351" t="s">
        <v>4</v>
      </c>
      <c r="D172" s="348"/>
      <c r="E172" s="348">
        <f t="shared" si="1"/>
        <v>2108</v>
      </c>
      <c r="F172" s="366"/>
      <c r="G172" s="366">
        <v>408</v>
      </c>
      <c r="H172" s="366"/>
      <c r="I172" s="366"/>
      <c r="J172" s="366">
        <v>1700</v>
      </c>
      <c r="K172" s="366"/>
      <c r="L172" s="366"/>
      <c r="M172" s="366"/>
      <c r="N172" s="367"/>
      <c r="O172" s="359"/>
      <c r="P172" s="359"/>
      <c r="Q172" s="359"/>
      <c r="R172" s="359"/>
      <c r="S172" s="359"/>
      <c r="T172" s="359"/>
      <c r="U172" s="359"/>
    </row>
    <row r="173" spans="1:21" s="342" customFormat="1" ht="15" customHeight="1">
      <c r="A173" s="365"/>
      <c r="B173" s="346"/>
      <c r="C173" s="352" t="s">
        <v>5</v>
      </c>
      <c r="D173" s="348"/>
      <c r="E173" s="348">
        <f t="shared" si="1"/>
        <v>2108</v>
      </c>
      <c r="F173" s="366"/>
      <c r="G173" s="366">
        <v>408</v>
      </c>
      <c r="H173" s="366"/>
      <c r="I173" s="366"/>
      <c r="J173" s="366">
        <v>1700</v>
      </c>
      <c r="K173" s="366"/>
      <c r="L173" s="366"/>
      <c r="M173" s="366"/>
      <c r="N173" s="367"/>
      <c r="O173" s="359"/>
      <c r="P173" s="359"/>
      <c r="Q173" s="359"/>
      <c r="R173" s="359"/>
      <c r="S173" s="359"/>
      <c r="T173" s="359"/>
      <c r="U173" s="359"/>
    </row>
    <row r="174" spans="1:21" s="342" customFormat="1" ht="15" customHeight="1">
      <c r="A174" s="353">
        <v>882117</v>
      </c>
      <c r="B174" s="358" t="s">
        <v>286</v>
      </c>
      <c r="C174" s="351" t="s">
        <v>6</v>
      </c>
      <c r="D174" s="355">
        <v>8500</v>
      </c>
      <c r="E174" s="348">
        <f t="shared" si="1"/>
        <v>8500</v>
      </c>
      <c r="F174" s="362"/>
      <c r="G174" s="362"/>
      <c r="H174" s="362"/>
      <c r="I174" s="362"/>
      <c r="J174" s="362">
        <v>8500</v>
      </c>
      <c r="K174" s="362"/>
      <c r="L174" s="362"/>
      <c r="M174" s="362"/>
      <c r="N174" s="363"/>
      <c r="O174" s="359"/>
      <c r="P174" s="359"/>
      <c r="Q174" s="359"/>
      <c r="R174" s="359"/>
      <c r="S174" s="359"/>
      <c r="T174" s="359"/>
      <c r="U174" s="359"/>
    </row>
    <row r="175" spans="1:21" s="342" customFormat="1" ht="15" customHeight="1">
      <c r="A175" s="353"/>
      <c r="B175" s="358"/>
      <c r="C175" s="351" t="s">
        <v>4</v>
      </c>
      <c r="D175" s="355">
        <v>8500</v>
      </c>
      <c r="E175" s="348">
        <f t="shared" si="1"/>
        <v>0</v>
      </c>
      <c r="F175" s="362"/>
      <c r="G175" s="362"/>
      <c r="H175" s="362"/>
      <c r="I175" s="362"/>
      <c r="J175" s="362">
        <v>0</v>
      </c>
      <c r="K175" s="362"/>
      <c r="L175" s="362"/>
      <c r="M175" s="362"/>
      <c r="N175" s="363"/>
      <c r="O175" s="359"/>
      <c r="P175" s="359"/>
      <c r="Q175" s="359"/>
      <c r="R175" s="359"/>
      <c r="S175" s="359"/>
      <c r="T175" s="359"/>
      <c r="U175" s="359"/>
    </row>
    <row r="176" spans="1:21" s="342" customFormat="1" ht="15" customHeight="1">
      <c r="A176" s="353"/>
      <c r="B176" s="358"/>
      <c r="C176" s="352" t="s">
        <v>5</v>
      </c>
      <c r="D176" s="355">
        <v>8500</v>
      </c>
      <c r="E176" s="348"/>
      <c r="F176" s="362"/>
      <c r="G176" s="362"/>
      <c r="H176" s="362"/>
      <c r="I176" s="362"/>
      <c r="J176" s="362"/>
      <c r="K176" s="362"/>
      <c r="L176" s="362"/>
      <c r="M176" s="362"/>
      <c r="N176" s="363"/>
      <c r="O176" s="359"/>
      <c r="P176" s="359"/>
      <c r="Q176" s="359"/>
      <c r="R176" s="359"/>
      <c r="S176" s="359"/>
      <c r="T176" s="359"/>
      <c r="U176" s="359"/>
    </row>
    <row r="177" spans="1:21" s="342" customFormat="1" ht="15" customHeight="1">
      <c r="A177" s="353">
        <v>882119</v>
      </c>
      <c r="B177" s="358" t="s">
        <v>287</v>
      </c>
      <c r="C177" s="351" t="s">
        <v>6</v>
      </c>
      <c r="D177" s="355">
        <v>300</v>
      </c>
      <c r="E177" s="348">
        <f t="shared" si="1"/>
        <v>300</v>
      </c>
      <c r="F177" s="362"/>
      <c r="G177" s="362"/>
      <c r="H177" s="362"/>
      <c r="I177" s="362"/>
      <c r="J177" s="362">
        <v>300</v>
      </c>
      <c r="K177" s="362"/>
      <c r="L177" s="362"/>
      <c r="M177" s="362"/>
      <c r="N177" s="363"/>
      <c r="O177" s="359"/>
      <c r="P177" s="359"/>
      <c r="Q177" s="359"/>
      <c r="R177" s="359"/>
      <c r="S177" s="359"/>
      <c r="T177" s="359"/>
      <c r="U177" s="359"/>
    </row>
    <row r="178" spans="1:21" s="342" customFormat="1" ht="15" customHeight="1">
      <c r="A178" s="369"/>
      <c r="B178" s="370"/>
      <c r="C178" s="351" t="s">
        <v>4</v>
      </c>
      <c r="D178" s="371">
        <v>300</v>
      </c>
      <c r="E178" s="348">
        <f t="shared" si="1"/>
        <v>0</v>
      </c>
      <c r="F178" s="372"/>
      <c r="G178" s="372"/>
      <c r="H178" s="372"/>
      <c r="I178" s="372"/>
      <c r="J178" s="372">
        <v>0</v>
      </c>
      <c r="K178" s="372"/>
      <c r="L178" s="372"/>
      <c r="M178" s="372"/>
      <c r="N178" s="373"/>
      <c r="O178" s="359"/>
      <c r="P178" s="359"/>
      <c r="Q178" s="359"/>
      <c r="R178" s="359"/>
      <c r="S178" s="359"/>
      <c r="T178" s="359"/>
      <c r="U178" s="359"/>
    </row>
    <row r="179" spans="1:21" s="342" customFormat="1" ht="15" customHeight="1">
      <c r="A179" s="369"/>
      <c r="B179" s="370"/>
      <c r="C179" s="352" t="s">
        <v>5</v>
      </c>
      <c r="D179" s="371">
        <v>300</v>
      </c>
      <c r="E179" s="348"/>
      <c r="F179" s="372"/>
      <c r="G179" s="372"/>
      <c r="H179" s="372"/>
      <c r="I179" s="372"/>
      <c r="J179" s="372"/>
      <c r="K179" s="372"/>
      <c r="L179" s="372"/>
      <c r="M179" s="372"/>
      <c r="N179" s="373"/>
      <c r="O179" s="359"/>
      <c r="P179" s="359"/>
      <c r="Q179" s="359"/>
      <c r="R179" s="359"/>
      <c r="S179" s="359"/>
      <c r="T179" s="359"/>
      <c r="U179" s="359"/>
    </row>
    <row r="180" spans="1:21" s="342" customFormat="1" ht="15" customHeight="1">
      <c r="A180" s="369">
        <v>882122</v>
      </c>
      <c r="B180" s="370" t="s">
        <v>288</v>
      </c>
      <c r="C180" s="351" t="s">
        <v>6</v>
      </c>
      <c r="D180" s="371"/>
      <c r="E180" s="348">
        <f t="shared" si="1"/>
        <v>16000</v>
      </c>
      <c r="F180" s="372"/>
      <c r="G180" s="372"/>
      <c r="H180" s="372"/>
      <c r="I180" s="372"/>
      <c r="J180" s="372">
        <v>16000</v>
      </c>
      <c r="K180" s="372"/>
      <c r="L180" s="372"/>
      <c r="M180" s="372"/>
      <c r="N180" s="373"/>
      <c r="O180" s="359"/>
      <c r="P180" s="359"/>
      <c r="Q180" s="359"/>
      <c r="R180" s="359"/>
      <c r="S180" s="359"/>
      <c r="T180" s="359"/>
      <c r="U180" s="359"/>
    </row>
    <row r="181" spans="1:21" s="342" customFormat="1" ht="15" customHeight="1">
      <c r="A181" s="369"/>
      <c r="B181" s="370"/>
      <c r="C181" s="351" t="s">
        <v>4</v>
      </c>
      <c r="D181" s="371"/>
      <c r="E181" s="348">
        <f t="shared" si="1"/>
        <v>13500</v>
      </c>
      <c r="F181" s="372"/>
      <c r="G181" s="372"/>
      <c r="H181" s="372"/>
      <c r="I181" s="372"/>
      <c r="J181" s="372">
        <v>13500</v>
      </c>
      <c r="K181" s="372"/>
      <c r="L181" s="372"/>
      <c r="M181" s="372"/>
      <c r="N181" s="373"/>
      <c r="O181" s="359"/>
      <c r="P181" s="359"/>
      <c r="Q181" s="359"/>
      <c r="R181" s="359"/>
      <c r="S181" s="359"/>
      <c r="T181" s="359"/>
      <c r="U181" s="359"/>
    </row>
    <row r="182" spans="1:21" s="342" customFormat="1" ht="15" customHeight="1">
      <c r="A182" s="369"/>
      <c r="B182" s="370"/>
      <c r="C182" s="352" t="s">
        <v>5</v>
      </c>
      <c r="D182" s="371"/>
      <c r="E182" s="348">
        <f t="shared" si="1"/>
        <v>13500</v>
      </c>
      <c r="F182" s="372"/>
      <c r="G182" s="372"/>
      <c r="H182" s="372"/>
      <c r="I182" s="372"/>
      <c r="J182" s="372">
        <v>13500</v>
      </c>
      <c r="K182" s="372"/>
      <c r="L182" s="372"/>
      <c r="M182" s="372"/>
      <c r="N182" s="373"/>
      <c r="O182" s="359"/>
      <c r="P182" s="359"/>
      <c r="Q182" s="359"/>
      <c r="R182" s="359"/>
      <c r="S182" s="359"/>
      <c r="T182" s="359"/>
      <c r="U182" s="359"/>
    </row>
    <row r="183" spans="1:21" s="342" customFormat="1" ht="15" customHeight="1">
      <c r="A183" s="353">
        <v>882123</v>
      </c>
      <c r="B183" s="358" t="s">
        <v>289</v>
      </c>
      <c r="C183" s="351" t="s">
        <v>6</v>
      </c>
      <c r="D183" s="355"/>
      <c r="E183" s="348">
        <f t="shared" si="1"/>
        <v>2100</v>
      </c>
      <c r="F183" s="356"/>
      <c r="G183" s="356"/>
      <c r="H183" s="356"/>
      <c r="I183" s="356"/>
      <c r="J183" s="356">
        <v>2100</v>
      </c>
      <c r="K183" s="356"/>
      <c r="L183" s="356"/>
      <c r="M183" s="356"/>
      <c r="N183" s="357"/>
      <c r="O183" s="359"/>
      <c r="P183" s="359"/>
      <c r="Q183" s="359"/>
      <c r="R183" s="359"/>
      <c r="S183" s="359"/>
      <c r="T183" s="359"/>
      <c r="U183" s="359"/>
    </row>
    <row r="184" spans="1:21" s="342" customFormat="1" ht="15" customHeight="1">
      <c r="A184" s="353"/>
      <c r="B184" s="358"/>
      <c r="C184" s="351" t="s">
        <v>4</v>
      </c>
      <c r="D184" s="355"/>
      <c r="E184" s="348">
        <f t="shared" si="1"/>
        <v>2100</v>
      </c>
      <c r="F184" s="356"/>
      <c r="G184" s="356"/>
      <c r="H184" s="356"/>
      <c r="I184" s="356"/>
      <c r="J184" s="356">
        <v>2100</v>
      </c>
      <c r="K184" s="356"/>
      <c r="L184" s="356"/>
      <c r="M184" s="356"/>
      <c r="N184" s="357"/>
      <c r="O184" s="359"/>
      <c r="P184" s="359"/>
      <c r="Q184" s="359"/>
      <c r="R184" s="359"/>
      <c r="S184" s="359"/>
      <c r="T184" s="359"/>
      <c r="U184" s="359"/>
    </row>
    <row r="185" spans="1:21" s="342" customFormat="1" ht="15" customHeight="1">
      <c r="A185" s="353"/>
      <c r="B185" s="358"/>
      <c r="C185" s="352" t="s">
        <v>5</v>
      </c>
      <c r="D185" s="355"/>
      <c r="E185" s="348">
        <f t="shared" si="1"/>
        <v>2100</v>
      </c>
      <c r="F185" s="356"/>
      <c r="G185" s="356"/>
      <c r="H185" s="356"/>
      <c r="I185" s="356"/>
      <c r="J185" s="356">
        <v>2100</v>
      </c>
      <c r="K185" s="356"/>
      <c r="L185" s="356"/>
      <c r="M185" s="356"/>
      <c r="N185" s="357"/>
      <c r="O185" s="359"/>
      <c r="P185" s="359"/>
      <c r="Q185" s="359"/>
      <c r="R185" s="359"/>
      <c r="S185" s="359"/>
      <c r="T185" s="359"/>
      <c r="U185" s="359"/>
    </row>
    <row r="186" spans="1:21" s="342" customFormat="1" ht="15" customHeight="1">
      <c r="A186" s="353">
        <v>882124</v>
      </c>
      <c r="B186" s="358" t="s">
        <v>290</v>
      </c>
      <c r="C186" s="351" t="s">
        <v>6</v>
      </c>
      <c r="D186" s="355"/>
      <c r="E186" s="348">
        <f t="shared" si="1"/>
        <v>4000</v>
      </c>
      <c r="F186" s="356"/>
      <c r="G186" s="356"/>
      <c r="H186" s="356"/>
      <c r="I186" s="356"/>
      <c r="J186" s="356">
        <v>4000</v>
      </c>
      <c r="K186" s="356"/>
      <c r="L186" s="356"/>
      <c r="M186" s="356"/>
      <c r="N186" s="357"/>
      <c r="O186" s="359"/>
      <c r="P186" s="359"/>
      <c r="Q186" s="359"/>
      <c r="R186" s="359"/>
      <c r="S186" s="359"/>
      <c r="T186" s="359"/>
      <c r="U186" s="359"/>
    </row>
    <row r="187" spans="1:21" s="342" customFormat="1" ht="15" customHeight="1">
      <c r="A187" s="365"/>
      <c r="B187" s="346"/>
      <c r="C187" s="351" t="s">
        <v>4</v>
      </c>
      <c r="D187" s="348"/>
      <c r="E187" s="348">
        <f t="shared" si="1"/>
        <v>4000</v>
      </c>
      <c r="F187" s="349"/>
      <c r="G187" s="349"/>
      <c r="H187" s="349"/>
      <c r="I187" s="349"/>
      <c r="J187" s="349">
        <v>4000</v>
      </c>
      <c r="K187" s="349"/>
      <c r="L187" s="349"/>
      <c r="M187" s="349"/>
      <c r="N187" s="350"/>
      <c r="O187" s="359"/>
      <c r="P187" s="359"/>
      <c r="Q187" s="359"/>
      <c r="R187" s="359"/>
      <c r="S187" s="359"/>
      <c r="T187" s="359"/>
      <c r="U187" s="359"/>
    </row>
    <row r="188" spans="1:21" s="342" customFormat="1" ht="15" customHeight="1">
      <c r="A188" s="365"/>
      <c r="B188" s="346"/>
      <c r="C188" s="352" t="s">
        <v>5</v>
      </c>
      <c r="D188" s="348"/>
      <c r="E188" s="348">
        <f t="shared" si="1"/>
        <v>4000</v>
      </c>
      <c r="F188" s="349"/>
      <c r="G188" s="349"/>
      <c r="H188" s="349"/>
      <c r="I188" s="349"/>
      <c r="J188" s="349">
        <v>4000</v>
      </c>
      <c r="K188" s="349"/>
      <c r="L188" s="349"/>
      <c r="M188" s="349"/>
      <c r="N188" s="350"/>
      <c r="O188" s="359"/>
      <c r="P188" s="359"/>
      <c r="Q188" s="359"/>
      <c r="R188" s="359"/>
      <c r="S188" s="359"/>
      <c r="T188" s="359"/>
      <c r="U188" s="359"/>
    </row>
    <row r="189" spans="1:21" s="342" customFormat="1" ht="15" customHeight="1">
      <c r="A189" s="365">
        <v>882129</v>
      </c>
      <c r="B189" s="346" t="s">
        <v>291</v>
      </c>
      <c r="C189" s="351" t="s">
        <v>6</v>
      </c>
      <c r="D189" s="348"/>
      <c r="E189" s="348">
        <f t="shared" si="1"/>
        <v>4000</v>
      </c>
      <c r="F189" s="366"/>
      <c r="G189" s="366"/>
      <c r="H189" s="366"/>
      <c r="I189" s="366">
        <v>4000</v>
      </c>
      <c r="J189" s="366"/>
      <c r="K189" s="366"/>
      <c r="L189" s="366"/>
      <c r="M189" s="366"/>
      <c r="N189" s="367"/>
      <c r="O189" s="359"/>
      <c r="P189" s="359"/>
      <c r="Q189" s="359"/>
      <c r="R189" s="359"/>
      <c r="S189" s="359"/>
      <c r="T189" s="359"/>
      <c r="U189" s="359"/>
    </row>
    <row r="190" spans="1:21" s="342" customFormat="1" ht="15" customHeight="1">
      <c r="A190" s="365"/>
      <c r="B190" s="346"/>
      <c r="C190" s="351" t="s">
        <v>4</v>
      </c>
      <c r="D190" s="348"/>
      <c r="E190" s="348">
        <f t="shared" si="1"/>
        <v>4000</v>
      </c>
      <c r="F190" s="366"/>
      <c r="G190" s="366"/>
      <c r="H190" s="366"/>
      <c r="I190" s="366">
        <v>4000</v>
      </c>
      <c r="J190" s="366"/>
      <c r="K190" s="366"/>
      <c r="L190" s="366"/>
      <c r="M190" s="366"/>
      <c r="N190" s="367"/>
      <c r="O190" s="359"/>
      <c r="P190" s="359"/>
      <c r="Q190" s="359"/>
      <c r="R190" s="359"/>
      <c r="S190" s="359"/>
      <c r="T190" s="359"/>
      <c r="U190" s="359"/>
    </row>
    <row r="191" spans="1:21" s="342" customFormat="1" ht="15" customHeight="1">
      <c r="A191" s="365"/>
      <c r="B191" s="346"/>
      <c r="C191" s="352" t="s">
        <v>5</v>
      </c>
      <c r="D191" s="348"/>
      <c r="E191" s="348">
        <f t="shared" si="1"/>
        <v>4000</v>
      </c>
      <c r="F191" s="366"/>
      <c r="G191" s="366"/>
      <c r="H191" s="366"/>
      <c r="I191" s="366">
        <v>4000</v>
      </c>
      <c r="J191" s="366"/>
      <c r="K191" s="366"/>
      <c r="L191" s="366"/>
      <c r="M191" s="366"/>
      <c r="N191" s="367"/>
      <c r="O191" s="359"/>
      <c r="P191" s="359"/>
      <c r="Q191" s="359"/>
      <c r="R191" s="359"/>
      <c r="S191" s="359"/>
      <c r="T191" s="359"/>
      <c r="U191" s="359"/>
    </row>
    <row r="192" spans="1:21" s="342" customFormat="1" ht="15" customHeight="1">
      <c r="A192" s="353">
        <v>882129</v>
      </c>
      <c r="B192" s="358" t="s">
        <v>292</v>
      </c>
      <c r="C192" s="351" t="s">
        <v>6</v>
      </c>
      <c r="D192" s="355"/>
      <c r="E192" s="348">
        <f t="shared" si="1"/>
        <v>150</v>
      </c>
      <c r="F192" s="362"/>
      <c r="G192" s="362"/>
      <c r="H192" s="362"/>
      <c r="I192" s="362"/>
      <c r="J192" s="362">
        <v>150</v>
      </c>
      <c r="K192" s="362"/>
      <c r="L192" s="362"/>
      <c r="M192" s="362"/>
      <c r="N192" s="363"/>
      <c r="O192" s="359"/>
      <c r="P192" s="359"/>
      <c r="Q192" s="359"/>
      <c r="R192" s="359"/>
      <c r="S192" s="359"/>
      <c r="T192" s="359"/>
      <c r="U192" s="359"/>
    </row>
    <row r="193" spans="1:21" s="342" customFormat="1" ht="15" customHeight="1">
      <c r="A193" s="353"/>
      <c r="B193" s="358"/>
      <c r="C193" s="351" t="s">
        <v>4</v>
      </c>
      <c r="D193" s="355"/>
      <c r="E193" s="348">
        <f t="shared" si="1"/>
        <v>150</v>
      </c>
      <c r="F193" s="362"/>
      <c r="G193" s="362"/>
      <c r="H193" s="362"/>
      <c r="I193" s="362"/>
      <c r="J193" s="362">
        <v>150</v>
      </c>
      <c r="K193" s="362"/>
      <c r="L193" s="362"/>
      <c r="M193" s="362"/>
      <c r="N193" s="363"/>
      <c r="O193" s="359"/>
      <c r="P193" s="359"/>
      <c r="Q193" s="359"/>
      <c r="R193" s="359"/>
      <c r="S193" s="359"/>
      <c r="T193" s="359"/>
      <c r="U193" s="359"/>
    </row>
    <row r="194" spans="1:21" s="342" customFormat="1" ht="15" customHeight="1">
      <c r="A194" s="353"/>
      <c r="B194" s="358"/>
      <c r="C194" s="352" t="s">
        <v>5</v>
      </c>
      <c r="D194" s="355"/>
      <c r="E194" s="348">
        <f t="shared" si="1"/>
        <v>150</v>
      </c>
      <c r="F194" s="362"/>
      <c r="G194" s="362"/>
      <c r="H194" s="362"/>
      <c r="I194" s="362"/>
      <c r="J194" s="362">
        <v>150</v>
      </c>
      <c r="K194" s="362"/>
      <c r="L194" s="362"/>
      <c r="M194" s="362"/>
      <c r="N194" s="363"/>
      <c r="O194" s="359"/>
      <c r="P194" s="359"/>
      <c r="Q194" s="359"/>
      <c r="R194" s="359"/>
      <c r="S194" s="359"/>
      <c r="T194" s="359"/>
      <c r="U194" s="359"/>
    </row>
    <row r="195" spans="1:21" s="342" customFormat="1" ht="15" customHeight="1">
      <c r="A195" s="353">
        <v>882201</v>
      </c>
      <c r="B195" s="358" t="s">
        <v>293</v>
      </c>
      <c r="C195" s="351" t="s">
        <v>6</v>
      </c>
      <c r="D195" s="355">
        <v>8550</v>
      </c>
      <c r="E195" s="348">
        <f t="shared" si="1"/>
        <v>9500</v>
      </c>
      <c r="F195" s="362"/>
      <c r="G195" s="362"/>
      <c r="H195" s="362"/>
      <c r="I195" s="362"/>
      <c r="J195" s="362">
        <v>9500</v>
      </c>
      <c r="K195" s="362"/>
      <c r="L195" s="362"/>
      <c r="M195" s="362"/>
      <c r="N195" s="363"/>
      <c r="O195" s="359"/>
      <c r="P195" s="359"/>
      <c r="Q195" s="359"/>
      <c r="R195" s="359"/>
      <c r="S195" s="359"/>
      <c r="T195" s="359"/>
      <c r="U195" s="359"/>
    </row>
    <row r="196" spans="1:21" s="342" customFormat="1" ht="15" customHeight="1">
      <c r="A196" s="353"/>
      <c r="B196" s="358"/>
      <c r="C196" s="351" t="s">
        <v>4</v>
      </c>
      <c r="D196" s="355">
        <v>8550</v>
      </c>
      <c r="E196" s="348">
        <f t="shared" si="1"/>
        <v>0</v>
      </c>
      <c r="F196" s="362"/>
      <c r="G196" s="362"/>
      <c r="H196" s="362"/>
      <c r="I196" s="362"/>
      <c r="J196" s="362">
        <v>0</v>
      </c>
      <c r="K196" s="362"/>
      <c r="L196" s="362"/>
      <c r="M196" s="362"/>
      <c r="N196" s="363"/>
      <c r="O196" s="359"/>
      <c r="P196" s="359"/>
      <c r="Q196" s="359"/>
      <c r="R196" s="359"/>
      <c r="S196" s="359"/>
      <c r="T196" s="359"/>
      <c r="U196" s="359"/>
    </row>
    <row r="197" spans="1:21" s="342" customFormat="1" ht="15" customHeight="1">
      <c r="A197" s="353"/>
      <c r="B197" s="358"/>
      <c r="C197" s="352" t="s">
        <v>5</v>
      </c>
      <c r="D197" s="355">
        <v>8550</v>
      </c>
      <c r="E197" s="348"/>
      <c r="F197" s="362"/>
      <c r="G197" s="362"/>
      <c r="H197" s="362"/>
      <c r="I197" s="362"/>
      <c r="J197" s="362"/>
      <c r="K197" s="362"/>
      <c r="L197" s="362"/>
      <c r="M197" s="362"/>
      <c r="N197" s="363"/>
      <c r="O197" s="359"/>
      <c r="P197" s="359"/>
      <c r="Q197" s="359"/>
      <c r="R197" s="359"/>
      <c r="S197" s="359"/>
      <c r="T197" s="359"/>
      <c r="U197" s="359"/>
    </row>
    <row r="198" spans="1:21" s="342" customFormat="1" ht="15" customHeight="1">
      <c r="A198" s="353">
        <v>882202</v>
      </c>
      <c r="B198" s="358" t="s">
        <v>294</v>
      </c>
      <c r="C198" s="351" t="s">
        <v>6</v>
      </c>
      <c r="D198" s="355"/>
      <c r="E198" s="348">
        <f t="shared" si="1"/>
        <v>2000</v>
      </c>
      <c r="F198" s="362"/>
      <c r="G198" s="362"/>
      <c r="H198" s="362"/>
      <c r="I198" s="362"/>
      <c r="J198" s="362">
        <v>2000</v>
      </c>
      <c r="K198" s="362"/>
      <c r="L198" s="362"/>
      <c r="M198" s="362"/>
      <c r="N198" s="363"/>
      <c r="O198" s="359"/>
      <c r="P198" s="359"/>
      <c r="Q198" s="359"/>
      <c r="R198" s="359"/>
      <c r="S198" s="359"/>
      <c r="T198" s="359"/>
      <c r="U198" s="359"/>
    </row>
    <row r="199" spans="1:21" s="342" customFormat="1" ht="15" customHeight="1">
      <c r="A199" s="353"/>
      <c r="B199" s="358"/>
      <c r="C199" s="351" t="s">
        <v>4</v>
      </c>
      <c r="D199" s="355"/>
      <c r="E199" s="348">
        <f t="shared" si="1"/>
        <v>4500</v>
      </c>
      <c r="F199" s="362"/>
      <c r="G199" s="362"/>
      <c r="H199" s="362"/>
      <c r="I199" s="362"/>
      <c r="J199" s="362">
        <v>4500</v>
      </c>
      <c r="K199" s="362"/>
      <c r="L199" s="362"/>
      <c r="M199" s="362"/>
      <c r="N199" s="363"/>
      <c r="O199" s="359"/>
      <c r="P199" s="359"/>
      <c r="Q199" s="359"/>
      <c r="R199" s="359"/>
      <c r="S199" s="359"/>
      <c r="T199" s="359"/>
      <c r="U199" s="359"/>
    </row>
    <row r="200" spans="1:21" s="342" customFormat="1" ht="15" customHeight="1">
      <c r="A200" s="353"/>
      <c r="B200" s="358"/>
      <c r="C200" s="352" t="s">
        <v>5</v>
      </c>
      <c r="D200" s="355"/>
      <c r="E200" s="348">
        <f t="shared" si="1"/>
        <v>4500</v>
      </c>
      <c r="F200" s="362"/>
      <c r="G200" s="362"/>
      <c r="H200" s="362"/>
      <c r="I200" s="362"/>
      <c r="J200" s="362">
        <v>4500</v>
      </c>
      <c r="K200" s="362"/>
      <c r="L200" s="362"/>
      <c r="M200" s="362"/>
      <c r="N200" s="363"/>
      <c r="O200" s="359"/>
      <c r="P200" s="359"/>
      <c r="Q200" s="359"/>
      <c r="R200" s="359"/>
      <c r="S200" s="359"/>
      <c r="T200" s="359"/>
      <c r="U200" s="359"/>
    </row>
    <row r="201" spans="1:21" s="342" customFormat="1" ht="15" customHeight="1">
      <c r="A201" s="353">
        <v>882203</v>
      </c>
      <c r="B201" s="358" t="s">
        <v>295</v>
      </c>
      <c r="C201" s="351" t="s">
        <v>6</v>
      </c>
      <c r="D201" s="355"/>
      <c r="E201" s="348">
        <f t="shared" si="1"/>
        <v>1500</v>
      </c>
      <c r="F201" s="362"/>
      <c r="G201" s="362"/>
      <c r="H201" s="362"/>
      <c r="I201" s="362"/>
      <c r="J201" s="362">
        <v>1500</v>
      </c>
      <c r="K201" s="362"/>
      <c r="L201" s="362"/>
      <c r="M201" s="362"/>
      <c r="N201" s="363"/>
      <c r="O201" s="359"/>
      <c r="P201" s="359"/>
      <c r="Q201" s="359"/>
      <c r="R201" s="359"/>
      <c r="S201" s="359"/>
      <c r="T201" s="359"/>
      <c r="U201" s="359"/>
    </row>
    <row r="202" spans="1:21" s="342" customFormat="1" ht="15" customHeight="1">
      <c r="A202" s="353"/>
      <c r="B202" s="358"/>
      <c r="C202" s="351" t="s">
        <v>4</v>
      </c>
      <c r="D202" s="355"/>
      <c r="E202" s="348">
        <f aca="true" t="shared" si="2" ref="E202:E248">SUM(F202:N202)</f>
        <v>1500</v>
      </c>
      <c r="F202" s="362"/>
      <c r="G202" s="362"/>
      <c r="H202" s="362"/>
      <c r="I202" s="362"/>
      <c r="J202" s="362">
        <v>1500</v>
      </c>
      <c r="K202" s="362"/>
      <c r="L202" s="362"/>
      <c r="M202" s="362"/>
      <c r="N202" s="363"/>
      <c r="O202" s="359"/>
      <c r="P202" s="359"/>
      <c r="Q202" s="359"/>
      <c r="R202" s="359"/>
      <c r="S202" s="359"/>
      <c r="T202" s="359"/>
      <c r="U202" s="359"/>
    </row>
    <row r="203" spans="1:21" s="342" customFormat="1" ht="15" customHeight="1">
      <c r="A203" s="353"/>
      <c r="B203" s="358"/>
      <c r="C203" s="352" t="s">
        <v>5</v>
      </c>
      <c r="D203" s="355"/>
      <c r="E203" s="348">
        <f t="shared" si="2"/>
        <v>1500</v>
      </c>
      <c r="F203" s="362"/>
      <c r="G203" s="362"/>
      <c r="H203" s="362"/>
      <c r="I203" s="362"/>
      <c r="J203" s="362">
        <v>1500</v>
      </c>
      <c r="K203" s="362"/>
      <c r="L203" s="362"/>
      <c r="M203" s="362"/>
      <c r="N203" s="363"/>
      <c r="O203" s="359"/>
      <c r="P203" s="359"/>
      <c r="Q203" s="359"/>
      <c r="R203" s="359"/>
      <c r="S203" s="359"/>
      <c r="T203" s="359"/>
      <c r="U203" s="359"/>
    </row>
    <row r="204" spans="1:21" s="342" customFormat="1" ht="15" customHeight="1">
      <c r="A204" s="353">
        <v>889101</v>
      </c>
      <c r="B204" s="358" t="s">
        <v>296</v>
      </c>
      <c r="C204" s="351" t="s">
        <v>6</v>
      </c>
      <c r="D204" s="355">
        <v>10035</v>
      </c>
      <c r="E204" s="348">
        <f t="shared" si="2"/>
        <v>7000</v>
      </c>
      <c r="F204" s="362"/>
      <c r="G204" s="362"/>
      <c r="H204" s="362"/>
      <c r="I204" s="362">
        <v>7000</v>
      </c>
      <c r="J204" s="362"/>
      <c r="K204" s="362"/>
      <c r="L204" s="362"/>
      <c r="M204" s="362"/>
      <c r="N204" s="363"/>
      <c r="O204" s="359"/>
      <c r="P204" s="359"/>
      <c r="Q204" s="359"/>
      <c r="R204" s="359"/>
      <c r="S204" s="359"/>
      <c r="T204" s="359"/>
      <c r="U204" s="359"/>
    </row>
    <row r="205" spans="1:21" s="342" customFormat="1" ht="15" customHeight="1">
      <c r="A205" s="353"/>
      <c r="B205" s="358"/>
      <c r="C205" s="351" t="s">
        <v>4</v>
      </c>
      <c r="D205" s="355">
        <v>10035</v>
      </c>
      <c r="E205" s="348">
        <f t="shared" si="2"/>
        <v>17035</v>
      </c>
      <c r="F205" s="362"/>
      <c r="G205" s="362"/>
      <c r="H205" s="362"/>
      <c r="I205" s="362">
        <v>7000</v>
      </c>
      <c r="J205" s="362"/>
      <c r="K205" s="362"/>
      <c r="L205" s="362">
        <v>10035</v>
      </c>
      <c r="M205" s="362"/>
      <c r="N205" s="363"/>
      <c r="O205" s="359"/>
      <c r="P205" s="359"/>
      <c r="Q205" s="359"/>
      <c r="R205" s="359"/>
      <c r="S205" s="359"/>
      <c r="T205" s="359"/>
      <c r="U205" s="359"/>
    </row>
    <row r="206" spans="1:21" s="342" customFormat="1" ht="15" customHeight="1">
      <c r="A206" s="353"/>
      <c r="B206" s="358"/>
      <c r="C206" s="352" t="s">
        <v>5</v>
      </c>
      <c r="D206" s="355">
        <v>10035</v>
      </c>
      <c r="E206" s="348">
        <f t="shared" si="2"/>
        <v>17035</v>
      </c>
      <c r="F206" s="362"/>
      <c r="G206" s="362"/>
      <c r="H206" s="362"/>
      <c r="I206" s="362">
        <v>7000</v>
      </c>
      <c r="J206" s="362"/>
      <c r="K206" s="362"/>
      <c r="L206" s="362">
        <v>10035</v>
      </c>
      <c r="M206" s="362"/>
      <c r="N206" s="363"/>
      <c r="O206" s="359"/>
      <c r="P206" s="359"/>
      <c r="Q206" s="359"/>
      <c r="R206" s="359"/>
      <c r="S206" s="359"/>
      <c r="T206" s="359"/>
      <c r="U206" s="359"/>
    </row>
    <row r="207" spans="1:21" s="342" customFormat="1" ht="15" customHeight="1">
      <c r="A207" s="353">
        <v>889923</v>
      </c>
      <c r="B207" s="358" t="s">
        <v>297</v>
      </c>
      <c r="C207" s="351" t="s">
        <v>6</v>
      </c>
      <c r="D207" s="355">
        <v>2450</v>
      </c>
      <c r="E207" s="348">
        <f t="shared" si="2"/>
        <v>0</v>
      </c>
      <c r="F207" s="362"/>
      <c r="G207" s="362"/>
      <c r="H207" s="362"/>
      <c r="I207" s="362"/>
      <c r="J207" s="362"/>
      <c r="K207" s="362"/>
      <c r="L207" s="362"/>
      <c r="M207" s="362"/>
      <c r="N207" s="363"/>
      <c r="O207" s="359"/>
      <c r="P207" s="359"/>
      <c r="Q207" s="359"/>
      <c r="R207" s="359"/>
      <c r="S207" s="359"/>
      <c r="T207" s="359"/>
      <c r="U207" s="359"/>
    </row>
    <row r="208" spans="1:21" s="342" customFormat="1" ht="15" customHeight="1">
      <c r="A208" s="353"/>
      <c r="B208" s="358"/>
      <c r="C208" s="351" t="s">
        <v>4</v>
      </c>
      <c r="D208" s="355">
        <v>2450</v>
      </c>
      <c r="E208" s="348">
        <f t="shared" si="2"/>
        <v>0</v>
      </c>
      <c r="F208" s="362"/>
      <c r="G208" s="362"/>
      <c r="H208" s="362"/>
      <c r="I208" s="362"/>
      <c r="J208" s="362"/>
      <c r="K208" s="362"/>
      <c r="L208" s="362"/>
      <c r="M208" s="362"/>
      <c r="N208" s="363"/>
      <c r="O208" s="359"/>
      <c r="P208" s="359"/>
      <c r="Q208" s="359"/>
      <c r="R208" s="359"/>
      <c r="S208" s="359"/>
      <c r="T208" s="359"/>
      <c r="U208" s="359"/>
    </row>
    <row r="209" spans="1:21" s="342" customFormat="1" ht="15" customHeight="1">
      <c r="A209" s="353"/>
      <c r="B209" s="358"/>
      <c r="C209" s="352" t="s">
        <v>5</v>
      </c>
      <c r="D209" s="355">
        <v>2450</v>
      </c>
      <c r="E209" s="348"/>
      <c r="F209" s="362"/>
      <c r="G209" s="362"/>
      <c r="H209" s="362"/>
      <c r="I209" s="362"/>
      <c r="J209" s="362"/>
      <c r="K209" s="362"/>
      <c r="L209" s="362"/>
      <c r="M209" s="362"/>
      <c r="N209" s="363"/>
      <c r="O209" s="359"/>
      <c r="P209" s="359"/>
      <c r="Q209" s="359"/>
      <c r="R209" s="359"/>
      <c r="S209" s="359"/>
      <c r="T209" s="359"/>
      <c r="U209" s="359"/>
    </row>
    <row r="210" spans="1:21" s="342" customFormat="1" ht="15" customHeight="1">
      <c r="A210" s="353">
        <v>889925</v>
      </c>
      <c r="B210" s="358" t="s">
        <v>298</v>
      </c>
      <c r="C210" s="351" t="s">
        <v>6</v>
      </c>
      <c r="D210" s="355">
        <v>15193</v>
      </c>
      <c r="E210" s="348">
        <f t="shared" si="2"/>
        <v>0</v>
      </c>
      <c r="F210" s="362"/>
      <c r="G210" s="362"/>
      <c r="H210" s="362"/>
      <c r="I210" s="362"/>
      <c r="J210" s="362"/>
      <c r="K210" s="362"/>
      <c r="L210" s="362"/>
      <c r="M210" s="362"/>
      <c r="N210" s="363"/>
      <c r="O210" s="359"/>
      <c r="P210" s="359"/>
      <c r="Q210" s="359"/>
      <c r="R210" s="359"/>
      <c r="S210" s="359"/>
      <c r="T210" s="359"/>
      <c r="U210" s="359"/>
    </row>
    <row r="211" spans="1:26" s="364" customFormat="1" ht="15" customHeight="1">
      <c r="A211" s="353"/>
      <c r="B211" s="358"/>
      <c r="C211" s="351" t="s">
        <v>4</v>
      </c>
      <c r="D211" s="355">
        <v>15193</v>
      </c>
      <c r="E211" s="348">
        <f t="shared" si="2"/>
        <v>0</v>
      </c>
      <c r="F211" s="362"/>
      <c r="G211" s="362"/>
      <c r="H211" s="362"/>
      <c r="I211" s="362"/>
      <c r="J211" s="362"/>
      <c r="K211" s="362"/>
      <c r="L211" s="362"/>
      <c r="M211" s="362"/>
      <c r="N211" s="363"/>
      <c r="O211" s="359"/>
      <c r="P211" s="359"/>
      <c r="Q211" s="359"/>
      <c r="R211" s="359"/>
      <c r="S211" s="359"/>
      <c r="T211" s="359"/>
      <c r="U211" s="359"/>
      <c r="V211" s="359"/>
      <c r="W211" s="359"/>
      <c r="X211" s="359"/>
      <c r="Y211" s="359"/>
      <c r="Z211" s="359"/>
    </row>
    <row r="212" spans="1:26" s="351" customFormat="1" ht="15" customHeight="1">
      <c r="A212" s="353"/>
      <c r="B212" s="358"/>
      <c r="C212" s="352" t="s">
        <v>5</v>
      </c>
      <c r="D212" s="355">
        <v>15193</v>
      </c>
      <c r="E212" s="355"/>
      <c r="F212" s="362"/>
      <c r="G212" s="362"/>
      <c r="H212" s="362"/>
      <c r="I212" s="362"/>
      <c r="J212" s="362"/>
      <c r="K212" s="362"/>
      <c r="L212" s="362"/>
      <c r="M212" s="362"/>
      <c r="N212" s="363"/>
      <c r="O212" s="359"/>
      <c r="P212" s="359"/>
      <c r="Q212" s="359"/>
      <c r="R212" s="359"/>
      <c r="S212" s="359"/>
      <c r="T212" s="359"/>
      <c r="U212" s="359"/>
      <c r="V212" s="359"/>
      <c r="W212" s="359"/>
      <c r="X212" s="359"/>
      <c r="Y212" s="359"/>
      <c r="Z212" s="359"/>
    </row>
    <row r="213" spans="1:26" s="351" customFormat="1" ht="15" customHeight="1">
      <c r="A213" s="353">
        <v>889926</v>
      </c>
      <c r="B213" s="358" t="s">
        <v>299</v>
      </c>
      <c r="C213" s="351" t="s">
        <v>6</v>
      </c>
      <c r="D213" s="355">
        <v>42677</v>
      </c>
      <c r="E213" s="355">
        <f t="shared" si="2"/>
        <v>34570</v>
      </c>
      <c r="F213" s="362"/>
      <c r="G213" s="362"/>
      <c r="H213" s="362">
        <v>2260</v>
      </c>
      <c r="I213" s="362"/>
      <c r="J213" s="362"/>
      <c r="K213" s="362"/>
      <c r="L213" s="362">
        <v>32310</v>
      </c>
      <c r="M213" s="368"/>
      <c r="N213" s="363"/>
      <c r="O213" s="359"/>
      <c r="P213" s="359"/>
      <c r="Q213" s="359"/>
      <c r="R213" s="359"/>
      <c r="S213" s="359"/>
      <c r="T213" s="359"/>
      <c r="U213" s="359"/>
      <c r="V213" s="359"/>
      <c r="W213" s="359"/>
      <c r="X213" s="359"/>
      <c r="Y213" s="359"/>
      <c r="Z213" s="359"/>
    </row>
    <row r="214" spans="1:21" s="342" customFormat="1" ht="15" customHeight="1">
      <c r="A214" s="365"/>
      <c r="B214" s="346"/>
      <c r="C214" s="351" t="s">
        <v>4</v>
      </c>
      <c r="D214" s="348">
        <v>42677</v>
      </c>
      <c r="E214" s="348">
        <f t="shared" si="2"/>
        <v>45250</v>
      </c>
      <c r="F214" s="366">
        <v>1160</v>
      </c>
      <c r="G214" s="366">
        <v>282</v>
      </c>
      <c r="H214" s="366">
        <v>2260</v>
      </c>
      <c r="I214" s="366"/>
      <c r="J214" s="366"/>
      <c r="K214" s="366"/>
      <c r="L214" s="366">
        <v>41548</v>
      </c>
      <c r="M214" s="376"/>
      <c r="N214" s="367"/>
      <c r="O214" s="359"/>
      <c r="P214" s="359"/>
      <c r="Q214" s="359"/>
      <c r="R214" s="359"/>
      <c r="S214" s="359"/>
      <c r="T214" s="359"/>
      <c r="U214" s="359"/>
    </row>
    <row r="215" spans="1:21" s="342" customFormat="1" ht="15" customHeight="1">
      <c r="A215" s="353"/>
      <c r="B215" s="358"/>
      <c r="C215" s="352" t="s">
        <v>5</v>
      </c>
      <c r="D215" s="355">
        <v>42677</v>
      </c>
      <c r="E215" s="348">
        <f t="shared" si="2"/>
        <v>55012</v>
      </c>
      <c r="F215" s="362">
        <v>1160</v>
      </c>
      <c r="G215" s="362">
        <v>282</v>
      </c>
      <c r="H215" s="362">
        <v>2260</v>
      </c>
      <c r="I215" s="362"/>
      <c r="J215" s="362"/>
      <c r="K215" s="362"/>
      <c r="L215" s="362">
        <v>51310</v>
      </c>
      <c r="M215" s="368"/>
      <c r="N215" s="363"/>
      <c r="O215" s="359"/>
      <c r="P215" s="359"/>
      <c r="Q215" s="359"/>
      <c r="R215" s="359"/>
      <c r="S215" s="359"/>
      <c r="T215" s="359"/>
      <c r="U215" s="359"/>
    </row>
    <row r="216" spans="1:21" s="342" customFormat="1" ht="15" customHeight="1">
      <c r="A216" s="353">
        <v>889942</v>
      </c>
      <c r="B216" s="358" t="s">
        <v>300</v>
      </c>
      <c r="C216" s="351" t="s">
        <v>6</v>
      </c>
      <c r="D216" s="355">
        <v>4500</v>
      </c>
      <c r="E216" s="348">
        <f t="shared" si="2"/>
        <v>2500</v>
      </c>
      <c r="F216" s="362"/>
      <c r="G216" s="362"/>
      <c r="H216" s="362"/>
      <c r="I216" s="362">
        <v>1000</v>
      </c>
      <c r="J216" s="362"/>
      <c r="K216" s="362"/>
      <c r="L216" s="362"/>
      <c r="M216" s="362">
        <v>1500</v>
      </c>
      <c r="N216" s="363"/>
      <c r="O216" s="359"/>
      <c r="P216" s="359"/>
      <c r="Q216" s="359"/>
      <c r="R216" s="359"/>
      <c r="S216" s="359"/>
      <c r="T216" s="359"/>
      <c r="U216" s="359"/>
    </row>
    <row r="217" spans="1:21" s="342" customFormat="1" ht="15" customHeight="1">
      <c r="A217" s="365"/>
      <c r="B217" s="346"/>
      <c r="C217" s="351" t="s">
        <v>4</v>
      </c>
      <c r="D217" s="348">
        <v>4500</v>
      </c>
      <c r="E217" s="348">
        <f t="shared" si="2"/>
        <v>2500</v>
      </c>
      <c r="F217" s="366"/>
      <c r="G217" s="366"/>
      <c r="H217" s="366"/>
      <c r="I217" s="366">
        <v>1000</v>
      </c>
      <c r="J217" s="366"/>
      <c r="K217" s="366"/>
      <c r="L217" s="366"/>
      <c r="M217" s="366">
        <v>1500</v>
      </c>
      <c r="N217" s="367"/>
      <c r="O217" s="359"/>
      <c r="P217" s="359"/>
      <c r="Q217" s="359"/>
      <c r="R217" s="359"/>
      <c r="S217" s="359"/>
      <c r="T217" s="359"/>
      <c r="U217" s="359"/>
    </row>
    <row r="218" spans="1:21" s="342" customFormat="1" ht="15" customHeight="1">
      <c r="A218" s="365"/>
      <c r="B218" s="346"/>
      <c r="C218" s="352" t="s">
        <v>5</v>
      </c>
      <c r="D218" s="348">
        <v>4500</v>
      </c>
      <c r="E218" s="348">
        <f t="shared" si="2"/>
        <v>2500</v>
      </c>
      <c r="F218" s="366"/>
      <c r="G218" s="366"/>
      <c r="H218" s="366"/>
      <c r="I218" s="366">
        <v>1000</v>
      </c>
      <c r="J218" s="366"/>
      <c r="K218" s="366"/>
      <c r="L218" s="366"/>
      <c r="M218" s="366">
        <v>1500</v>
      </c>
      <c r="N218" s="367"/>
      <c r="O218" s="359"/>
      <c r="P218" s="359"/>
      <c r="Q218" s="359"/>
      <c r="R218" s="359"/>
      <c r="S218" s="359"/>
      <c r="T218" s="359"/>
      <c r="U218" s="359"/>
    </row>
    <row r="219" spans="1:21" s="342" customFormat="1" ht="15" customHeight="1">
      <c r="A219" s="365">
        <v>882125</v>
      </c>
      <c r="B219" s="346" t="s">
        <v>301</v>
      </c>
      <c r="C219" s="351" t="s">
        <v>6</v>
      </c>
      <c r="D219" s="348">
        <v>1500</v>
      </c>
      <c r="E219" s="348">
        <f t="shared" si="2"/>
        <v>1500</v>
      </c>
      <c r="F219" s="366"/>
      <c r="G219" s="366"/>
      <c r="H219" s="366"/>
      <c r="I219" s="366"/>
      <c r="J219" s="366">
        <v>1500</v>
      </c>
      <c r="K219" s="366"/>
      <c r="L219" s="366"/>
      <c r="M219" s="366"/>
      <c r="N219" s="367"/>
      <c r="O219" s="359"/>
      <c r="P219" s="359"/>
      <c r="Q219" s="359"/>
      <c r="R219" s="359"/>
      <c r="S219" s="359"/>
      <c r="T219" s="359"/>
      <c r="U219" s="359"/>
    </row>
    <row r="220" spans="1:21" s="342" customFormat="1" ht="15" customHeight="1">
      <c r="A220" s="365"/>
      <c r="B220" s="346"/>
      <c r="C220" s="351" t="s">
        <v>4</v>
      </c>
      <c r="D220" s="348">
        <v>1500</v>
      </c>
      <c r="E220" s="348">
        <f t="shared" si="2"/>
        <v>0</v>
      </c>
      <c r="F220" s="366"/>
      <c r="G220" s="366"/>
      <c r="H220" s="366"/>
      <c r="I220" s="366"/>
      <c r="J220" s="366">
        <v>0</v>
      </c>
      <c r="K220" s="366"/>
      <c r="L220" s="366"/>
      <c r="M220" s="366"/>
      <c r="N220" s="367"/>
      <c r="O220" s="359"/>
      <c r="P220" s="359"/>
      <c r="Q220" s="359"/>
      <c r="R220" s="359"/>
      <c r="S220" s="359"/>
      <c r="T220" s="359"/>
      <c r="U220" s="359"/>
    </row>
    <row r="221" spans="1:21" s="342" customFormat="1" ht="15" customHeight="1">
      <c r="A221" s="365"/>
      <c r="B221" s="346"/>
      <c r="C221" s="352" t="s">
        <v>5</v>
      </c>
      <c r="D221" s="348">
        <v>1500</v>
      </c>
      <c r="E221" s="348"/>
      <c r="F221" s="366"/>
      <c r="G221" s="366"/>
      <c r="H221" s="366"/>
      <c r="I221" s="366"/>
      <c r="J221" s="366"/>
      <c r="K221" s="366"/>
      <c r="L221" s="366"/>
      <c r="M221" s="366"/>
      <c r="N221" s="367"/>
      <c r="O221" s="359"/>
      <c r="P221" s="359"/>
      <c r="Q221" s="359"/>
      <c r="R221" s="359"/>
      <c r="S221" s="359"/>
      <c r="T221" s="359"/>
      <c r="U221" s="359"/>
    </row>
    <row r="222" spans="1:21" s="342" customFormat="1" ht="15" customHeight="1">
      <c r="A222" s="353">
        <v>890216</v>
      </c>
      <c r="B222" s="358" t="s">
        <v>302</v>
      </c>
      <c r="C222" s="351" t="s">
        <v>6</v>
      </c>
      <c r="D222" s="355"/>
      <c r="E222" s="348">
        <f t="shared" si="2"/>
        <v>9180</v>
      </c>
      <c r="F222" s="362"/>
      <c r="G222" s="362">
        <v>135</v>
      </c>
      <c r="H222" s="362">
        <v>5045</v>
      </c>
      <c r="I222" s="362"/>
      <c r="J222" s="362">
        <v>4000</v>
      </c>
      <c r="K222" s="362"/>
      <c r="L222" s="362"/>
      <c r="M222" s="362"/>
      <c r="N222" s="363"/>
      <c r="O222" s="359"/>
      <c r="P222" s="359"/>
      <c r="Q222" s="359"/>
      <c r="R222" s="359"/>
      <c r="S222" s="359"/>
      <c r="T222" s="359"/>
      <c r="U222" s="359"/>
    </row>
    <row r="223" spans="1:21" s="342" customFormat="1" ht="15" customHeight="1">
      <c r="A223" s="353"/>
      <c r="B223" s="358"/>
      <c r="C223" s="351" t="s">
        <v>4</v>
      </c>
      <c r="D223" s="355"/>
      <c r="E223" s="348">
        <f t="shared" si="2"/>
        <v>9180</v>
      </c>
      <c r="F223" s="362"/>
      <c r="G223" s="362">
        <v>135</v>
      </c>
      <c r="H223" s="362">
        <v>5045</v>
      </c>
      <c r="I223" s="362"/>
      <c r="J223" s="362">
        <v>4000</v>
      </c>
      <c r="K223" s="362"/>
      <c r="L223" s="362"/>
      <c r="M223" s="362"/>
      <c r="N223" s="363"/>
      <c r="O223" s="359"/>
      <c r="P223" s="359"/>
      <c r="Q223" s="359"/>
      <c r="R223" s="359"/>
      <c r="S223" s="359"/>
      <c r="T223" s="359"/>
      <c r="U223" s="359"/>
    </row>
    <row r="224" spans="1:21" s="342" customFormat="1" ht="15" customHeight="1">
      <c r="A224" s="353"/>
      <c r="B224" s="358"/>
      <c r="C224" s="352" t="s">
        <v>5</v>
      </c>
      <c r="D224" s="355"/>
      <c r="E224" s="348">
        <f t="shared" si="2"/>
        <v>9180</v>
      </c>
      <c r="F224" s="362"/>
      <c r="G224" s="362">
        <v>135</v>
      </c>
      <c r="H224" s="362">
        <v>5045</v>
      </c>
      <c r="I224" s="362"/>
      <c r="J224" s="362">
        <v>4000</v>
      </c>
      <c r="K224" s="362"/>
      <c r="L224" s="362"/>
      <c r="M224" s="362"/>
      <c r="N224" s="363"/>
      <c r="O224" s="359"/>
      <c r="P224" s="359"/>
      <c r="Q224" s="359"/>
      <c r="R224" s="359"/>
      <c r="S224" s="359"/>
      <c r="T224" s="359"/>
      <c r="U224" s="359"/>
    </row>
    <row r="225" spans="1:21" ht="15" customHeight="1">
      <c r="A225" s="353">
        <v>890441</v>
      </c>
      <c r="B225" s="358" t="s">
        <v>303</v>
      </c>
      <c r="C225" s="351" t="s">
        <v>6</v>
      </c>
      <c r="D225" s="355">
        <v>18600</v>
      </c>
      <c r="E225" s="348">
        <f t="shared" si="2"/>
        <v>22400</v>
      </c>
      <c r="F225" s="356">
        <v>19300</v>
      </c>
      <c r="G225" s="356">
        <v>2600</v>
      </c>
      <c r="H225" s="356">
        <v>500</v>
      </c>
      <c r="I225" s="356"/>
      <c r="J225" s="356"/>
      <c r="K225" s="356"/>
      <c r="L225" s="356"/>
      <c r="M225" s="356"/>
      <c r="N225" s="357"/>
      <c r="O225" s="380"/>
      <c r="P225" s="380"/>
      <c r="Q225" s="380"/>
      <c r="R225" s="380"/>
      <c r="S225" s="380"/>
      <c r="T225" s="380"/>
      <c r="U225" s="380"/>
    </row>
    <row r="226" spans="1:21" ht="15" customHeight="1">
      <c r="A226" s="353"/>
      <c r="B226" s="358"/>
      <c r="C226" s="351" t="s">
        <v>4</v>
      </c>
      <c r="D226" s="355">
        <v>18600</v>
      </c>
      <c r="E226" s="348">
        <f t="shared" si="2"/>
        <v>22400</v>
      </c>
      <c r="F226" s="356">
        <v>19300</v>
      </c>
      <c r="G226" s="356">
        <v>2600</v>
      </c>
      <c r="H226" s="356">
        <v>500</v>
      </c>
      <c r="I226" s="356"/>
      <c r="J226" s="356"/>
      <c r="K226" s="356"/>
      <c r="L226" s="356"/>
      <c r="M226" s="356"/>
      <c r="N226" s="357"/>
      <c r="O226" s="380"/>
      <c r="P226" s="380"/>
      <c r="Q226" s="380"/>
      <c r="R226" s="380"/>
      <c r="S226" s="380"/>
      <c r="T226" s="380"/>
      <c r="U226" s="380"/>
    </row>
    <row r="227" spans="1:21" ht="15" customHeight="1">
      <c r="A227" s="353"/>
      <c r="B227" s="358"/>
      <c r="C227" s="352" t="s">
        <v>5</v>
      </c>
      <c r="D227" s="355">
        <v>18600</v>
      </c>
      <c r="E227" s="348">
        <f t="shared" si="2"/>
        <v>22400</v>
      </c>
      <c r="F227" s="356">
        <v>19300</v>
      </c>
      <c r="G227" s="356">
        <v>2600</v>
      </c>
      <c r="H227" s="356">
        <v>500</v>
      </c>
      <c r="I227" s="356"/>
      <c r="J227" s="356"/>
      <c r="K227" s="356"/>
      <c r="L227" s="356"/>
      <c r="M227" s="356"/>
      <c r="N227" s="357"/>
      <c r="O227" s="380"/>
      <c r="P227" s="380"/>
      <c r="Q227" s="380"/>
      <c r="R227" s="380"/>
      <c r="S227" s="380"/>
      <c r="T227" s="380"/>
      <c r="U227" s="380"/>
    </row>
    <row r="228" spans="1:21" ht="15" customHeight="1">
      <c r="A228" s="353">
        <v>890442</v>
      </c>
      <c r="B228" s="358" t="s">
        <v>304</v>
      </c>
      <c r="C228" s="351" t="s">
        <v>6</v>
      </c>
      <c r="D228" s="355">
        <v>22200</v>
      </c>
      <c r="E228" s="348">
        <f t="shared" si="2"/>
        <v>27600</v>
      </c>
      <c r="F228" s="356">
        <v>23000</v>
      </c>
      <c r="G228" s="356">
        <v>3100</v>
      </c>
      <c r="H228" s="356">
        <v>1500</v>
      </c>
      <c r="I228" s="356"/>
      <c r="J228" s="356"/>
      <c r="K228" s="356"/>
      <c r="L228" s="356"/>
      <c r="M228" s="356"/>
      <c r="N228" s="357"/>
      <c r="O228" s="380"/>
      <c r="P228" s="380"/>
      <c r="Q228" s="380"/>
      <c r="R228" s="380"/>
      <c r="S228" s="380"/>
      <c r="T228" s="380"/>
      <c r="U228" s="380"/>
    </row>
    <row r="229" spans="1:21" ht="15" customHeight="1">
      <c r="A229" s="353"/>
      <c r="B229" s="358"/>
      <c r="C229" s="351" t="s">
        <v>4</v>
      </c>
      <c r="D229" s="355">
        <v>22200</v>
      </c>
      <c r="E229" s="348">
        <f t="shared" si="2"/>
        <v>27600</v>
      </c>
      <c r="F229" s="356">
        <v>23000</v>
      </c>
      <c r="G229" s="356">
        <v>3100</v>
      </c>
      <c r="H229" s="356">
        <v>1500</v>
      </c>
      <c r="I229" s="356"/>
      <c r="J229" s="356"/>
      <c r="K229" s="356"/>
      <c r="L229" s="356"/>
      <c r="M229" s="356"/>
      <c r="N229" s="357"/>
      <c r="O229" s="380"/>
      <c r="P229" s="380"/>
      <c r="Q229" s="380"/>
      <c r="R229" s="380"/>
      <c r="S229" s="380"/>
      <c r="T229" s="380"/>
      <c r="U229" s="380"/>
    </row>
    <row r="230" spans="1:21" ht="15" customHeight="1">
      <c r="A230" s="353"/>
      <c r="B230" s="358"/>
      <c r="C230" s="352" t="s">
        <v>5</v>
      </c>
      <c r="D230" s="355">
        <v>22200</v>
      </c>
      <c r="E230" s="348">
        <f t="shared" si="2"/>
        <v>27600</v>
      </c>
      <c r="F230" s="356">
        <v>23000</v>
      </c>
      <c r="G230" s="356">
        <v>3100</v>
      </c>
      <c r="H230" s="356">
        <v>1500</v>
      </c>
      <c r="I230" s="356"/>
      <c r="J230" s="356"/>
      <c r="K230" s="356"/>
      <c r="L230" s="356"/>
      <c r="M230" s="356"/>
      <c r="N230" s="357"/>
      <c r="O230" s="380"/>
      <c r="P230" s="380"/>
      <c r="Q230" s="380"/>
      <c r="R230" s="380"/>
      <c r="S230" s="380"/>
      <c r="T230" s="380"/>
      <c r="U230" s="380"/>
    </row>
    <row r="231" spans="1:21" s="342" customFormat="1" ht="15" customHeight="1">
      <c r="A231" s="353">
        <v>910501</v>
      </c>
      <c r="B231" s="358" t="s">
        <v>305</v>
      </c>
      <c r="C231" s="351" t="s">
        <v>6</v>
      </c>
      <c r="D231" s="355"/>
      <c r="E231" s="348">
        <f t="shared" si="2"/>
        <v>137990</v>
      </c>
      <c r="F231" s="362"/>
      <c r="G231" s="362"/>
      <c r="H231" s="362">
        <v>815</v>
      </c>
      <c r="I231" s="362">
        <v>134311</v>
      </c>
      <c r="J231" s="362"/>
      <c r="K231" s="362"/>
      <c r="L231" s="362"/>
      <c r="M231" s="362"/>
      <c r="N231" s="363">
        <v>2864</v>
      </c>
      <c r="O231" s="359"/>
      <c r="P231" s="359"/>
      <c r="Q231" s="359"/>
      <c r="R231" s="359"/>
      <c r="S231" s="359"/>
      <c r="T231" s="359"/>
      <c r="U231" s="359"/>
    </row>
    <row r="232" spans="1:21" s="342" customFormat="1" ht="15" customHeight="1">
      <c r="A232" s="353"/>
      <c r="B232" s="358"/>
      <c r="C232" s="351" t="s">
        <v>4</v>
      </c>
      <c r="D232" s="355">
        <v>2000</v>
      </c>
      <c r="E232" s="348">
        <v>135701</v>
      </c>
      <c r="F232" s="362"/>
      <c r="G232" s="362"/>
      <c r="H232" s="362">
        <v>1626</v>
      </c>
      <c r="I232" s="362">
        <v>129211</v>
      </c>
      <c r="J232" s="362"/>
      <c r="K232" s="362"/>
      <c r="L232" s="362"/>
      <c r="M232" s="362">
        <v>2000</v>
      </c>
      <c r="N232" s="363">
        <v>2864</v>
      </c>
      <c r="O232" s="359"/>
      <c r="P232" s="359"/>
      <c r="Q232" s="359"/>
      <c r="R232" s="359"/>
      <c r="S232" s="359"/>
      <c r="T232" s="359"/>
      <c r="U232" s="359"/>
    </row>
    <row r="233" spans="1:21" s="342" customFormat="1" ht="15" customHeight="1">
      <c r="A233" s="353"/>
      <c r="B233" s="358"/>
      <c r="C233" s="352" t="s">
        <v>5</v>
      </c>
      <c r="D233" s="355">
        <v>5000</v>
      </c>
      <c r="E233" s="348">
        <f>SUM(F233:N233)</f>
        <v>140279</v>
      </c>
      <c r="F233" s="362"/>
      <c r="G233" s="362"/>
      <c r="H233" s="362">
        <v>2754</v>
      </c>
      <c r="I233" s="362">
        <v>129661</v>
      </c>
      <c r="J233" s="362"/>
      <c r="K233" s="362"/>
      <c r="L233" s="362">
        <v>2864</v>
      </c>
      <c r="M233" s="362">
        <v>5000</v>
      </c>
      <c r="N233" s="363"/>
      <c r="O233" s="359"/>
      <c r="P233" s="359"/>
      <c r="Q233" s="359"/>
      <c r="R233" s="359"/>
      <c r="S233" s="359"/>
      <c r="T233" s="359"/>
      <c r="U233" s="359"/>
    </row>
    <row r="234" spans="1:21" s="342" customFormat="1" ht="15" customHeight="1">
      <c r="A234" s="353">
        <v>931202</v>
      </c>
      <c r="B234" s="358" t="s">
        <v>306</v>
      </c>
      <c r="C234" s="351" t="s">
        <v>6</v>
      </c>
      <c r="D234" s="355"/>
      <c r="E234" s="348">
        <f t="shared" si="2"/>
        <v>1000</v>
      </c>
      <c r="F234" s="362"/>
      <c r="G234" s="362"/>
      <c r="H234" s="362"/>
      <c r="I234" s="362">
        <v>1000</v>
      </c>
      <c r="J234" s="362"/>
      <c r="K234" s="362"/>
      <c r="L234" s="362"/>
      <c r="M234" s="362"/>
      <c r="N234" s="363"/>
      <c r="O234" s="359"/>
      <c r="P234" s="359"/>
      <c r="Q234" s="359"/>
      <c r="R234" s="359"/>
      <c r="S234" s="359"/>
      <c r="T234" s="359"/>
      <c r="U234" s="359"/>
    </row>
    <row r="235" spans="1:21" s="342" customFormat="1" ht="15" customHeight="1">
      <c r="A235" s="353"/>
      <c r="B235" s="358"/>
      <c r="C235" s="351" t="s">
        <v>4</v>
      </c>
      <c r="D235" s="355"/>
      <c r="E235" s="348">
        <f t="shared" si="2"/>
        <v>1000</v>
      </c>
      <c r="F235" s="362"/>
      <c r="G235" s="362"/>
      <c r="H235" s="362"/>
      <c r="I235" s="362">
        <v>1000</v>
      </c>
      <c r="J235" s="362"/>
      <c r="K235" s="362"/>
      <c r="L235" s="362"/>
      <c r="M235" s="362"/>
      <c r="N235" s="363"/>
      <c r="O235" s="359"/>
      <c r="P235" s="359"/>
      <c r="Q235" s="359"/>
      <c r="R235" s="359"/>
      <c r="S235" s="359"/>
      <c r="T235" s="359"/>
      <c r="U235" s="359"/>
    </row>
    <row r="236" spans="1:21" s="342" customFormat="1" ht="15" customHeight="1">
      <c r="A236" s="353"/>
      <c r="B236" s="358"/>
      <c r="C236" s="352" t="s">
        <v>5</v>
      </c>
      <c r="D236" s="355"/>
      <c r="E236" s="348">
        <f t="shared" si="2"/>
        <v>1000</v>
      </c>
      <c r="F236" s="362"/>
      <c r="G236" s="362"/>
      <c r="H236" s="362"/>
      <c r="I236" s="362">
        <v>1000</v>
      </c>
      <c r="J236" s="362"/>
      <c r="K236" s="362"/>
      <c r="L236" s="362"/>
      <c r="M236" s="362"/>
      <c r="N236" s="363"/>
      <c r="O236" s="359"/>
      <c r="P236" s="359"/>
      <c r="Q236" s="359"/>
      <c r="R236" s="359"/>
      <c r="S236" s="359"/>
      <c r="T236" s="359"/>
      <c r="U236" s="359"/>
    </row>
    <row r="237" spans="1:21" s="342" customFormat="1" ht="15" customHeight="1">
      <c r="A237" s="353">
        <v>931903</v>
      </c>
      <c r="B237" s="358" t="s">
        <v>307</v>
      </c>
      <c r="C237" s="351" t="s">
        <v>6</v>
      </c>
      <c r="D237" s="355"/>
      <c r="E237" s="348">
        <f t="shared" si="2"/>
        <v>17500</v>
      </c>
      <c r="F237" s="362"/>
      <c r="G237" s="362"/>
      <c r="H237" s="362">
        <v>4500</v>
      </c>
      <c r="I237" s="362">
        <v>13000</v>
      </c>
      <c r="J237" s="362"/>
      <c r="K237" s="362"/>
      <c r="L237" s="362"/>
      <c r="M237" s="362"/>
      <c r="N237" s="363"/>
      <c r="O237" s="359"/>
      <c r="P237" s="359"/>
      <c r="Q237" s="359"/>
      <c r="R237" s="359"/>
      <c r="S237" s="359"/>
      <c r="T237" s="359"/>
      <c r="U237" s="359"/>
    </row>
    <row r="238" spans="1:21" s="342" customFormat="1" ht="15" customHeight="1">
      <c r="A238" s="353"/>
      <c r="B238" s="358"/>
      <c r="C238" s="351" t="s">
        <v>4</v>
      </c>
      <c r="D238" s="355"/>
      <c r="E238" s="348">
        <f t="shared" si="2"/>
        <v>17856</v>
      </c>
      <c r="F238" s="362"/>
      <c r="G238" s="362"/>
      <c r="H238" s="362">
        <v>4556</v>
      </c>
      <c r="I238" s="362">
        <v>13300</v>
      </c>
      <c r="J238" s="362"/>
      <c r="K238" s="362"/>
      <c r="L238" s="362"/>
      <c r="M238" s="362"/>
      <c r="N238" s="363"/>
      <c r="O238" s="359"/>
      <c r="P238" s="359"/>
      <c r="Q238" s="359"/>
      <c r="R238" s="359"/>
      <c r="S238" s="359"/>
      <c r="T238" s="359"/>
      <c r="U238" s="359"/>
    </row>
    <row r="239" spans="1:21" s="342" customFormat="1" ht="15" customHeight="1">
      <c r="A239" s="353"/>
      <c r="B239" s="358"/>
      <c r="C239" s="352" t="s">
        <v>5</v>
      </c>
      <c r="D239" s="355">
        <v>136</v>
      </c>
      <c r="E239" s="348">
        <f t="shared" si="2"/>
        <v>72938</v>
      </c>
      <c r="F239" s="362"/>
      <c r="G239" s="362"/>
      <c r="H239" s="362">
        <v>4758</v>
      </c>
      <c r="I239" s="362">
        <v>68180</v>
      </c>
      <c r="J239" s="362"/>
      <c r="K239" s="362"/>
      <c r="L239" s="362"/>
      <c r="M239" s="362"/>
      <c r="N239" s="363"/>
      <c r="O239" s="359"/>
      <c r="P239" s="359"/>
      <c r="Q239" s="359"/>
      <c r="R239" s="359"/>
      <c r="S239" s="359"/>
      <c r="T239" s="359"/>
      <c r="U239" s="359"/>
    </row>
    <row r="240" spans="1:21" s="342" customFormat="1" ht="15" customHeight="1">
      <c r="A240" s="353">
        <v>932911</v>
      </c>
      <c r="B240" s="358" t="s">
        <v>308</v>
      </c>
      <c r="C240" s="351" t="s">
        <v>6</v>
      </c>
      <c r="D240" s="355">
        <v>37700</v>
      </c>
      <c r="E240" s="348">
        <f t="shared" si="2"/>
        <v>18350</v>
      </c>
      <c r="F240" s="362"/>
      <c r="G240" s="362"/>
      <c r="H240" s="362">
        <v>4538</v>
      </c>
      <c r="I240" s="362">
        <v>3198</v>
      </c>
      <c r="J240" s="362"/>
      <c r="K240" s="362"/>
      <c r="L240" s="362"/>
      <c r="M240" s="368"/>
      <c r="N240" s="363">
        <v>10614</v>
      </c>
      <c r="O240" s="359"/>
      <c r="P240" s="359"/>
      <c r="Q240" s="359"/>
      <c r="R240" s="359"/>
      <c r="S240" s="359"/>
      <c r="T240" s="359"/>
      <c r="U240" s="359"/>
    </row>
    <row r="241" spans="1:21" s="342" customFormat="1" ht="15" customHeight="1">
      <c r="A241" s="353"/>
      <c r="B241" s="358"/>
      <c r="C241" s="351" t="s">
        <v>4</v>
      </c>
      <c r="D241" s="355">
        <v>37700</v>
      </c>
      <c r="E241" s="348">
        <f t="shared" si="2"/>
        <v>33591</v>
      </c>
      <c r="F241" s="362"/>
      <c r="G241" s="362"/>
      <c r="H241" s="362">
        <v>4538</v>
      </c>
      <c r="I241" s="362">
        <v>3198</v>
      </c>
      <c r="J241" s="362"/>
      <c r="K241" s="362"/>
      <c r="L241" s="362"/>
      <c r="M241" s="368">
        <v>15241</v>
      </c>
      <c r="N241" s="363">
        <v>10614</v>
      </c>
      <c r="O241" s="359"/>
      <c r="P241" s="359"/>
      <c r="Q241" s="359"/>
      <c r="R241" s="359"/>
      <c r="S241" s="359"/>
      <c r="T241" s="359"/>
      <c r="U241" s="359"/>
    </row>
    <row r="242" spans="1:21" s="342" customFormat="1" ht="15" customHeight="1">
      <c r="A242" s="353"/>
      <c r="B242" s="358"/>
      <c r="C242" s="352" t="s">
        <v>5</v>
      </c>
      <c r="D242" s="355">
        <v>37700</v>
      </c>
      <c r="E242" s="348">
        <f t="shared" si="2"/>
        <v>51831</v>
      </c>
      <c r="F242" s="362"/>
      <c r="G242" s="362"/>
      <c r="H242" s="362">
        <v>20238</v>
      </c>
      <c r="I242" s="362">
        <v>3198</v>
      </c>
      <c r="J242" s="362"/>
      <c r="K242" s="362"/>
      <c r="L242" s="362">
        <v>2540</v>
      </c>
      <c r="M242" s="368">
        <v>15241</v>
      </c>
      <c r="N242" s="363">
        <v>10614</v>
      </c>
      <c r="O242" s="359"/>
      <c r="P242" s="359"/>
      <c r="Q242" s="359"/>
      <c r="R242" s="359"/>
      <c r="S242" s="359"/>
      <c r="T242" s="359"/>
      <c r="U242" s="359"/>
    </row>
    <row r="243" spans="1:21" s="342" customFormat="1" ht="15" customHeight="1">
      <c r="A243" s="353">
        <v>940000</v>
      </c>
      <c r="B243" s="358" t="s">
        <v>309</v>
      </c>
      <c r="C243" s="351" t="s">
        <v>6</v>
      </c>
      <c r="D243" s="355"/>
      <c r="E243" s="348">
        <f t="shared" si="2"/>
        <v>27887</v>
      </c>
      <c r="F243" s="362"/>
      <c r="G243" s="362"/>
      <c r="H243" s="362"/>
      <c r="I243" s="362">
        <v>27887</v>
      </c>
      <c r="J243" s="362"/>
      <c r="K243" s="362"/>
      <c r="L243" s="362"/>
      <c r="M243" s="368"/>
      <c r="N243" s="363"/>
      <c r="O243" s="359"/>
      <c r="P243" s="359"/>
      <c r="Q243" s="359"/>
      <c r="R243" s="359"/>
      <c r="S243" s="359"/>
      <c r="T243" s="359"/>
      <c r="U243" s="359"/>
    </row>
    <row r="244" spans="1:21" s="342" customFormat="1" ht="15" customHeight="1">
      <c r="A244" s="353"/>
      <c r="B244" s="358"/>
      <c r="C244" s="351" t="s">
        <v>4</v>
      </c>
      <c r="D244" s="355"/>
      <c r="E244" s="348">
        <f t="shared" si="2"/>
        <v>27887</v>
      </c>
      <c r="F244" s="362"/>
      <c r="G244" s="362"/>
      <c r="H244" s="362"/>
      <c r="I244" s="362">
        <v>27887</v>
      </c>
      <c r="J244" s="362"/>
      <c r="K244" s="362"/>
      <c r="L244" s="362"/>
      <c r="M244" s="368"/>
      <c r="N244" s="363"/>
      <c r="O244" s="359"/>
      <c r="P244" s="359"/>
      <c r="Q244" s="359"/>
      <c r="R244" s="359"/>
      <c r="S244" s="359"/>
      <c r="T244" s="359"/>
      <c r="U244" s="359"/>
    </row>
    <row r="245" spans="1:21" s="342" customFormat="1" ht="15" customHeight="1">
      <c r="A245" s="353"/>
      <c r="B245" s="358"/>
      <c r="C245" s="352" t="s">
        <v>5</v>
      </c>
      <c r="D245" s="355"/>
      <c r="E245" s="348">
        <f t="shared" si="2"/>
        <v>27887</v>
      </c>
      <c r="F245" s="362"/>
      <c r="G245" s="362"/>
      <c r="H245" s="362"/>
      <c r="I245" s="362">
        <v>27887</v>
      </c>
      <c r="J245" s="362"/>
      <c r="K245" s="362"/>
      <c r="L245" s="362"/>
      <c r="M245" s="368"/>
      <c r="N245" s="363"/>
      <c r="O245" s="359"/>
      <c r="P245" s="359"/>
      <c r="Q245" s="359"/>
      <c r="R245" s="359"/>
      <c r="S245" s="359"/>
      <c r="T245" s="359"/>
      <c r="U245" s="359"/>
    </row>
    <row r="246" spans="1:21" s="342" customFormat="1" ht="15" customHeight="1">
      <c r="A246" s="353">
        <v>960302</v>
      </c>
      <c r="B246" s="358" t="s">
        <v>310</v>
      </c>
      <c r="C246" s="351" t="s">
        <v>6</v>
      </c>
      <c r="D246" s="355">
        <v>8760</v>
      </c>
      <c r="E246" s="348">
        <f t="shared" si="2"/>
        <v>20016</v>
      </c>
      <c r="F246" s="356"/>
      <c r="G246" s="356"/>
      <c r="H246" s="356">
        <v>17860</v>
      </c>
      <c r="I246" s="356">
        <v>156</v>
      </c>
      <c r="J246" s="356"/>
      <c r="K246" s="356"/>
      <c r="L246" s="356"/>
      <c r="M246" s="356"/>
      <c r="N246" s="357">
        <v>2000</v>
      </c>
      <c r="O246" s="359"/>
      <c r="P246" s="359"/>
      <c r="Q246" s="359"/>
      <c r="R246" s="359"/>
      <c r="S246" s="359"/>
      <c r="T246" s="359"/>
      <c r="U246" s="359"/>
    </row>
    <row r="247" spans="1:21" ht="15" customHeight="1">
      <c r="A247" s="381"/>
      <c r="B247" s="382"/>
      <c r="C247" s="351" t="s">
        <v>4</v>
      </c>
      <c r="D247" s="355">
        <v>8760</v>
      </c>
      <c r="E247" s="348">
        <f t="shared" si="2"/>
        <v>20016</v>
      </c>
      <c r="F247" s="383"/>
      <c r="G247" s="383"/>
      <c r="H247" s="362">
        <v>17860</v>
      </c>
      <c r="I247" s="362">
        <v>156</v>
      </c>
      <c r="J247" s="362"/>
      <c r="K247" s="362"/>
      <c r="L247" s="362"/>
      <c r="M247" s="362"/>
      <c r="N247" s="363">
        <v>2000</v>
      </c>
      <c r="O247" s="380"/>
      <c r="P247" s="380"/>
      <c r="Q247" s="380"/>
      <c r="R247" s="380"/>
      <c r="S247" s="380"/>
      <c r="T247" s="380"/>
      <c r="U247" s="380"/>
    </row>
    <row r="248" spans="1:21" ht="15" customHeight="1">
      <c r="A248" s="384"/>
      <c r="B248" s="385"/>
      <c r="C248" s="352" t="s">
        <v>5</v>
      </c>
      <c r="D248" s="371">
        <v>8760</v>
      </c>
      <c r="E248" s="348">
        <f t="shared" si="2"/>
        <v>20316</v>
      </c>
      <c r="F248" s="386"/>
      <c r="G248" s="386"/>
      <c r="H248" s="372">
        <v>17860</v>
      </c>
      <c r="I248" s="372">
        <v>456</v>
      </c>
      <c r="J248" s="372"/>
      <c r="K248" s="372"/>
      <c r="L248" s="372"/>
      <c r="M248" s="372"/>
      <c r="N248" s="373">
        <v>2000</v>
      </c>
      <c r="O248" s="380"/>
      <c r="P248" s="380"/>
      <c r="Q248" s="380"/>
      <c r="R248" s="380"/>
      <c r="S248" s="380"/>
      <c r="T248" s="380"/>
      <c r="U248" s="380"/>
    </row>
    <row r="249" spans="1:21" ht="15" customHeight="1">
      <c r="A249" s="381" t="s">
        <v>107</v>
      </c>
      <c r="B249" s="381"/>
      <c r="C249" s="387" t="s">
        <v>3</v>
      </c>
      <c r="D249" s="383">
        <f>D9+D12+D15+D21+D24+D39+D42+D54+D57+D60+D63+D69+D78+D90+D96+D102+D111+D120+D132+D138+D156+D159+D162+D168+D174+D177+D195+D204+D207+D210+D213+D216+D219+D225+D228+D240+D246</f>
        <v>7850803</v>
      </c>
      <c r="E249" s="383">
        <f>E9+E12+E15+E18+E21+E24+E27+E30+E33+E36+E39+E42+E45+E48+E51+E54+E57+E60+E63+E66+E69+E72+E75+E78+E81+E84+E87+E90+E93+E96+E99+E102+E105+E108+E111+E114+E117+E120+E123+E126+E129+E132+E135+E138+E141+E144+E147+E150+E153+E156+E159+E162+E165+E168+E171+E174+E177+E180+E183+E186+E189+E192+E195+E198+E201+E204+E207+E210+E213+E216+E219+E222+E225+E228+E231+E234+E237+E240+E243+E246</f>
        <v>5896985</v>
      </c>
      <c r="F249" s="383">
        <f>F36+F72+F93+F111+F135+F225+F228</f>
        <v>54748</v>
      </c>
      <c r="G249" s="383">
        <f>G36+G66+G72+G75+G93+G111+G114+G168+G171+G222+G225+G228</f>
        <v>19514</v>
      </c>
      <c r="H249" s="383">
        <f>H9+H12+H15+H18+H24+H27+H30+H33+H36+H39+H42+H45+H48+H51+H54+H63+H66+H69+H72+H75+H78+H84+H87+H90+H93+H99+H102+H111+H114+H117+H123+H126+H138+H141+H144+H213+H222+H225+H228+H231+H237+H240+H246</f>
        <v>649120</v>
      </c>
      <c r="I249" s="383">
        <f>I9+I12+I15+I18+I21+I24+I27+I30+I42+I45+I48+I78+I81+I90+I93+I102+I111+I120+I129+I132+I147+I150+I153+I189+I204+I216+I231+I234+I237+I240+I243+I246</f>
        <v>416514</v>
      </c>
      <c r="J249" s="383">
        <f>J153+J156+J159+J162+J165+J168+J171+J174+J177+J180+J183+J186+J192+J195+J198+J201+J219+J222</f>
        <v>201850</v>
      </c>
      <c r="K249" s="383">
        <f>K15+K21</f>
        <v>32851</v>
      </c>
      <c r="L249" s="383">
        <f>L21+L24+L144+L213</f>
        <v>1533282</v>
      </c>
      <c r="M249" s="383">
        <f>M90+M102+M216</f>
        <v>138015</v>
      </c>
      <c r="N249" s="388">
        <f>N12+N15+N21+N24+N51+N63+N78+N84+N90+N93+N105+N108+N120+N132+N231+N240+N246</f>
        <v>2851091</v>
      </c>
      <c r="O249" s="380"/>
      <c r="P249" s="380"/>
      <c r="Q249" s="380"/>
      <c r="R249" s="380"/>
      <c r="S249" s="380"/>
      <c r="T249" s="380"/>
      <c r="U249" s="380"/>
    </row>
    <row r="250" spans="1:21" s="390" customFormat="1" ht="15" customHeight="1">
      <c r="A250" s="381" t="s">
        <v>107</v>
      </c>
      <c r="B250" s="381"/>
      <c r="C250" s="389" t="s">
        <v>4</v>
      </c>
      <c r="D250" s="383">
        <v>7603629</v>
      </c>
      <c r="E250" s="383">
        <f>E10+E13+E16+E19+E22+E25+E28+E31+E34+E37+E40+E43+E46+E49+E52+E55+E58+E61+E64+E67+E70+E73+E76+E79+E82+E85+E88+E91+E94+E97+E100+E103+E106+E109+E112+E115+E118+E121+E124+E127+E130+E133+E136+E139+E142+E145+E148+E151+E154+E157+E160+E163+E166+E169+E172+E175+E178+E181+E184+E187+E190+E193+E196+E199+E202+E205+E208+E211+E214+E217+E220+E223+E226+E229+E232+E235+E238+E241+E244+E247</f>
        <v>5472176</v>
      </c>
      <c r="F250" s="383">
        <v>56212</v>
      </c>
      <c r="G250" s="383">
        <v>12910</v>
      </c>
      <c r="H250" s="383">
        <v>651191</v>
      </c>
      <c r="I250" s="383">
        <v>410118</v>
      </c>
      <c r="J250" s="383">
        <f>J154+J157+J160+J163+J166+J169+J172+J175+J178+J181+J184+J187+J193+J196+J199+J202+J220+J223</f>
        <v>60950</v>
      </c>
      <c r="K250" s="383">
        <f>K16+K22</f>
        <v>37192</v>
      </c>
      <c r="L250" s="383">
        <v>1634497</v>
      </c>
      <c r="M250" s="383">
        <v>155256</v>
      </c>
      <c r="N250" s="388">
        <v>2453850</v>
      </c>
      <c r="O250" s="380"/>
      <c r="P250" s="380"/>
      <c r="Q250" s="380"/>
      <c r="R250" s="380"/>
      <c r="S250" s="380"/>
      <c r="T250" s="380"/>
      <c r="U250" s="380"/>
    </row>
    <row r="251" spans="1:21" ht="15" customHeight="1">
      <c r="A251" s="391" t="s">
        <v>107</v>
      </c>
      <c r="B251" s="391"/>
      <c r="C251" s="16" t="s">
        <v>5</v>
      </c>
      <c r="D251" s="392">
        <f>SUM(D11+D14+D17+D23+D26+D41+D44+D56+D59+D62+D65+D71+D80+D92+D98+D104+D113+D122+D134+D140+D158+D161+D164+D170+D176+D179+D197+D206+D209+D212+D215+D218+D221+D227+D230+D233+D239+D242+D248+D74)</f>
        <v>7671582</v>
      </c>
      <c r="E251" s="393">
        <f>E11+E14+E17+E20+E23+E26+E29+E32+E35+E38+E41+E44+E47+E50+E53+E56+E59+E62+E65+E68+E71+E74+E77+E80+E83+E86+E89+E92+E95+E98+E101+E104+E107+E110+E113+E116+E119+E122+E125+E128+E131+E134+E137+E140+E143+E146+E149+E152+E155+E158+E161+E164+E167+E170+E173+E176+E179+E182+E185+E188+E191+E194+E197+E200+E203+E206+E209+E212+E215+E218+E221+E224+E227+E230+E233+E236+E239+E242+E245+E248</f>
        <v>5519801</v>
      </c>
      <c r="F251" s="392">
        <f>SUM(F23+F26+F38+F74+F95+F113+F137+F215+F227+F230)</f>
        <v>60090</v>
      </c>
      <c r="G251" s="392">
        <f>SUM(G23+G26+G38+G68+G74+G77+G95+G113+G116+G173+G215+G224+G227+G230)</f>
        <v>13852</v>
      </c>
      <c r="H251" s="392">
        <f>SUM(H11+H14+H17+H20+H26+H29+H32+H35+H38+H41+H44+H47+H50+H53+H56+H65+H68+H71+H74+H77+H80+H86+H89+H92+H95+H101+H104+H113+H116+H119+H125+H128+H134+H140+H143+H146+H155+H215+H224+H227+H230+H233+H239+H242+H248+H23)</f>
        <v>682680</v>
      </c>
      <c r="I251" s="392">
        <f>SUM(I11+I14+I17+I20+I23+I26+I29+I32+I38+I44+I47+I50+I56+I80+I83+I92+I95+I104+I113+I122+I131+I134+I149+I152+I155+I191+I206+I218+I233+I236+I239+I242+I245+I248)</f>
        <v>471747</v>
      </c>
      <c r="J251" s="393">
        <f>J155+J158+J161+J164+J167+J170+J173+J176+J179+J182+J185+J188+J194+J197+J200+J203+J221+J224</f>
        <v>60950</v>
      </c>
      <c r="K251" s="393">
        <f>K17+K23</f>
        <v>55526</v>
      </c>
      <c r="L251" s="392">
        <f>SUM(L17+L23+L26+L56+L65+L86+L92+L95+L140+L146+L206+L215+L233+L242)</f>
        <v>1634186</v>
      </c>
      <c r="M251" s="392">
        <f>SUM(M80+M92+M104+M218+M233+M242)</f>
        <v>196872</v>
      </c>
      <c r="N251" s="394">
        <f>SUM(N14+N17+N23+N26+N53+N59+N65+N80+N86+N92+N95+N107+N110+N122+N134+N242+N248)</f>
        <v>2343898</v>
      </c>
      <c r="O251" s="380"/>
      <c r="P251" s="380"/>
      <c r="Q251" s="380"/>
      <c r="R251" s="380"/>
      <c r="S251" s="380"/>
      <c r="T251" s="380"/>
      <c r="U251" s="380"/>
    </row>
  </sheetData>
  <sheetProtection selectLockedCells="1" selectUnlockedCells="1"/>
  <mergeCells count="20">
    <mergeCell ref="A1:B1"/>
    <mergeCell ref="A3:N3"/>
    <mergeCell ref="A4:N4"/>
    <mergeCell ref="A6:C8"/>
    <mergeCell ref="D6:D8"/>
    <mergeCell ref="E6:E8"/>
    <mergeCell ref="F6:J6"/>
    <mergeCell ref="K6:L6"/>
    <mergeCell ref="M6:M8"/>
    <mergeCell ref="N6:N8"/>
    <mergeCell ref="F7:F8"/>
    <mergeCell ref="G7:G8"/>
    <mergeCell ref="H7:H8"/>
    <mergeCell ref="I7:I8"/>
    <mergeCell ref="J7:J8"/>
    <mergeCell ref="K7:K8"/>
    <mergeCell ref="L7:L8"/>
    <mergeCell ref="A249:B249"/>
    <mergeCell ref="A250:B250"/>
    <mergeCell ref="A251:B251"/>
  </mergeCells>
  <printOptions horizontalCentered="1"/>
  <pageMargins left="0.39375" right="0.39375" top="0.47986111111111107" bottom="0.15763888888888888" header="0.2298611111111111" footer="0.5118055555555555"/>
  <pageSetup horizontalDpi="300" verticalDpi="300" orientation="landscape" paperSize="9" scale="60"/>
  <headerFooter alignWithMargins="0">
    <oddHeader>&amp;L&amp;8 5.1 melléklet a 24/2012.(VIII.31.) önkormányzati rendelethez
"5.1 melléklet a 3/2012.(II.16.)önkormányzati rendelethez"</oddHeader>
  </headerFooter>
  <rowBreaks count="1" manualBreakCount="1">
    <brk id="17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85"/>
  <sheetViews>
    <sheetView view="pageBreakPreview" zoomScaleSheetLayoutView="100" workbookViewId="0" topLeftCell="B64">
      <selection activeCell="C69" sqref="C69"/>
    </sheetView>
  </sheetViews>
  <sheetFormatPr defaultColWidth="9.00390625" defaultRowHeight="12.75"/>
  <cols>
    <col min="1" max="1" width="8.00390625" style="327" customWidth="1"/>
    <col min="2" max="2" width="65.00390625" style="328" customWidth="1"/>
    <col min="3" max="3" width="11.25390625" style="329" customWidth="1"/>
    <col min="4" max="4" width="9.25390625" style="330" customWidth="1"/>
    <col min="5" max="5" width="9.00390625" style="328" customWidth="1"/>
    <col min="6" max="6" width="9.875" style="328" customWidth="1"/>
    <col min="7" max="7" width="8.75390625" style="328" customWidth="1"/>
    <col min="8" max="8" width="9.625" style="328" customWidth="1"/>
    <col min="9" max="9" width="9.375" style="328" customWidth="1"/>
    <col min="10" max="10" width="10.125" style="328" customWidth="1"/>
    <col min="11" max="11" width="9.375" style="328" customWidth="1"/>
    <col min="12" max="12" width="9.125" style="328" customWidth="1"/>
    <col min="13" max="13" width="8.875" style="331" customWidth="1"/>
    <col min="14" max="14" width="10.875" style="328" customWidth="1"/>
    <col min="15" max="16384" width="9.125" style="328" customWidth="1"/>
  </cols>
  <sheetData>
    <row r="1" spans="6:14" ht="12.75">
      <c r="F1" s="327"/>
      <c r="G1" s="327"/>
      <c r="H1" s="327"/>
      <c r="I1" s="327"/>
      <c r="J1" s="327"/>
      <c r="K1" s="327"/>
      <c r="L1" s="327"/>
      <c r="M1" s="395"/>
      <c r="N1" s="327"/>
    </row>
    <row r="2" spans="1:2" ht="12.75">
      <c r="A2" s="332"/>
      <c r="B2" s="332"/>
    </row>
    <row r="4" spans="1:14" ht="14.25" customHeight="1">
      <c r="A4" s="333" t="s">
        <v>311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</row>
    <row r="5" spans="1:14" ht="15">
      <c r="A5" s="334"/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</row>
    <row r="6" spans="12:14" ht="13.5">
      <c r="L6" s="330"/>
      <c r="M6" s="335"/>
      <c r="N6" s="335" t="s">
        <v>218</v>
      </c>
    </row>
    <row r="7" spans="1:14" ht="13.5" customHeight="1">
      <c r="A7" s="336" t="s">
        <v>219</v>
      </c>
      <c r="B7" s="336"/>
      <c r="C7" s="336"/>
      <c r="D7" s="337" t="s">
        <v>220</v>
      </c>
      <c r="E7" s="338" t="s">
        <v>221</v>
      </c>
      <c r="F7" s="339" t="s">
        <v>222</v>
      </c>
      <c r="G7" s="339"/>
      <c r="H7" s="339"/>
      <c r="I7" s="339"/>
      <c r="J7" s="339"/>
      <c r="K7" s="339" t="s">
        <v>223</v>
      </c>
      <c r="L7" s="339"/>
      <c r="M7" s="340" t="s">
        <v>224</v>
      </c>
      <c r="N7" s="341" t="s">
        <v>225</v>
      </c>
    </row>
    <row r="8" spans="1:14" ht="14.25" customHeight="1">
      <c r="A8" s="336"/>
      <c r="B8" s="336"/>
      <c r="C8" s="336"/>
      <c r="D8" s="337"/>
      <c r="E8" s="338"/>
      <c r="F8" s="343" t="s">
        <v>226</v>
      </c>
      <c r="G8" s="343" t="s">
        <v>227</v>
      </c>
      <c r="H8" s="343" t="s">
        <v>228</v>
      </c>
      <c r="I8" s="343" t="s">
        <v>229</v>
      </c>
      <c r="J8" s="343" t="s">
        <v>230</v>
      </c>
      <c r="K8" s="344" t="s">
        <v>112</v>
      </c>
      <c r="L8" s="344" t="s">
        <v>110</v>
      </c>
      <c r="M8" s="340"/>
      <c r="N8" s="341"/>
    </row>
    <row r="9" spans="1:14" ht="39" customHeight="1">
      <c r="A9" s="336"/>
      <c r="B9" s="336"/>
      <c r="C9" s="336"/>
      <c r="D9" s="337"/>
      <c r="E9" s="338"/>
      <c r="F9" s="343"/>
      <c r="G9" s="343"/>
      <c r="H9" s="343"/>
      <c r="I9" s="343"/>
      <c r="J9" s="343"/>
      <c r="K9" s="344"/>
      <c r="L9" s="344"/>
      <c r="M9" s="340"/>
      <c r="N9" s="341"/>
    </row>
    <row r="10" spans="1:14" ht="15" customHeight="1">
      <c r="A10" s="345" t="s">
        <v>312</v>
      </c>
      <c r="B10" s="346" t="s">
        <v>313</v>
      </c>
      <c r="C10" s="347" t="s">
        <v>6</v>
      </c>
      <c r="D10" s="348">
        <v>2500</v>
      </c>
      <c r="E10" s="348">
        <f>SUM(F10:N10)</f>
        <v>3556</v>
      </c>
      <c r="F10" s="349"/>
      <c r="G10" s="349"/>
      <c r="H10" s="349">
        <v>3556</v>
      </c>
      <c r="I10" s="349"/>
      <c r="J10" s="349"/>
      <c r="K10" s="349"/>
      <c r="L10" s="349"/>
      <c r="M10" s="349"/>
      <c r="N10" s="350"/>
    </row>
    <row r="11" spans="1:14" ht="15" customHeight="1">
      <c r="A11" s="345"/>
      <c r="B11" s="346"/>
      <c r="C11" s="351" t="s">
        <v>4</v>
      </c>
      <c r="D11" s="348">
        <v>2500</v>
      </c>
      <c r="E11" s="348">
        <v>3556</v>
      </c>
      <c r="F11" s="349"/>
      <c r="G11" s="349"/>
      <c r="H11" s="349">
        <v>3556</v>
      </c>
      <c r="I11" s="349"/>
      <c r="J11" s="349"/>
      <c r="K11" s="349"/>
      <c r="L11" s="349"/>
      <c r="M11" s="349"/>
      <c r="N11" s="350"/>
    </row>
    <row r="12" spans="1:14" ht="15" customHeight="1">
      <c r="A12" s="345"/>
      <c r="B12" s="346"/>
      <c r="C12" s="375" t="s">
        <v>5</v>
      </c>
      <c r="D12" s="348">
        <v>2500</v>
      </c>
      <c r="E12" s="348">
        <f>SUM(F12:N12)</f>
        <v>3556</v>
      </c>
      <c r="F12" s="349"/>
      <c r="G12" s="349"/>
      <c r="H12" s="349">
        <v>3556</v>
      </c>
      <c r="I12" s="349"/>
      <c r="J12" s="349"/>
      <c r="K12" s="349"/>
      <c r="L12" s="349"/>
      <c r="M12" s="349"/>
      <c r="N12" s="350"/>
    </row>
    <row r="13" spans="1:14" ht="15" customHeight="1">
      <c r="A13" s="353">
        <v>770000</v>
      </c>
      <c r="B13" s="354" t="s">
        <v>314</v>
      </c>
      <c r="C13" s="351" t="s">
        <v>6</v>
      </c>
      <c r="D13" s="355"/>
      <c r="E13" s="348">
        <f>SUM(F13:N13)</f>
        <v>4100</v>
      </c>
      <c r="F13" s="356"/>
      <c r="G13" s="356"/>
      <c r="H13" s="356">
        <v>4100</v>
      </c>
      <c r="I13" s="356"/>
      <c r="J13" s="356"/>
      <c r="K13" s="356"/>
      <c r="L13" s="356"/>
      <c r="M13" s="356"/>
      <c r="N13" s="357"/>
    </row>
    <row r="14" spans="1:14" ht="15" customHeight="1">
      <c r="A14" s="353"/>
      <c r="B14" s="354"/>
      <c r="C14" s="351" t="s">
        <v>4</v>
      </c>
      <c r="D14" s="355"/>
      <c r="E14" s="348">
        <v>4100</v>
      </c>
      <c r="F14" s="356"/>
      <c r="G14" s="356"/>
      <c r="H14" s="356">
        <v>4100</v>
      </c>
      <c r="I14" s="356"/>
      <c r="J14" s="356"/>
      <c r="K14" s="356"/>
      <c r="L14" s="356"/>
      <c r="M14" s="356"/>
      <c r="N14" s="357"/>
    </row>
    <row r="15" spans="1:14" ht="15" customHeight="1">
      <c r="A15" s="353"/>
      <c r="B15" s="354"/>
      <c r="C15" s="375" t="s">
        <v>5</v>
      </c>
      <c r="D15" s="355"/>
      <c r="E15" s="348">
        <f>SUM(F15:N15)</f>
        <v>4100</v>
      </c>
      <c r="F15" s="356"/>
      <c r="G15" s="356"/>
      <c r="H15" s="356">
        <v>4100</v>
      </c>
      <c r="I15" s="356"/>
      <c r="J15" s="356"/>
      <c r="K15" s="356"/>
      <c r="L15" s="356"/>
      <c r="M15" s="356"/>
      <c r="N15" s="357"/>
    </row>
    <row r="16" spans="1:14" ht="15" customHeight="1">
      <c r="A16" s="353">
        <v>821000</v>
      </c>
      <c r="B16" s="358" t="s">
        <v>315</v>
      </c>
      <c r="C16" s="351" t="s">
        <v>6</v>
      </c>
      <c r="D16" s="355"/>
      <c r="E16" s="348">
        <f>SUM(F16:N16)</f>
        <v>4500</v>
      </c>
      <c r="F16" s="356"/>
      <c r="G16" s="356"/>
      <c r="H16" s="356">
        <v>4500</v>
      </c>
      <c r="I16" s="356"/>
      <c r="J16" s="356"/>
      <c r="K16" s="356"/>
      <c r="L16" s="356"/>
      <c r="M16" s="356"/>
      <c r="N16" s="357"/>
    </row>
    <row r="17" spans="1:14" ht="15" customHeight="1">
      <c r="A17" s="353"/>
      <c r="B17" s="358"/>
      <c r="C17" s="351" t="s">
        <v>4</v>
      </c>
      <c r="D17" s="355"/>
      <c r="E17" s="348">
        <v>4500</v>
      </c>
      <c r="F17" s="356"/>
      <c r="G17" s="356"/>
      <c r="H17" s="356">
        <v>4500</v>
      </c>
      <c r="I17" s="356"/>
      <c r="J17" s="356"/>
      <c r="K17" s="356"/>
      <c r="L17" s="356"/>
      <c r="M17" s="356"/>
      <c r="N17" s="357"/>
    </row>
    <row r="18" spans="1:14" ht="15" customHeight="1">
      <c r="A18" s="353"/>
      <c r="B18" s="358"/>
      <c r="C18" s="375" t="s">
        <v>5</v>
      </c>
      <c r="D18" s="355"/>
      <c r="E18" s="348">
        <f>SUM(F18:N18)</f>
        <v>4500</v>
      </c>
      <c r="F18" s="356"/>
      <c r="G18" s="356"/>
      <c r="H18" s="356">
        <v>4500</v>
      </c>
      <c r="I18" s="356"/>
      <c r="J18" s="356"/>
      <c r="K18" s="356"/>
      <c r="L18" s="356"/>
      <c r="M18" s="356"/>
      <c r="N18" s="357"/>
    </row>
    <row r="19" spans="1:14" ht="15" customHeight="1">
      <c r="A19" s="353">
        <v>841112</v>
      </c>
      <c r="B19" s="358" t="s">
        <v>316</v>
      </c>
      <c r="C19" s="351" t="s">
        <v>6</v>
      </c>
      <c r="D19" s="355"/>
      <c r="E19" s="348">
        <f>SUM(F19:N19)</f>
        <v>49299</v>
      </c>
      <c r="F19" s="356">
        <v>39028</v>
      </c>
      <c r="G19" s="356">
        <v>10175</v>
      </c>
      <c r="H19" s="356">
        <v>96</v>
      </c>
      <c r="I19" s="356"/>
      <c r="J19" s="356"/>
      <c r="K19" s="356"/>
      <c r="L19" s="356"/>
      <c r="M19" s="356"/>
      <c r="N19" s="357"/>
    </row>
    <row r="20" spans="1:14" ht="15" customHeight="1">
      <c r="A20" s="353"/>
      <c r="B20" s="358"/>
      <c r="C20" s="351" t="s">
        <v>4</v>
      </c>
      <c r="D20" s="355"/>
      <c r="E20" s="348">
        <v>49299</v>
      </c>
      <c r="F20" s="356">
        <v>39028</v>
      </c>
      <c r="G20" s="356">
        <v>10175</v>
      </c>
      <c r="H20" s="356">
        <v>96</v>
      </c>
      <c r="I20" s="356"/>
      <c r="J20" s="356"/>
      <c r="K20" s="356"/>
      <c r="L20" s="356"/>
      <c r="M20" s="356"/>
      <c r="N20" s="357"/>
    </row>
    <row r="21" spans="1:14" ht="15" customHeight="1">
      <c r="A21" s="353"/>
      <c r="B21" s="358"/>
      <c r="C21" s="375" t="s">
        <v>5</v>
      </c>
      <c r="D21" s="355"/>
      <c r="E21" s="348">
        <f>SUM(F21:N21)</f>
        <v>49299</v>
      </c>
      <c r="F21" s="356">
        <v>39028</v>
      </c>
      <c r="G21" s="356">
        <v>10175</v>
      </c>
      <c r="H21" s="356">
        <v>96</v>
      </c>
      <c r="I21" s="356"/>
      <c r="J21" s="356"/>
      <c r="K21" s="356"/>
      <c r="L21" s="356"/>
      <c r="M21" s="356"/>
      <c r="N21" s="357"/>
    </row>
    <row r="22" spans="1:14" ht="15" customHeight="1">
      <c r="A22" s="353">
        <v>841126</v>
      </c>
      <c r="B22" s="358" t="s">
        <v>317</v>
      </c>
      <c r="C22" s="351" t="s">
        <v>6</v>
      </c>
      <c r="D22" s="355">
        <v>21740</v>
      </c>
      <c r="E22" s="348">
        <f>SUM(F22:N22)</f>
        <v>403799</v>
      </c>
      <c r="F22" s="356">
        <v>206306</v>
      </c>
      <c r="G22" s="356">
        <v>54814</v>
      </c>
      <c r="H22" s="356">
        <v>142679</v>
      </c>
      <c r="I22" s="356"/>
      <c r="J22" s="356"/>
      <c r="K22" s="356"/>
      <c r="L22" s="356"/>
      <c r="M22" s="356"/>
      <c r="N22" s="357"/>
    </row>
    <row r="23" spans="1:14" ht="15" customHeight="1">
      <c r="A23" s="353"/>
      <c r="B23" s="358"/>
      <c r="C23" s="351" t="s">
        <v>4</v>
      </c>
      <c r="D23" s="355">
        <v>484103</v>
      </c>
      <c r="E23" s="348">
        <v>868710</v>
      </c>
      <c r="F23" s="356">
        <v>216859</v>
      </c>
      <c r="G23" s="356">
        <v>57663</v>
      </c>
      <c r="H23" s="356">
        <v>142681</v>
      </c>
      <c r="I23" s="356">
        <v>451507</v>
      </c>
      <c r="J23" s="356"/>
      <c r="K23" s="356"/>
      <c r="L23" s="356"/>
      <c r="M23" s="356"/>
      <c r="N23" s="357"/>
    </row>
    <row r="24" spans="1:14" ht="15" customHeight="1">
      <c r="A24" s="353"/>
      <c r="B24" s="358"/>
      <c r="C24" s="375" t="s">
        <v>5</v>
      </c>
      <c r="D24" s="355">
        <v>484103</v>
      </c>
      <c r="E24" s="348">
        <f>SUM(F24:N24)</f>
        <v>866698</v>
      </c>
      <c r="F24" s="356">
        <v>217536</v>
      </c>
      <c r="G24" s="356">
        <v>57784</v>
      </c>
      <c r="H24" s="356">
        <v>139871</v>
      </c>
      <c r="I24" s="356">
        <v>451507</v>
      </c>
      <c r="J24" s="356"/>
      <c r="K24" s="356"/>
      <c r="L24" s="356"/>
      <c r="M24" s="356"/>
      <c r="N24" s="357"/>
    </row>
    <row r="25" spans="1:14" ht="15" customHeight="1">
      <c r="A25" s="353">
        <v>841133</v>
      </c>
      <c r="B25" s="358" t="s">
        <v>249</v>
      </c>
      <c r="C25" s="351" t="s">
        <v>6</v>
      </c>
      <c r="D25" s="355"/>
      <c r="E25" s="348">
        <f>SUM(F25:N25)</f>
        <v>47562</v>
      </c>
      <c r="F25" s="356">
        <v>37592</v>
      </c>
      <c r="G25" s="356">
        <v>9746</v>
      </c>
      <c r="H25" s="356">
        <v>224</v>
      </c>
      <c r="I25" s="356"/>
      <c r="J25" s="356"/>
      <c r="K25" s="356"/>
      <c r="L25" s="356"/>
      <c r="M25" s="356"/>
      <c r="N25" s="357"/>
    </row>
    <row r="26" spans="1:14" ht="15" customHeight="1">
      <c r="A26" s="353"/>
      <c r="B26" s="358"/>
      <c r="C26" s="351" t="s">
        <v>4</v>
      </c>
      <c r="D26" s="355"/>
      <c r="E26" s="348">
        <v>47812</v>
      </c>
      <c r="F26" s="356">
        <v>37787</v>
      </c>
      <c r="G26" s="356">
        <v>9801</v>
      </c>
      <c r="H26" s="356">
        <v>224</v>
      </c>
      <c r="I26" s="356"/>
      <c r="J26" s="356"/>
      <c r="K26" s="356"/>
      <c r="L26" s="356"/>
      <c r="M26" s="356"/>
      <c r="N26" s="357"/>
    </row>
    <row r="27" spans="1:14" ht="15" customHeight="1">
      <c r="A27" s="353"/>
      <c r="B27" s="358"/>
      <c r="C27" s="375" t="s">
        <v>5</v>
      </c>
      <c r="D27" s="355"/>
      <c r="E27" s="348">
        <f>SUM(F27:N27)</f>
        <v>47812</v>
      </c>
      <c r="F27" s="356">
        <v>37787</v>
      </c>
      <c r="G27" s="356">
        <v>9801</v>
      </c>
      <c r="H27" s="356">
        <v>224</v>
      </c>
      <c r="I27" s="356"/>
      <c r="J27" s="356"/>
      <c r="K27" s="356"/>
      <c r="L27" s="356"/>
      <c r="M27" s="356"/>
      <c r="N27" s="357"/>
    </row>
    <row r="28" spans="1:14" ht="15" customHeight="1">
      <c r="A28" s="353">
        <v>841154</v>
      </c>
      <c r="B28" s="358" t="s">
        <v>318</v>
      </c>
      <c r="C28" s="375" t="s">
        <v>6</v>
      </c>
      <c r="D28" s="355"/>
      <c r="E28" s="348"/>
      <c r="F28" s="356"/>
      <c r="G28" s="356"/>
      <c r="H28" s="356"/>
      <c r="I28" s="356"/>
      <c r="J28" s="356"/>
      <c r="K28" s="356"/>
      <c r="L28" s="356"/>
      <c r="M28" s="356"/>
      <c r="N28" s="357"/>
    </row>
    <row r="29" spans="1:14" ht="15" customHeight="1">
      <c r="A29" s="353"/>
      <c r="B29" s="358"/>
      <c r="C29" s="375" t="s">
        <v>109</v>
      </c>
      <c r="D29" s="355"/>
      <c r="E29" s="348"/>
      <c r="F29" s="356"/>
      <c r="G29" s="356"/>
      <c r="H29" s="356"/>
      <c r="I29" s="356"/>
      <c r="J29" s="356"/>
      <c r="K29" s="356"/>
      <c r="L29" s="356"/>
      <c r="M29" s="356"/>
      <c r="N29" s="357"/>
    </row>
    <row r="30" spans="1:14" ht="15" customHeight="1">
      <c r="A30" s="353"/>
      <c r="B30" s="358"/>
      <c r="C30" s="375" t="s">
        <v>5</v>
      </c>
      <c r="D30" s="355">
        <v>28081</v>
      </c>
      <c r="E30" s="348">
        <f>SUM(F30:N30)</f>
        <v>22047</v>
      </c>
      <c r="F30" s="356"/>
      <c r="G30" s="356"/>
      <c r="H30" s="356">
        <v>3532</v>
      </c>
      <c r="I30" s="356"/>
      <c r="J30" s="356"/>
      <c r="K30" s="356"/>
      <c r="L30" s="356">
        <v>18515</v>
      </c>
      <c r="M30" s="356"/>
      <c r="N30" s="357"/>
    </row>
    <row r="31" spans="1:14" ht="15" customHeight="1">
      <c r="A31" s="353">
        <v>841403</v>
      </c>
      <c r="B31" s="358" t="s">
        <v>319</v>
      </c>
      <c r="C31" s="351" t="s">
        <v>6</v>
      </c>
      <c r="D31" s="355"/>
      <c r="E31" s="348">
        <f>SUM(F31:N31)</f>
        <v>79353</v>
      </c>
      <c r="F31" s="356">
        <v>62622</v>
      </c>
      <c r="G31" s="356">
        <v>15949</v>
      </c>
      <c r="H31" s="356">
        <v>782</v>
      </c>
      <c r="I31" s="356"/>
      <c r="J31" s="356"/>
      <c r="K31" s="356"/>
      <c r="L31" s="356"/>
      <c r="M31" s="356"/>
      <c r="N31" s="357"/>
    </row>
    <row r="32" spans="1:14" ht="15" customHeight="1">
      <c r="A32" s="353"/>
      <c r="B32" s="358"/>
      <c r="C32" s="351" t="s">
        <v>4</v>
      </c>
      <c r="D32" s="355"/>
      <c r="E32" s="348">
        <v>79758</v>
      </c>
      <c r="F32" s="356">
        <v>62945</v>
      </c>
      <c r="G32" s="356">
        <v>16031</v>
      </c>
      <c r="H32" s="356">
        <v>782</v>
      </c>
      <c r="I32" s="356"/>
      <c r="J32" s="356"/>
      <c r="K32" s="356"/>
      <c r="L32" s="356"/>
      <c r="M32" s="356"/>
      <c r="N32" s="357"/>
    </row>
    <row r="33" spans="1:14" ht="15" customHeight="1">
      <c r="A33" s="353"/>
      <c r="B33" s="358"/>
      <c r="C33" s="375" t="s">
        <v>5</v>
      </c>
      <c r="D33" s="355"/>
      <c r="E33" s="348">
        <f>SUM(F33:N33)</f>
        <v>79758</v>
      </c>
      <c r="F33" s="356">
        <v>62945</v>
      </c>
      <c r="G33" s="356">
        <v>16031</v>
      </c>
      <c r="H33" s="356">
        <v>782</v>
      </c>
      <c r="I33" s="356"/>
      <c r="J33" s="356"/>
      <c r="K33" s="356"/>
      <c r="L33" s="356"/>
      <c r="M33" s="356"/>
      <c r="N33" s="357"/>
    </row>
    <row r="34" spans="1:14" ht="15" customHeight="1">
      <c r="A34" s="353">
        <v>882129</v>
      </c>
      <c r="B34" s="358" t="s">
        <v>320</v>
      </c>
      <c r="C34" s="351" t="s">
        <v>6</v>
      </c>
      <c r="D34" s="355"/>
      <c r="E34" s="348">
        <f>SUM(F34:N34)</f>
        <v>6056</v>
      </c>
      <c r="F34" s="356">
        <v>3696</v>
      </c>
      <c r="G34" s="356">
        <v>1182</v>
      </c>
      <c r="H34" s="356">
        <v>1178</v>
      </c>
      <c r="I34" s="356"/>
      <c r="J34" s="356"/>
      <c r="K34" s="356"/>
      <c r="L34" s="356"/>
      <c r="M34" s="356"/>
      <c r="N34" s="357"/>
    </row>
    <row r="35" spans="1:14" ht="15" customHeight="1">
      <c r="A35" s="353"/>
      <c r="B35" s="358"/>
      <c r="C35" s="351" t="s">
        <v>4</v>
      </c>
      <c r="D35" s="355"/>
      <c r="E35" s="348">
        <v>6056</v>
      </c>
      <c r="F35" s="356">
        <v>3696</v>
      </c>
      <c r="G35" s="356">
        <v>1182</v>
      </c>
      <c r="H35" s="356">
        <v>1178</v>
      </c>
      <c r="I35" s="356"/>
      <c r="J35" s="356"/>
      <c r="K35" s="356"/>
      <c r="L35" s="356"/>
      <c r="M35" s="356"/>
      <c r="N35" s="357"/>
    </row>
    <row r="36" spans="1:14" ht="15" customHeight="1">
      <c r="A36" s="353"/>
      <c r="B36" s="358"/>
      <c r="C36" s="375" t="s">
        <v>5</v>
      </c>
      <c r="D36" s="355"/>
      <c r="E36" s="348">
        <f>SUM(F36:N36)</f>
        <v>6056</v>
      </c>
      <c r="F36" s="356">
        <v>3696</v>
      </c>
      <c r="G36" s="356">
        <v>1182</v>
      </c>
      <c r="H36" s="356">
        <v>1178</v>
      </c>
      <c r="I36" s="356"/>
      <c r="J36" s="356"/>
      <c r="K36" s="356"/>
      <c r="L36" s="356"/>
      <c r="M36" s="356"/>
      <c r="N36" s="357"/>
    </row>
    <row r="37" spans="1:14" ht="15" customHeight="1">
      <c r="A37" s="353">
        <v>889943</v>
      </c>
      <c r="B37" s="358" t="s">
        <v>321</v>
      </c>
      <c r="C37" s="351" t="s">
        <v>6</v>
      </c>
      <c r="D37" s="355">
        <v>1500</v>
      </c>
      <c r="E37" s="348">
        <f>SUM(F37:N37)</f>
        <v>1500</v>
      </c>
      <c r="F37" s="356"/>
      <c r="G37" s="356"/>
      <c r="H37" s="356"/>
      <c r="I37" s="356"/>
      <c r="J37" s="356"/>
      <c r="K37" s="356"/>
      <c r="L37" s="356"/>
      <c r="M37" s="356">
        <v>1500</v>
      </c>
      <c r="N37" s="357"/>
    </row>
    <row r="38" spans="1:14" ht="15" customHeight="1">
      <c r="A38" s="353"/>
      <c r="B38" s="358"/>
      <c r="C38" s="351" t="s">
        <v>4</v>
      </c>
      <c r="D38" s="355">
        <v>1500</v>
      </c>
      <c r="E38" s="348">
        <v>1500</v>
      </c>
      <c r="F38" s="356"/>
      <c r="G38" s="356"/>
      <c r="H38" s="356"/>
      <c r="I38" s="356"/>
      <c r="J38" s="356"/>
      <c r="K38" s="356"/>
      <c r="L38" s="356"/>
      <c r="M38" s="356">
        <v>1500</v>
      </c>
      <c r="N38" s="357"/>
    </row>
    <row r="39" spans="1:14" ht="15" customHeight="1">
      <c r="A39" s="369"/>
      <c r="B39" s="370"/>
      <c r="C39" s="375" t="s">
        <v>5</v>
      </c>
      <c r="D39" s="371">
        <v>1500</v>
      </c>
      <c r="E39" s="348">
        <f>SUM(F39:N39)</f>
        <v>1500</v>
      </c>
      <c r="F39" s="396"/>
      <c r="G39" s="396"/>
      <c r="H39" s="396"/>
      <c r="I39" s="396"/>
      <c r="J39" s="396"/>
      <c r="K39" s="396"/>
      <c r="L39" s="396"/>
      <c r="M39" s="396">
        <v>1500</v>
      </c>
      <c r="N39" s="397"/>
    </row>
    <row r="40" spans="1:14" s="342" customFormat="1" ht="15" customHeight="1">
      <c r="A40" s="353">
        <v>882111</v>
      </c>
      <c r="B40" s="358" t="s">
        <v>280</v>
      </c>
      <c r="C40" s="351" t="s">
        <v>6</v>
      </c>
      <c r="D40" s="355">
        <v>0</v>
      </c>
      <c r="E40" s="348">
        <f>SUM(F40:N40)</f>
        <v>0</v>
      </c>
      <c r="F40" s="362"/>
      <c r="G40" s="362"/>
      <c r="H40" s="362"/>
      <c r="I40" s="362"/>
      <c r="J40" s="362">
        <v>0</v>
      </c>
      <c r="K40" s="362"/>
      <c r="L40" s="362"/>
      <c r="M40" s="368"/>
      <c r="N40" s="363"/>
    </row>
    <row r="41" spans="1:14" s="342" customFormat="1" ht="15" customHeight="1">
      <c r="A41" s="398"/>
      <c r="B41" s="399"/>
      <c r="C41" s="351" t="s">
        <v>4</v>
      </c>
      <c r="D41" s="374">
        <v>0</v>
      </c>
      <c r="E41" s="374">
        <v>74000</v>
      </c>
      <c r="F41" s="400"/>
      <c r="G41" s="400"/>
      <c r="H41" s="400"/>
      <c r="I41" s="400"/>
      <c r="J41" s="400">
        <v>74000</v>
      </c>
      <c r="K41" s="400"/>
      <c r="L41" s="400"/>
      <c r="M41" s="401"/>
      <c r="N41" s="402"/>
    </row>
    <row r="42" spans="1:17" s="351" customFormat="1" ht="15" customHeight="1">
      <c r="A42" s="353"/>
      <c r="B42" s="358"/>
      <c r="C42" s="375" t="s">
        <v>5</v>
      </c>
      <c r="D42" s="355"/>
      <c r="E42" s="355">
        <f>SUM(F42:N42)</f>
        <v>74000</v>
      </c>
      <c r="F42" s="362"/>
      <c r="G42" s="362"/>
      <c r="H42" s="362"/>
      <c r="I42" s="362"/>
      <c r="J42" s="362">
        <v>74000</v>
      </c>
      <c r="K42" s="362"/>
      <c r="L42" s="362"/>
      <c r="M42" s="368"/>
      <c r="N42" s="363"/>
      <c r="O42" s="359"/>
      <c r="P42" s="359"/>
      <c r="Q42" s="359"/>
    </row>
    <row r="43" spans="1:14" s="342" customFormat="1" ht="15" customHeight="1">
      <c r="A43" s="365">
        <v>882112</v>
      </c>
      <c r="B43" s="346" t="s">
        <v>281</v>
      </c>
      <c r="C43" s="351" t="s">
        <v>6</v>
      </c>
      <c r="D43" s="348">
        <v>0</v>
      </c>
      <c r="E43" s="348">
        <f>SUM(F43:N43)</f>
        <v>0</v>
      </c>
      <c r="F43" s="366"/>
      <c r="G43" s="366"/>
      <c r="H43" s="366"/>
      <c r="I43" s="366"/>
      <c r="J43" s="366">
        <v>0</v>
      </c>
      <c r="K43" s="366"/>
      <c r="L43" s="366"/>
      <c r="M43" s="366"/>
      <c r="N43" s="367"/>
    </row>
    <row r="44" spans="1:14" s="342" customFormat="1" ht="15" customHeight="1">
      <c r="A44" s="398"/>
      <c r="B44" s="399"/>
      <c r="C44" s="351" t="s">
        <v>4</v>
      </c>
      <c r="D44" s="355">
        <v>0</v>
      </c>
      <c r="E44" s="355">
        <v>1300</v>
      </c>
      <c r="F44" s="362"/>
      <c r="G44" s="362"/>
      <c r="H44" s="362"/>
      <c r="I44" s="362"/>
      <c r="J44" s="362">
        <v>1300</v>
      </c>
      <c r="K44" s="362"/>
      <c r="L44" s="362"/>
      <c r="M44" s="362"/>
      <c r="N44" s="363"/>
    </row>
    <row r="45" spans="1:14" s="342" customFormat="1" ht="15" customHeight="1">
      <c r="A45" s="398"/>
      <c r="B45" s="399"/>
      <c r="C45" s="375" t="s">
        <v>5</v>
      </c>
      <c r="D45" s="355"/>
      <c r="E45" s="355">
        <f>SUM(F45:N45)</f>
        <v>1300</v>
      </c>
      <c r="F45" s="362"/>
      <c r="G45" s="362"/>
      <c r="H45" s="362"/>
      <c r="I45" s="362"/>
      <c r="J45" s="362">
        <v>1300</v>
      </c>
      <c r="K45" s="362"/>
      <c r="L45" s="362"/>
      <c r="M45" s="362"/>
      <c r="N45" s="363"/>
    </row>
    <row r="46" spans="1:14" s="342" customFormat="1" ht="15" customHeight="1">
      <c r="A46" s="353">
        <v>882113</v>
      </c>
      <c r="B46" s="358" t="s">
        <v>282</v>
      </c>
      <c r="C46" s="351" t="s">
        <v>6</v>
      </c>
      <c r="D46" s="355">
        <v>0</v>
      </c>
      <c r="E46" s="348">
        <f>SUM(F46:N46)</f>
        <v>0</v>
      </c>
      <c r="F46" s="362"/>
      <c r="G46" s="362"/>
      <c r="H46" s="362"/>
      <c r="I46" s="362"/>
      <c r="J46" s="362">
        <v>0</v>
      </c>
      <c r="K46" s="362"/>
      <c r="L46" s="362"/>
      <c r="M46" s="362"/>
      <c r="N46" s="363"/>
    </row>
    <row r="47" spans="1:14" s="342" customFormat="1" ht="15" customHeight="1">
      <c r="A47" s="353"/>
      <c r="B47" s="358"/>
      <c r="C47" s="351" t="s">
        <v>4</v>
      </c>
      <c r="D47" s="355">
        <v>0</v>
      </c>
      <c r="E47" s="348">
        <v>16800</v>
      </c>
      <c r="F47" s="362"/>
      <c r="G47" s="362"/>
      <c r="H47" s="362"/>
      <c r="I47" s="362"/>
      <c r="J47" s="362">
        <v>16800</v>
      </c>
      <c r="K47" s="362"/>
      <c r="L47" s="362"/>
      <c r="M47" s="362"/>
      <c r="N47" s="363"/>
    </row>
    <row r="48" spans="1:14" s="342" customFormat="1" ht="15" customHeight="1">
      <c r="A48" s="353"/>
      <c r="B48" s="358"/>
      <c r="C48" s="375" t="s">
        <v>5</v>
      </c>
      <c r="D48" s="355"/>
      <c r="E48" s="348">
        <f>SUM(F48:N48)</f>
        <v>16800</v>
      </c>
      <c r="F48" s="362"/>
      <c r="G48" s="362"/>
      <c r="H48" s="362"/>
      <c r="I48" s="362"/>
      <c r="J48" s="362">
        <v>16800</v>
      </c>
      <c r="K48" s="362"/>
      <c r="L48" s="362"/>
      <c r="M48" s="362"/>
      <c r="N48" s="363"/>
    </row>
    <row r="49" spans="1:14" s="342" customFormat="1" ht="15" customHeight="1">
      <c r="A49" s="353">
        <v>882115</v>
      </c>
      <c r="B49" s="358" t="s">
        <v>284</v>
      </c>
      <c r="C49" s="351" t="s">
        <v>6</v>
      </c>
      <c r="D49" s="355">
        <v>0</v>
      </c>
      <c r="E49" s="355">
        <f>SUM(F49:N49)</f>
        <v>0</v>
      </c>
      <c r="F49" s="362"/>
      <c r="G49" s="362">
        <v>0</v>
      </c>
      <c r="H49" s="362"/>
      <c r="I49" s="362"/>
      <c r="J49" s="362">
        <v>0</v>
      </c>
      <c r="K49" s="362"/>
      <c r="L49" s="362"/>
      <c r="M49" s="362"/>
      <c r="N49" s="363"/>
    </row>
    <row r="50" spans="1:14" s="342" customFormat="1" ht="15" customHeight="1">
      <c r="A50" s="365"/>
      <c r="B50" s="346"/>
      <c r="C50" s="351" t="s">
        <v>4</v>
      </c>
      <c r="D50" s="348">
        <v>0</v>
      </c>
      <c r="E50" s="348">
        <v>35960</v>
      </c>
      <c r="F50" s="366"/>
      <c r="G50" s="366">
        <v>6960</v>
      </c>
      <c r="H50" s="366"/>
      <c r="I50" s="366"/>
      <c r="J50" s="366">
        <v>29000</v>
      </c>
      <c r="K50" s="366"/>
      <c r="L50" s="366"/>
      <c r="M50" s="366"/>
      <c r="N50" s="367"/>
    </row>
    <row r="51" spans="1:14" s="342" customFormat="1" ht="15" customHeight="1">
      <c r="A51" s="365"/>
      <c r="B51" s="346"/>
      <c r="C51" s="375" t="s">
        <v>5</v>
      </c>
      <c r="D51" s="348"/>
      <c r="E51" s="348">
        <f>SUM(F51:N51)</f>
        <v>35960</v>
      </c>
      <c r="F51" s="366"/>
      <c r="G51" s="366">
        <v>6960</v>
      </c>
      <c r="H51" s="366"/>
      <c r="I51" s="366"/>
      <c r="J51" s="366">
        <v>29000</v>
      </c>
      <c r="K51" s="366"/>
      <c r="L51" s="366"/>
      <c r="M51" s="366"/>
      <c r="N51" s="367"/>
    </row>
    <row r="52" spans="1:14" s="342" customFormat="1" ht="15" customHeight="1">
      <c r="A52" s="353">
        <v>882117</v>
      </c>
      <c r="B52" s="358" t="s">
        <v>286</v>
      </c>
      <c r="C52" s="351" t="s">
        <v>6</v>
      </c>
      <c r="D52" s="355">
        <v>0</v>
      </c>
      <c r="E52" s="348">
        <f>SUM(F52:N52)</f>
        <v>0</v>
      </c>
      <c r="F52" s="362"/>
      <c r="G52" s="362"/>
      <c r="H52" s="362"/>
      <c r="I52" s="362"/>
      <c r="J52" s="362">
        <v>0</v>
      </c>
      <c r="K52" s="362"/>
      <c r="L52" s="362"/>
      <c r="M52" s="362"/>
      <c r="N52" s="363"/>
    </row>
    <row r="53" spans="1:14" s="342" customFormat="1" ht="15" customHeight="1">
      <c r="A53" s="353"/>
      <c r="B53" s="358"/>
      <c r="C53" s="351" t="s">
        <v>322</v>
      </c>
      <c r="D53" s="355">
        <v>0</v>
      </c>
      <c r="E53" s="348">
        <v>8500</v>
      </c>
      <c r="F53" s="362"/>
      <c r="G53" s="362"/>
      <c r="H53" s="362"/>
      <c r="I53" s="362"/>
      <c r="J53" s="362">
        <v>8500</v>
      </c>
      <c r="K53" s="362"/>
      <c r="L53" s="362"/>
      <c r="M53" s="362"/>
      <c r="N53" s="363"/>
    </row>
    <row r="54" spans="1:14" s="342" customFormat="1" ht="15" customHeight="1">
      <c r="A54" s="353"/>
      <c r="B54" s="358"/>
      <c r="C54" s="375" t="s">
        <v>5</v>
      </c>
      <c r="D54" s="355"/>
      <c r="E54" s="348">
        <f>SUM(F54:N54)</f>
        <v>8500</v>
      </c>
      <c r="F54" s="362"/>
      <c r="G54" s="362"/>
      <c r="H54" s="362"/>
      <c r="I54" s="362"/>
      <c r="J54" s="362">
        <v>8500</v>
      </c>
      <c r="K54" s="362"/>
      <c r="L54" s="362"/>
      <c r="M54" s="362"/>
      <c r="N54" s="363"/>
    </row>
    <row r="55" spans="1:14" s="342" customFormat="1" ht="15" customHeight="1">
      <c r="A55" s="353">
        <v>882119</v>
      </c>
      <c r="B55" s="358" t="s">
        <v>287</v>
      </c>
      <c r="C55" s="351" t="s">
        <v>6</v>
      </c>
      <c r="D55" s="355">
        <v>0</v>
      </c>
      <c r="E55" s="348">
        <f>SUM(F55:N55)</f>
        <v>0</v>
      </c>
      <c r="F55" s="362"/>
      <c r="G55" s="362"/>
      <c r="H55" s="362"/>
      <c r="I55" s="362"/>
      <c r="J55" s="362">
        <v>0</v>
      </c>
      <c r="K55" s="362"/>
      <c r="L55" s="362"/>
      <c r="M55" s="362"/>
      <c r="N55" s="363"/>
    </row>
    <row r="56" spans="1:14" s="342" customFormat="1" ht="15" customHeight="1">
      <c r="A56" s="369"/>
      <c r="B56" s="370"/>
      <c r="C56" s="351" t="s">
        <v>4</v>
      </c>
      <c r="D56" s="371">
        <v>0</v>
      </c>
      <c r="E56" s="348">
        <v>300</v>
      </c>
      <c r="F56" s="372"/>
      <c r="G56" s="372"/>
      <c r="H56" s="372"/>
      <c r="I56" s="372"/>
      <c r="J56" s="372">
        <v>300</v>
      </c>
      <c r="K56" s="372"/>
      <c r="L56" s="372"/>
      <c r="M56" s="372"/>
      <c r="N56" s="373"/>
    </row>
    <row r="57" spans="1:14" s="342" customFormat="1" ht="15" customHeight="1">
      <c r="A57" s="369"/>
      <c r="B57" s="370"/>
      <c r="C57" s="375" t="s">
        <v>5</v>
      </c>
      <c r="D57" s="371"/>
      <c r="E57" s="348">
        <f>SUM(F57:N57)</f>
        <v>300</v>
      </c>
      <c r="F57" s="372"/>
      <c r="G57" s="372"/>
      <c r="H57" s="372"/>
      <c r="I57" s="372"/>
      <c r="J57" s="372">
        <v>300</v>
      </c>
      <c r="K57" s="372"/>
      <c r="L57" s="372"/>
      <c r="M57" s="372"/>
      <c r="N57" s="373"/>
    </row>
    <row r="58" spans="1:14" s="342" customFormat="1" ht="15" customHeight="1">
      <c r="A58" s="353">
        <v>882201</v>
      </c>
      <c r="B58" s="358" t="s">
        <v>293</v>
      </c>
      <c r="C58" s="351" t="s">
        <v>6</v>
      </c>
      <c r="D58" s="355">
        <v>0</v>
      </c>
      <c r="E58" s="348">
        <f>SUM(F58:N58)</f>
        <v>0</v>
      </c>
      <c r="F58" s="362"/>
      <c r="G58" s="362"/>
      <c r="H58" s="362"/>
      <c r="I58" s="362"/>
      <c r="J58" s="362">
        <v>0</v>
      </c>
      <c r="K58" s="362"/>
      <c r="L58" s="362"/>
      <c r="M58" s="362"/>
      <c r="N58" s="363"/>
    </row>
    <row r="59" spans="1:14" s="342" customFormat="1" ht="15" customHeight="1">
      <c r="A59" s="353"/>
      <c r="B59" s="358"/>
      <c r="C59" s="351" t="s">
        <v>4</v>
      </c>
      <c r="D59" s="355">
        <v>0</v>
      </c>
      <c r="E59" s="348">
        <v>9500</v>
      </c>
      <c r="F59" s="362"/>
      <c r="G59" s="362"/>
      <c r="H59" s="362"/>
      <c r="I59" s="362"/>
      <c r="J59" s="362">
        <v>9500</v>
      </c>
      <c r="K59" s="362"/>
      <c r="L59" s="362"/>
      <c r="M59" s="362"/>
      <c r="N59" s="363"/>
    </row>
    <row r="60" spans="1:14" s="342" customFormat="1" ht="15" customHeight="1">
      <c r="A60" s="365"/>
      <c r="B60" s="346"/>
      <c r="C60" s="375" t="s">
        <v>5</v>
      </c>
      <c r="D60" s="348"/>
      <c r="E60" s="348">
        <f>SUM(F60:N60)</f>
        <v>9500</v>
      </c>
      <c r="F60" s="366"/>
      <c r="G60" s="366"/>
      <c r="H60" s="366"/>
      <c r="I60" s="366"/>
      <c r="J60" s="366">
        <v>9500</v>
      </c>
      <c r="K60" s="366"/>
      <c r="L60" s="366"/>
      <c r="M60" s="366"/>
      <c r="N60" s="367"/>
    </row>
    <row r="61" spans="1:14" s="342" customFormat="1" ht="15" customHeight="1">
      <c r="A61" s="365">
        <v>882125</v>
      </c>
      <c r="B61" s="346" t="s">
        <v>301</v>
      </c>
      <c r="C61" s="351" t="s">
        <v>6</v>
      </c>
      <c r="D61" s="348">
        <v>0</v>
      </c>
      <c r="E61" s="348">
        <f>SUM(F61:N61)</f>
        <v>0</v>
      </c>
      <c r="F61" s="366"/>
      <c r="G61" s="366"/>
      <c r="H61" s="366"/>
      <c r="I61" s="366"/>
      <c r="J61" s="366">
        <v>0</v>
      </c>
      <c r="K61" s="366"/>
      <c r="L61" s="366"/>
      <c r="M61" s="366"/>
      <c r="N61" s="367"/>
    </row>
    <row r="62" spans="1:14" s="342" customFormat="1" ht="15" customHeight="1">
      <c r="A62" s="365"/>
      <c r="B62" s="346"/>
      <c r="C62" s="351" t="s">
        <v>4</v>
      </c>
      <c r="D62" s="348">
        <v>0</v>
      </c>
      <c r="E62" s="348">
        <v>1500</v>
      </c>
      <c r="F62" s="366"/>
      <c r="G62" s="366"/>
      <c r="H62" s="366"/>
      <c r="I62" s="366"/>
      <c r="J62" s="366">
        <v>1500</v>
      </c>
      <c r="K62" s="366"/>
      <c r="L62" s="366"/>
      <c r="M62" s="366"/>
      <c r="N62" s="367"/>
    </row>
    <row r="63" spans="1:14" s="342" customFormat="1" ht="15" customHeight="1">
      <c r="A63" s="365"/>
      <c r="B63" s="346"/>
      <c r="C63" s="375" t="s">
        <v>5</v>
      </c>
      <c r="D63" s="348"/>
      <c r="E63" s="348">
        <f>SUM(F63:N63)</f>
        <v>1500</v>
      </c>
      <c r="F63" s="366"/>
      <c r="G63" s="366"/>
      <c r="H63" s="366"/>
      <c r="I63" s="366"/>
      <c r="J63" s="366">
        <v>1500</v>
      </c>
      <c r="K63" s="366"/>
      <c r="L63" s="366"/>
      <c r="M63" s="366"/>
      <c r="N63" s="367"/>
    </row>
    <row r="64" spans="1:14" ht="15" customHeight="1">
      <c r="A64" s="353">
        <v>960900</v>
      </c>
      <c r="B64" s="358" t="s">
        <v>323</v>
      </c>
      <c r="C64" s="351" t="s">
        <v>6</v>
      </c>
      <c r="D64" s="355">
        <v>3000</v>
      </c>
      <c r="E64" s="348">
        <f>SUM(F64:N64)</f>
        <v>3914</v>
      </c>
      <c r="F64" s="356">
        <v>1600</v>
      </c>
      <c r="G64" s="356">
        <v>587</v>
      </c>
      <c r="H64" s="356">
        <v>1727</v>
      </c>
      <c r="I64" s="356"/>
      <c r="J64" s="355"/>
      <c r="K64" s="355"/>
      <c r="L64" s="356"/>
      <c r="M64" s="356"/>
      <c r="N64" s="357"/>
    </row>
    <row r="65" spans="1:14" ht="15" customHeight="1">
      <c r="A65" s="353"/>
      <c r="B65" s="358"/>
      <c r="C65" s="351" t="s">
        <v>4</v>
      </c>
      <c r="D65" s="355">
        <v>3000</v>
      </c>
      <c r="E65" s="348">
        <v>3914</v>
      </c>
      <c r="F65" s="356">
        <v>1600</v>
      </c>
      <c r="G65" s="356">
        <v>587</v>
      </c>
      <c r="H65" s="356">
        <v>1727</v>
      </c>
      <c r="I65" s="356"/>
      <c r="J65" s="355"/>
      <c r="K65" s="356"/>
      <c r="L65" s="356"/>
      <c r="M65" s="356"/>
      <c r="N65" s="357"/>
    </row>
    <row r="66" spans="1:14" ht="15" customHeight="1">
      <c r="A66" s="403"/>
      <c r="B66" s="358"/>
      <c r="C66" s="375" t="s">
        <v>5</v>
      </c>
      <c r="D66" s="404">
        <v>3000</v>
      </c>
      <c r="E66" s="405">
        <f>SUM(F66:N66)</f>
        <v>3914</v>
      </c>
      <c r="F66" s="406">
        <v>1600</v>
      </c>
      <c r="G66" s="406">
        <v>587</v>
      </c>
      <c r="H66" s="406">
        <v>1727</v>
      </c>
      <c r="I66" s="406"/>
      <c r="J66" s="404"/>
      <c r="K66" s="406"/>
      <c r="L66" s="406"/>
      <c r="M66" s="406"/>
      <c r="N66" s="357"/>
    </row>
    <row r="67" spans="1:14" ht="15" customHeight="1">
      <c r="A67" s="407" t="s">
        <v>107</v>
      </c>
      <c r="B67" s="407"/>
      <c r="C67" s="387" t="s">
        <v>6</v>
      </c>
      <c r="D67" s="404">
        <f>SUM(D10,D22,D37,D64)</f>
        <v>28740</v>
      </c>
      <c r="E67" s="404">
        <f aca="true" t="shared" si="0" ref="E67:N67">SUM(E10,E13,E16,E19,E22,E25,E31,E34,E37,E40,E43,E46,E49,E52,E55,E58,E61,E64)</f>
        <v>603639</v>
      </c>
      <c r="F67" s="404">
        <f t="shared" si="0"/>
        <v>350844</v>
      </c>
      <c r="G67" s="404">
        <f t="shared" si="0"/>
        <v>92453</v>
      </c>
      <c r="H67" s="404">
        <f t="shared" si="0"/>
        <v>158842</v>
      </c>
      <c r="I67" s="404">
        <f t="shared" si="0"/>
        <v>0</v>
      </c>
      <c r="J67" s="404">
        <f t="shared" si="0"/>
        <v>0</v>
      </c>
      <c r="K67" s="404">
        <f t="shared" si="0"/>
        <v>0</v>
      </c>
      <c r="L67" s="404">
        <f t="shared" si="0"/>
        <v>0</v>
      </c>
      <c r="M67" s="404">
        <f t="shared" si="0"/>
        <v>1500</v>
      </c>
      <c r="N67" s="408">
        <f t="shared" si="0"/>
        <v>0</v>
      </c>
    </row>
    <row r="68" spans="1:14" ht="15" customHeight="1">
      <c r="A68" s="409" t="s">
        <v>107</v>
      </c>
      <c r="B68" s="409"/>
      <c r="C68" s="351" t="s">
        <v>4</v>
      </c>
      <c r="D68" s="355">
        <v>491103</v>
      </c>
      <c r="E68" s="355">
        <v>1217065</v>
      </c>
      <c r="F68" s="355">
        <v>361915</v>
      </c>
      <c r="G68" s="355">
        <v>102399</v>
      </c>
      <c r="H68" s="355">
        <v>158844</v>
      </c>
      <c r="I68" s="355">
        <v>451507</v>
      </c>
      <c r="J68" s="355">
        <v>140900</v>
      </c>
      <c r="K68" s="355">
        <v>0</v>
      </c>
      <c r="L68" s="355">
        <v>0</v>
      </c>
      <c r="M68" s="355">
        <v>1500</v>
      </c>
      <c r="N68" s="410">
        <v>0</v>
      </c>
    </row>
    <row r="69" spans="1:14" ht="15" customHeight="1">
      <c r="A69" s="411" t="s">
        <v>107</v>
      </c>
      <c r="B69" s="411"/>
      <c r="C69" s="412" t="s">
        <v>5</v>
      </c>
      <c r="D69" s="413">
        <f>SUM(D12+D24+D30+D39+D66)</f>
        <v>519184</v>
      </c>
      <c r="E69" s="413">
        <f>SUM(E12+E15+E18+E21+E24+E27+E30+E33+E36+E39+E42+E45+E48+E51+E54+E57+E60+E63+E66)</f>
        <v>1237100</v>
      </c>
      <c r="F69" s="413">
        <f>SUM(F21+F24+F27+F33+F36+F66)</f>
        <v>362592</v>
      </c>
      <c r="G69" s="413">
        <f>SUM(G21+G24+G27+G33+G36+G51+G66)</f>
        <v>102520</v>
      </c>
      <c r="H69" s="413">
        <f>SUM(H12+H15+H18+H21+H24+H27+H33+H30+H36+H66)</f>
        <v>159566</v>
      </c>
      <c r="I69" s="413">
        <f>SUM(I24)</f>
        <v>451507</v>
      </c>
      <c r="J69" s="413">
        <f>SUM(J42+J45+J48+J51+J54+J57+J60+J63)</f>
        <v>140900</v>
      </c>
      <c r="K69" s="413"/>
      <c r="L69" s="413">
        <f>SUM(L30)</f>
        <v>18515</v>
      </c>
      <c r="M69" s="413">
        <f>SUM(M39)</f>
        <v>1500</v>
      </c>
      <c r="N69" s="414"/>
    </row>
    <row r="70" spans="6:14" ht="12.75">
      <c r="F70" s="327"/>
      <c r="G70" s="327"/>
      <c r="H70" s="327"/>
      <c r="I70" s="327"/>
      <c r="J70" s="327"/>
      <c r="K70" s="327"/>
      <c r="L70" s="327"/>
      <c r="M70" s="395"/>
      <c r="N70" s="327"/>
    </row>
    <row r="71" spans="6:14" ht="12.75">
      <c r="F71" s="327"/>
      <c r="G71" s="327"/>
      <c r="H71" s="327"/>
      <c r="I71" s="327"/>
      <c r="J71" s="327"/>
      <c r="K71" s="327"/>
      <c r="L71" s="327"/>
      <c r="M71" s="395"/>
      <c r="N71" s="327"/>
    </row>
    <row r="72" spans="1:2" ht="12.75">
      <c r="A72" s="332"/>
      <c r="B72" s="332"/>
    </row>
    <row r="74" spans="1:14" ht="14.25">
      <c r="A74" s="333" t="s">
        <v>324</v>
      </c>
      <c r="B74" s="333"/>
      <c r="C74" s="333"/>
      <c r="D74" s="333"/>
      <c r="E74" s="333"/>
      <c r="F74" s="333"/>
      <c r="G74" s="333"/>
      <c r="H74" s="333"/>
      <c r="I74" s="333"/>
      <c r="J74" s="333"/>
      <c r="K74" s="333"/>
      <c r="L74" s="333"/>
      <c r="M74" s="333"/>
      <c r="N74" s="333"/>
    </row>
    <row r="75" spans="1:14" ht="15">
      <c r="A75" s="334"/>
      <c r="B75" s="334"/>
      <c r="C75" s="334"/>
      <c r="D75" s="334"/>
      <c r="E75" s="334"/>
      <c r="F75" s="334"/>
      <c r="G75" s="334"/>
      <c r="H75" s="334"/>
      <c r="I75" s="334"/>
      <c r="J75" s="334"/>
      <c r="K75" s="334"/>
      <c r="L75" s="334"/>
      <c r="M75" s="334"/>
      <c r="N75" s="334"/>
    </row>
    <row r="76" spans="12:14" ht="13.5">
      <c r="L76" s="330"/>
      <c r="M76" s="335"/>
      <c r="N76" s="335" t="s">
        <v>218</v>
      </c>
    </row>
    <row r="77" spans="1:14" ht="13.5" customHeight="1">
      <c r="A77" s="336" t="s">
        <v>219</v>
      </c>
      <c r="B77" s="336"/>
      <c r="C77" s="336"/>
      <c r="D77" s="337" t="s">
        <v>220</v>
      </c>
      <c r="E77" s="338" t="s">
        <v>221</v>
      </c>
      <c r="F77" s="339" t="s">
        <v>222</v>
      </c>
      <c r="G77" s="339"/>
      <c r="H77" s="339"/>
      <c r="I77" s="339"/>
      <c r="J77" s="339"/>
      <c r="K77" s="339" t="s">
        <v>223</v>
      </c>
      <c r="L77" s="339"/>
      <c r="M77" s="340" t="s">
        <v>224</v>
      </c>
      <c r="N77" s="341" t="s">
        <v>225</v>
      </c>
    </row>
    <row r="78" spans="1:14" ht="14.25" customHeight="1">
      <c r="A78" s="336"/>
      <c r="B78" s="336"/>
      <c r="C78" s="336"/>
      <c r="D78" s="337"/>
      <c r="E78" s="338"/>
      <c r="F78" s="343" t="s">
        <v>226</v>
      </c>
      <c r="G78" s="343" t="s">
        <v>227</v>
      </c>
      <c r="H78" s="343" t="s">
        <v>228</v>
      </c>
      <c r="I78" s="343" t="s">
        <v>325</v>
      </c>
      <c r="J78" s="343" t="s">
        <v>230</v>
      </c>
      <c r="K78" s="344" t="s">
        <v>112</v>
      </c>
      <c r="L78" s="344" t="s">
        <v>110</v>
      </c>
      <c r="M78" s="340"/>
      <c r="N78" s="341"/>
    </row>
    <row r="79" spans="1:14" ht="40.5" customHeight="1">
      <c r="A79" s="336"/>
      <c r="B79" s="336"/>
      <c r="C79" s="336"/>
      <c r="D79" s="337"/>
      <c r="E79" s="338"/>
      <c r="F79" s="343"/>
      <c r="G79" s="343"/>
      <c r="H79" s="343"/>
      <c r="I79" s="343"/>
      <c r="J79" s="343"/>
      <c r="K79" s="344"/>
      <c r="L79" s="344"/>
      <c r="M79" s="340"/>
      <c r="N79" s="341"/>
    </row>
    <row r="80" spans="1:14" ht="15" customHeight="1">
      <c r="A80" s="365">
        <v>842421</v>
      </c>
      <c r="B80" s="346" t="s">
        <v>326</v>
      </c>
      <c r="C80" s="347" t="s">
        <v>6</v>
      </c>
      <c r="D80" s="349">
        <v>3000</v>
      </c>
      <c r="E80" s="349">
        <f>SUM(F80:N80)</f>
        <v>16864</v>
      </c>
      <c r="F80" s="349">
        <v>9970</v>
      </c>
      <c r="G80" s="349">
        <v>2719</v>
      </c>
      <c r="H80" s="349">
        <v>4175</v>
      </c>
      <c r="I80" s="349"/>
      <c r="J80" s="349"/>
      <c r="K80" s="349"/>
      <c r="L80" s="349"/>
      <c r="M80" s="349"/>
      <c r="N80" s="350"/>
    </row>
    <row r="81" spans="1:14" ht="15" customHeight="1">
      <c r="A81" s="369"/>
      <c r="B81" s="370"/>
      <c r="C81" s="415" t="s">
        <v>4</v>
      </c>
      <c r="D81" s="416">
        <v>3000</v>
      </c>
      <c r="E81" s="416">
        <v>16931</v>
      </c>
      <c r="F81" s="416">
        <v>10023</v>
      </c>
      <c r="G81" s="416">
        <v>2733</v>
      </c>
      <c r="H81" s="416">
        <v>4175</v>
      </c>
      <c r="I81" s="416"/>
      <c r="J81" s="416"/>
      <c r="K81" s="416"/>
      <c r="L81" s="416"/>
      <c r="M81" s="416"/>
      <c r="N81" s="417"/>
    </row>
    <row r="82" spans="1:14" ht="15" customHeight="1">
      <c r="A82" s="418"/>
      <c r="B82" s="358"/>
      <c r="C82" s="375" t="s">
        <v>327</v>
      </c>
      <c r="D82" s="356">
        <v>3027</v>
      </c>
      <c r="E82" s="356">
        <v>17258</v>
      </c>
      <c r="F82" s="356">
        <v>10023</v>
      </c>
      <c r="G82" s="356">
        <v>2733</v>
      </c>
      <c r="H82" s="356">
        <v>4502</v>
      </c>
      <c r="I82" s="356"/>
      <c r="J82" s="356"/>
      <c r="K82" s="356"/>
      <c r="L82" s="356"/>
      <c r="M82" s="356"/>
      <c r="N82" s="357"/>
    </row>
    <row r="83" spans="1:14" ht="15" customHeight="1">
      <c r="A83" s="409" t="s">
        <v>107</v>
      </c>
      <c r="B83" s="409"/>
      <c r="C83" s="387" t="s">
        <v>6</v>
      </c>
      <c r="D83" s="355">
        <v>3000</v>
      </c>
      <c r="E83" s="355">
        <v>16874</v>
      </c>
      <c r="F83" s="383">
        <v>9970</v>
      </c>
      <c r="G83" s="383">
        <v>2719</v>
      </c>
      <c r="H83" s="383">
        <v>4175</v>
      </c>
      <c r="I83" s="383">
        <f>SUM(I79:I79)</f>
        <v>0</v>
      </c>
      <c r="J83" s="383">
        <f>SUM(J79:J79)</f>
        <v>0</v>
      </c>
      <c r="K83" s="383">
        <f>SUM(K79:K79)</f>
        <v>0</v>
      </c>
      <c r="L83" s="383">
        <f>SUM(L79:L79)</f>
        <v>0</v>
      </c>
      <c r="M83" s="383">
        <f>SUM(M79:M79)</f>
        <v>0</v>
      </c>
      <c r="N83" s="388" t="s">
        <v>328</v>
      </c>
    </row>
    <row r="84" spans="1:14" ht="15" customHeight="1">
      <c r="A84" s="409" t="s">
        <v>107</v>
      </c>
      <c r="B84" s="409"/>
      <c r="C84" s="389" t="s">
        <v>4</v>
      </c>
      <c r="D84" s="355">
        <v>3000</v>
      </c>
      <c r="E84" s="355">
        <v>16931</v>
      </c>
      <c r="F84" s="383">
        <v>10023</v>
      </c>
      <c r="G84" s="383">
        <v>2733</v>
      </c>
      <c r="H84" s="383">
        <v>4175</v>
      </c>
      <c r="I84" s="383"/>
      <c r="J84" s="383"/>
      <c r="K84" s="383"/>
      <c r="L84" s="383"/>
      <c r="M84" s="383"/>
      <c r="N84" s="388"/>
    </row>
    <row r="85" spans="1:14" ht="15" customHeight="1">
      <c r="A85" s="411" t="s">
        <v>107</v>
      </c>
      <c r="B85" s="411"/>
      <c r="C85" s="419" t="s">
        <v>327</v>
      </c>
      <c r="D85" s="413">
        <v>3027</v>
      </c>
      <c r="E85" s="413">
        <v>17258</v>
      </c>
      <c r="F85" s="392">
        <v>10023</v>
      </c>
      <c r="G85" s="392">
        <v>2733</v>
      </c>
      <c r="H85" s="392">
        <v>4502</v>
      </c>
      <c r="I85" s="392"/>
      <c r="J85" s="392"/>
      <c r="K85" s="392"/>
      <c r="L85" s="392"/>
      <c r="M85" s="392"/>
      <c r="N85" s="394"/>
    </row>
  </sheetData>
  <sheetProtection selectLockedCells="1" selectUnlockedCells="1"/>
  <mergeCells count="40">
    <mergeCell ref="A2:B2"/>
    <mergeCell ref="A4:N4"/>
    <mergeCell ref="A5:N5"/>
    <mergeCell ref="A7:C9"/>
    <mergeCell ref="D7:D9"/>
    <mergeCell ref="E7:E9"/>
    <mergeCell ref="F7:J7"/>
    <mergeCell ref="K7:L7"/>
    <mergeCell ref="M7:M9"/>
    <mergeCell ref="N7:N9"/>
    <mergeCell ref="F8:F9"/>
    <mergeCell ref="G8:G9"/>
    <mergeCell ref="H8:H9"/>
    <mergeCell ref="I8:I9"/>
    <mergeCell ref="J8:J9"/>
    <mergeCell ref="K8:K9"/>
    <mergeCell ref="L8:L9"/>
    <mergeCell ref="A67:B67"/>
    <mergeCell ref="A68:B68"/>
    <mergeCell ref="A69:B69"/>
    <mergeCell ref="A72:B72"/>
    <mergeCell ref="A74:N74"/>
    <mergeCell ref="A75:N75"/>
    <mergeCell ref="A77:C79"/>
    <mergeCell ref="D77:D79"/>
    <mergeCell ref="E77:E79"/>
    <mergeCell ref="F77:J77"/>
    <mergeCell ref="K77:L77"/>
    <mergeCell ref="M77:M79"/>
    <mergeCell ref="N77:N79"/>
    <mergeCell ref="F78:F79"/>
    <mergeCell ref="G78:G79"/>
    <mergeCell ref="H78:H79"/>
    <mergeCell ref="I78:I79"/>
    <mergeCell ref="J78:J79"/>
    <mergeCell ref="K78:K79"/>
    <mergeCell ref="L78:L79"/>
    <mergeCell ref="A83:B83"/>
    <mergeCell ref="A84:B84"/>
    <mergeCell ref="A85:B85"/>
  </mergeCells>
  <printOptions horizontalCentered="1"/>
  <pageMargins left="0.39375" right="0.39375" top="0.6" bottom="0.15763888888888888" header="0.3541666666666667" footer="0.5118055555555555"/>
  <pageSetup horizontalDpi="300" verticalDpi="300" orientation="landscape" paperSize="9" scale="52"/>
  <headerFooter alignWithMargins="0">
    <oddHeader>&amp;L&amp;8 5.2 melléklet a 24/2012. (VIII.31.) önkormányzati rendelethez
" 5.2 melléklet a 3/2012.(II.16.) önkormányzati rendelethez"</oddHeader>
  </headerFooter>
  <rowBreaks count="1" manualBreakCount="1">
    <brk id="7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Y56"/>
  <sheetViews>
    <sheetView view="pageBreakPreview" zoomScaleSheetLayoutView="100" workbookViewId="0" topLeftCell="K1">
      <selection activeCell="O1" sqref="O1"/>
    </sheetView>
  </sheetViews>
  <sheetFormatPr defaultColWidth="9.00390625" defaultRowHeight="12.75"/>
  <cols>
    <col min="1" max="1" width="25.75390625" style="0" customWidth="1"/>
    <col min="2" max="2" width="8.75390625" style="0" customWidth="1"/>
    <col min="12" max="12" width="6.25390625" style="0" customWidth="1"/>
    <col min="13" max="13" width="7.125" style="0" customWidth="1"/>
    <col min="14" max="14" width="12.00390625" style="0" customWidth="1"/>
    <col min="15" max="16" width="10.00390625" style="0" customWidth="1"/>
    <col min="23" max="23" width="11.00390625" style="0" customWidth="1"/>
    <col min="24" max="25" width="0" style="0" hidden="1" customWidth="1"/>
  </cols>
  <sheetData>
    <row r="1" spans="1:23" ht="12.75">
      <c r="A1" s="420" t="s">
        <v>329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1" t="s">
        <v>330</v>
      </c>
      <c r="P1" s="421"/>
      <c r="Q1" s="421"/>
      <c r="R1" s="421"/>
      <c r="S1" s="421"/>
      <c r="T1" s="421"/>
      <c r="U1" s="421"/>
      <c r="V1" s="421"/>
      <c r="W1" s="421"/>
    </row>
    <row r="2" spans="1:23" ht="12.75" customHeight="1">
      <c r="A2" s="422" t="s">
        <v>331</v>
      </c>
      <c r="B2" s="422"/>
      <c r="C2" s="422" t="s">
        <v>332</v>
      </c>
      <c r="D2" s="422" t="s">
        <v>333</v>
      </c>
      <c r="E2" s="422" t="s">
        <v>334</v>
      </c>
      <c r="F2" s="422" t="s">
        <v>335</v>
      </c>
      <c r="G2" s="422" t="s">
        <v>336</v>
      </c>
      <c r="H2" s="422"/>
      <c r="I2" s="422" t="s">
        <v>337</v>
      </c>
      <c r="J2" s="422"/>
      <c r="K2" s="422" t="s">
        <v>338</v>
      </c>
      <c r="L2" s="422" t="s">
        <v>339</v>
      </c>
      <c r="M2" s="422"/>
      <c r="N2" s="422" t="s">
        <v>340</v>
      </c>
      <c r="O2" s="423" t="s">
        <v>222</v>
      </c>
      <c r="P2" s="423"/>
      <c r="Q2" s="423"/>
      <c r="R2" s="423"/>
      <c r="S2" s="423"/>
      <c r="T2" s="423"/>
      <c r="U2" s="423" t="s">
        <v>223</v>
      </c>
      <c r="V2" s="423"/>
      <c r="W2" s="422" t="s">
        <v>341</v>
      </c>
    </row>
    <row r="3" spans="1:25" ht="51" customHeight="1">
      <c r="A3" s="422"/>
      <c r="B3" s="422"/>
      <c r="C3" s="422"/>
      <c r="D3" s="422"/>
      <c r="E3" s="422"/>
      <c r="F3" s="422"/>
      <c r="G3" s="422" t="s">
        <v>342</v>
      </c>
      <c r="H3" s="422" t="s">
        <v>343</v>
      </c>
      <c r="I3" s="422" t="s">
        <v>342</v>
      </c>
      <c r="J3" s="422" t="s">
        <v>343</v>
      </c>
      <c r="K3" s="422"/>
      <c r="L3" s="422" t="s">
        <v>344</v>
      </c>
      <c r="M3" s="422" t="s">
        <v>345</v>
      </c>
      <c r="N3" s="422"/>
      <c r="O3" s="422" t="s">
        <v>81</v>
      </c>
      <c r="P3" s="422" t="s">
        <v>346</v>
      </c>
      <c r="Q3" s="422" t="s">
        <v>347</v>
      </c>
      <c r="R3" s="422" t="s">
        <v>348</v>
      </c>
      <c r="S3" s="422" t="s">
        <v>349</v>
      </c>
      <c r="T3" s="422" t="s">
        <v>350</v>
      </c>
      <c r="U3" s="422" t="s">
        <v>110</v>
      </c>
      <c r="V3" s="422" t="s">
        <v>112</v>
      </c>
      <c r="W3" s="422"/>
      <c r="Y3" s="424" t="s">
        <v>351</v>
      </c>
    </row>
    <row r="4" spans="1:25" ht="12.75">
      <c r="A4" s="425">
        <f>'[8]Eredeti Ft'!A4</f>
        <v>0</v>
      </c>
      <c r="B4" s="426">
        <f>'[8]Eredeti Ft'!B4</f>
        <v>0</v>
      </c>
      <c r="C4" s="427">
        <f>7000</f>
        <v>7000</v>
      </c>
      <c r="D4" s="427">
        <f>ROUND('[8]Eredeti Ft'!D4,-3)/1000</f>
        <v>4831</v>
      </c>
      <c r="E4" s="427">
        <f>ROUND('[8]Eredeti Ft'!E4,-3)/1000</f>
        <v>1890</v>
      </c>
      <c r="F4" s="427">
        <f>ROUND('[8]Eredeti Ft'!F4,-3)/1000</f>
        <v>0</v>
      </c>
      <c r="G4" s="427">
        <f>ROUND('[8]Eredeti Ft'!G4,-3)/1000</f>
        <v>0</v>
      </c>
      <c r="H4" s="427">
        <f>ROUND('[8]Eredeti Ft'!H4,-3)/1000</f>
        <v>0</v>
      </c>
      <c r="I4" s="427">
        <f>ROUND('[8]Eredeti Ft'!I4,-3)/1000</f>
        <v>0</v>
      </c>
      <c r="J4" s="427">
        <f>ROUND('[8]Eredeti Ft'!J4,-3)/1000</f>
        <v>0</v>
      </c>
      <c r="K4" s="427">
        <f>ROUND('[8]Eredeti Ft'!K4,-3)/1000</f>
        <v>0</v>
      </c>
      <c r="L4" s="427">
        <f>ROUND('[8]Eredeti Ft'!L4,-3)/1000</f>
        <v>0</v>
      </c>
      <c r="M4" s="427">
        <f>ROUND('[8]Eredeti Ft'!M4,-3)/1000</f>
        <v>0</v>
      </c>
      <c r="N4" s="427">
        <f aca="true" t="shared" si="0" ref="N4:N29">SUM(C4:M4)-D4</f>
        <v>8890</v>
      </c>
      <c r="O4" s="427">
        <f>ROUND('[8]Eredeti Ft'!O4,-3)/1000</f>
        <v>37433</v>
      </c>
      <c r="P4" s="427">
        <f>ROUND('[8]Eredeti Ft'!P4,-3)/1000</f>
        <v>9960</v>
      </c>
      <c r="Q4" s="427">
        <f>ROUND('[8]Eredeti Ft'!Q4,-3)/1000</f>
        <v>14509</v>
      </c>
      <c r="R4" s="427">
        <f>ROUND('[8]Eredeti Ft'!R4,-3)/1000</f>
        <v>5876</v>
      </c>
      <c r="S4" s="427">
        <f>ROUND('[8]Eredeti Ft'!S4,-3)/1000</f>
        <v>0</v>
      </c>
      <c r="T4" s="427">
        <f>ROUND('[8]Eredeti Ft'!T4,-3)/1000</f>
        <v>0</v>
      </c>
      <c r="U4" s="427">
        <f>ROUND('[8]Eredeti Ft'!U4,-3)/1000</f>
        <v>0</v>
      </c>
      <c r="V4" s="427">
        <f>ROUND('[8]Eredeti Ft'!V4,-3)/1000</f>
        <v>0</v>
      </c>
      <c r="W4" s="427">
        <f aca="true" t="shared" si="1" ref="W4:W29">SUM(O4:V4)-R4</f>
        <v>61902</v>
      </c>
      <c r="Y4" s="245">
        <f>SUM(O4:V4)-R4</f>
        <v>61902</v>
      </c>
    </row>
    <row r="5" spans="1:25" ht="12.75" customHeight="1" hidden="1">
      <c r="A5" s="425"/>
      <c r="B5" s="426">
        <f>'[8]Eredeti Ft'!B5</f>
        <v>0</v>
      </c>
      <c r="C5" s="427">
        <f>ROUND('[8]Eredeti Ft'!C5,-3)/1000</f>
        <v>0</v>
      </c>
      <c r="D5" s="427">
        <f>ROUND('[8]Eredeti Ft'!D5,-3)/1000</f>
        <v>0</v>
      </c>
      <c r="E5" s="427">
        <f>ROUND('[8]Eredeti Ft'!E5,-3)/1000</f>
        <v>0</v>
      </c>
      <c r="F5" s="427">
        <f>ROUND('[8]Eredeti Ft'!F5,-3)/1000</f>
        <v>0</v>
      </c>
      <c r="G5" s="427">
        <f>ROUND('[8]Eredeti Ft'!G5,-3)/1000</f>
        <v>0</v>
      </c>
      <c r="H5" s="427">
        <f>ROUND('[8]Eredeti Ft'!H5,-3)/1000</f>
        <v>0</v>
      </c>
      <c r="I5" s="427">
        <f>ROUND('[8]Eredeti Ft'!I5,-3)/1000</f>
        <v>0</v>
      </c>
      <c r="J5" s="427">
        <f>ROUND('[8]Eredeti Ft'!J5,-3)/1000</f>
        <v>0</v>
      </c>
      <c r="K5" s="427">
        <f>ROUND('[8]Eredeti Ft'!K5,-3)/1000</f>
        <v>0</v>
      </c>
      <c r="L5" s="427">
        <f>ROUND('[8]Eredeti Ft'!L5,-3)/1000</f>
        <v>0</v>
      </c>
      <c r="M5" s="427">
        <f>ROUND('[8]Eredeti Ft'!M5,-3)/1000</f>
        <v>0</v>
      </c>
      <c r="N5" s="427">
        <f t="shared" si="0"/>
        <v>0</v>
      </c>
      <c r="O5" s="427">
        <f>ROUND('[8]Eredeti Ft'!O5,-3)/1000</f>
        <v>0</v>
      </c>
      <c r="P5" s="427">
        <f>ROUND('[8]Eredeti Ft'!P5,-3)/1000</f>
        <v>0</v>
      </c>
      <c r="Q5" s="427">
        <f>ROUND('[8]Eredeti Ft'!Q5,-3)/1000</f>
        <v>0</v>
      </c>
      <c r="R5" s="427">
        <f>ROUND('[8]Eredeti Ft'!R5,-3)/1000</f>
        <v>0</v>
      </c>
      <c r="S5" s="427">
        <f>ROUND('[8]Eredeti Ft'!S5,-3)/1000</f>
        <v>0</v>
      </c>
      <c r="T5" s="427">
        <f>ROUND('[8]Eredeti Ft'!T5,-3)/1000</f>
        <v>0</v>
      </c>
      <c r="U5" s="427">
        <f>ROUND('[8]Eredeti Ft'!U5,-3)/1000</f>
        <v>0</v>
      </c>
      <c r="V5" s="427">
        <f>ROUND('[8]Eredeti Ft'!V5,-3)/1000</f>
        <v>0</v>
      </c>
      <c r="W5" s="427">
        <f t="shared" si="1"/>
        <v>0</v>
      </c>
      <c r="Y5" s="245">
        <f>SUM(O5:V5)-R5</f>
        <v>0</v>
      </c>
    </row>
    <row r="6" spans="1:25" ht="13.5" customHeight="1">
      <c r="A6" s="425"/>
      <c r="B6" s="426" t="s">
        <v>352</v>
      </c>
      <c r="C6" s="427">
        <v>7000</v>
      </c>
      <c r="D6" s="427">
        <v>4831</v>
      </c>
      <c r="E6" s="427">
        <v>1890</v>
      </c>
      <c r="F6" s="427"/>
      <c r="G6" s="427"/>
      <c r="H6" s="427"/>
      <c r="I6" s="427"/>
      <c r="J6" s="427"/>
      <c r="K6" s="427"/>
      <c r="L6" s="427">
        <v>73</v>
      </c>
      <c r="M6" s="427"/>
      <c r="N6" s="427">
        <f t="shared" si="0"/>
        <v>8963</v>
      </c>
      <c r="O6" s="427">
        <f>37433+609</f>
        <v>38042</v>
      </c>
      <c r="P6" s="427">
        <f>9960+165</f>
        <v>10125</v>
      </c>
      <c r="Q6" s="427">
        <f>14509+73+160</f>
        <v>14742</v>
      </c>
      <c r="R6" s="427">
        <v>5876</v>
      </c>
      <c r="S6" s="427">
        <v>0</v>
      </c>
      <c r="T6" s="427">
        <v>0</v>
      </c>
      <c r="U6" s="427">
        <v>0</v>
      </c>
      <c r="V6" s="427">
        <v>0</v>
      </c>
      <c r="W6" s="427">
        <f t="shared" si="1"/>
        <v>62909</v>
      </c>
      <c r="Y6" s="245"/>
    </row>
    <row r="7" spans="1:25" ht="12.75">
      <c r="A7" s="425">
        <f>'[8]Eredeti Ft'!A7</f>
        <v>0</v>
      </c>
      <c r="B7" s="426">
        <f>'[8]Eredeti Ft'!B7</f>
        <v>0</v>
      </c>
      <c r="C7" s="427">
        <f>ROUND('[8]Eredeti Ft'!C7,-3)/1000</f>
        <v>2250</v>
      </c>
      <c r="D7" s="427">
        <f>ROUND('[8]Eredeti Ft'!D7,-3)/1000</f>
        <v>1964</v>
      </c>
      <c r="E7" s="427">
        <f>ROUND('[8]Eredeti Ft'!E7,-3)/1000</f>
        <v>607</v>
      </c>
      <c r="F7" s="427">
        <f>ROUND('[8]Eredeti Ft'!F7,-3)/1000</f>
        <v>0</v>
      </c>
      <c r="G7" s="427">
        <f>ROUND('[8]Eredeti Ft'!G7,-3)/1000</f>
        <v>0</v>
      </c>
      <c r="H7" s="427">
        <f>ROUND('[8]Eredeti Ft'!H7,-3)/1000</f>
        <v>0</v>
      </c>
      <c r="I7" s="427">
        <f>ROUND('[8]Eredeti Ft'!I7,-3)/1000</f>
        <v>0</v>
      </c>
      <c r="J7" s="427">
        <f>ROUND('[8]Eredeti Ft'!J7,-3)/1000</f>
        <v>0</v>
      </c>
      <c r="K7" s="427">
        <f>ROUND('[8]Eredeti Ft'!K7,-3)/1000</f>
        <v>0</v>
      </c>
      <c r="L7" s="427">
        <f>ROUND('[8]Eredeti Ft'!L7,-3)/1000</f>
        <v>0</v>
      </c>
      <c r="M7" s="427">
        <f>ROUND('[8]Eredeti Ft'!M7,-3)/1000</f>
        <v>0</v>
      </c>
      <c r="N7" s="427">
        <f t="shared" si="0"/>
        <v>2857</v>
      </c>
      <c r="O7" s="427">
        <f>ROUND('[8]Eredeti Ft'!O7,-3)/1000</f>
        <v>13258</v>
      </c>
      <c r="P7" s="427">
        <f>ROUND('[8]Eredeti Ft'!P7,-3)/1000</f>
        <v>3523</v>
      </c>
      <c r="Q7" s="427">
        <f>ROUND('[8]Eredeti Ft'!Q7,-3)/1000</f>
        <v>6529</v>
      </c>
      <c r="R7" s="427">
        <f>ROUND('[8]Eredeti Ft'!R7,-3)/1000</f>
        <v>2656</v>
      </c>
      <c r="S7" s="427">
        <f>ROUND('[8]Eredeti Ft'!S7,-3)/1000</f>
        <v>0</v>
      </c>
      <c r="T7" s="427">
        <f>ROUND('[8]Eredeti Ft'!T7,-3)/1000</f>
        <v>0</v>
      </c>
      <c r="U7" s="427">
        <f>ROUND('[8]Eredeti Ft'!U7,-3)/1000</f>
        <v>0</v>
      </c>
      <c r="V7" s="427">
        <f>ROUND('[8]Eredeti Ft'!V7,-3)/1000</f>
        <v>0</v>
      </c>
      <c r="W7" s="427">
        <f t="shared" si="1"/>
        <v>23310</v>
      </c>
      <c r="Y7" s="245">
        <f>SUM(O7:V7)-R7</f>
        <v>23310</v>
      </c>
    </row>
    <row r="8" spans="1:25" ht="12.75" customHeight="1" hidden="1">
      <c r="A8" s="425"/>
      <c r="B8" s="426">
        <f>'[8]Eredeti Ft'!B9</f>
        <v>0</v>
      </c>
      <c r="C8" s="427">
        <f>ROUND('[8]Eredeti Ft'!C9,-3)/1000</f>
        <v>0</v>
      </c>
      <c r="D8" s="427">
        <f>ROUND('[8]Eredeti Ft'!D9,-3)/1000</f>
        <v>0</v>
      </c>
      <c r="E8" s="427">
        <f>ROUND('[8]Eredeti Ft'!E9,-3)/1000</f>
        <v>0</v>
      </c>
      <c r="F8" s="427">
        <f>ROUND('[8]Eredeti Ft'!F9,-3)/1000</f>
        <v>0</v>
      </c>
      <c r="G8" s="427">
        <f>ROUND('[8]Eredeti Ft'!G9,-3)/1000</f>
        <v>0</v>
      </c>
      <c r="H8" s="427">
        <f>ROUND('[8]Eredeti Ft'!H9,-3)/1000</f>
        <v>0</v>
      </c>
      <c r="I8" s="427">
        <f>ROUND('[8]Eredeti Ft'!I9,-3)/1000</f>
        <v>0</v>
      </c>
      <c r="J8" s="427">
        <f>ROUND('[8]Eredeti Ft'!J9,-3)/1000</f>
        <v>0</v>
      </c>
      <c r="K8" s="427">
        <f>ROUND('[8]Eredeti Ft'!K9,-3)/1000</f>
        <v>0</v>
      </c>
      <c r="L8" s="427">
        <f>ROUND('[8]Eredeti Ft'!L9,-3)/1000</f>
        <v>0</v>
      </c>
      <c r="M8" s="427">
        <f>ROUND('[8]Eredeti Ft'!M9,-3)/1000</f>
        <v>0</v>
      </c>
      <c r="N8" s="427">
        <f t="shared" si="0"/>
        <v>0</v>
      </c>
      <c r="O8" s="427">
        <f>ROUND('[8]Eredeti Ft'!O9,-3)/1000</f>
        <v>0</v>
      </c>
      <c r="P8" s="427">
        <f>ROUND('[8]Eredeti Ft'!P9,-3)/1000</f>
        <v>0</v>
      </c>
      <c r="Q8" s="427">
        <f>ROUND('[8]Eredeti Ft'!Q9,-3)/1000</f>
        <v>0</v>
      </c>
      <c r="R8" s="427">
        <f>ROUND('[8]Eredeti Ft'!R9,-3)/1000</f>
        <v>0</v>
      </c>
      <c r="S8" s="427">
        <f>ROUND('[8]Eredeti Ft'!S9,-3)/1000</f>
        <v>0</v>
      </c>
      <c r="T8" s="427">
        <f>ROUND('[8]Eredeti Ft'!T9,-3)/1000</f>
        <v>0</v>
      </c>
      <c r="U8" s="427">
        <f>ROUND('[8]Eredeti Ft'!U9,-3)/1000</f>
        <v>0</v>
      </c>
      <c r="V8" s="427">
        <f>ROUND('[8]Eredeti Ft'!V9,-3)/1000</f>
        <v>0</v>
      </c>
      <c r="W8" s="427">
        <f t="shared" si="1"/>
        <v>0</v>
      </c>
      <c r="Y8" s="245">
        <f>SUM(O8:V8)-R8</f>
        <v>0</v>
      </c>
    </row>
    <row r="9" spans="1:25" ht="18" customHeight="1">
      <c r="A9" s="425"/>
      <c r="B9" s="426" t="s">
        <v>352</v>
      </c>
      <c r="C9" s="427">
        <v>2250</v>
      </c>
      <c r="D9" s="427">
        <v>1964</v>
      </c>
      <c r="E9" s="427">
        <v>607</v>
      </c>
      <c r="F9" s="427"/>
      <c r="G9" s="427"/>
      <c r="H9" s="427"/>
      <c r="I9" s="427"/>
      <c r="J9" s="427"/>
      <c r="K9" s="427"/>
      <c r="L9" s="427"/>
      <c r="M9" s="427"/>
      <c r="N9" s="427">
        <f t="shared" si="0"/>
        <v>2857</v>
      </c>
      <c r="O9" s="427">
        <f>13258+167</f>
        <v>13425</v>
      </c>
      <c r="P9" s="427">
        <f>3523+46</f>
        <v>3569</v>
      </c>
      <c r="Q9" s="427">
        <f>6529+82</f>
        <v>6611</v>
      </c>
      <c r="R9" s="427">
        <v>2656</v>
      </c>
      <c r="S9" s="427">
        <v>0</v>
      </c>
      <c r="T9" s="427">
        <v>0</v>
      </c>
      <c r="U9" s="427">
        <v>0</v>
      </c>
      <c r="V9" s="427">
        <v>0</v>
      </c>
      <c r="W9" s="427">
        <f t="shared" si="1"/>
        <v>23605</v>
      </c>
      <c r="Y9" s="245"/>
    </row>
    <row r="10" spans="1:25" ht="12.75">
      <c r="A10" s="425">
        <f>'[8]Eredeti Ft'!A10</f>
        <v>0</v>
      </c>
      <c r="B10" s="426">
        <f>'[8]Eredeti Ft'!B10</f>
        <v>0</v>
      </c>
      <c r="C10" s="427">
        <f>ROUND('[8]Eredeti Ft'!C10,-3)/1000</f>
        <v>5208</v>
      </c>
      <c r="D10" s="427">
        <f>ROUND('[8]Eredeti Ft'!D10,-3)/1000</f>
        <v>4514</v>
      </c>
      <c r="E10" s="427">
        <f>ROUND('[8]Eredeti Ft'!E10,-3)/1000</f>
        <v>1406</v>
      </c>
      <c r="F10" s="427">
        <f>ROUND('[8]Eredeti Ft'!F10,-3)/1000</f>
        <v>0</v>
      </c>
      <c r="G10" s="427">
        <f>ROUND('[8]Eredeti Ft'!G10,-3)/1000</f>
        <v>0</v>
      </c>
      <c r="H10" s="427">
        <f>ROUND('[8]Eredeti Ft'!H10,-3)/1000</f>
        <v>0</v>
      </c>
      <c r="I10" s="427">
        <f>ROUND('[8]Eredeti Ft'!I10,-3)/1000</f>
        <v>0</v>
      </c>
      <c r="J10" s="427">
        <f>ROUND('[8]Eredeti Ft'!J10,-3)/1000</f>
        <v>0</v>
      </c>
      <c r="K10" s="427">
        <f>ROUND('[8]Eredeti Ft'!K10,-3)/1000</f>
        <v>0</v>
      </c>
      <c r="L10" s="427">
        <f>ROUND('[8]Eredeti Ft'!L10,-3)/1000</f>
        <v>0</v>
      </c>
      <c r="M10" s="427">
        <f>ROUND('[8]Eredeti Ft'!M10,-3)/1000</f>
        <v>0</v>
      </c>
      <c r="N10" s="427">
        <f t="shared" si="0"/>
        <v>6614</v>
      </c>
      <c r="O10" s="427">
        <f>ROUND('[8]Eredeti Ft'!O10,-3)/1000</f>
        <v>30026</v>
      </c>
      <c r="P10" s="427">
        <f>ROUND('[8]Eredeti Ft'!P10,-3)/1000</f>
        <v>8016</v>
      </c>
      <c r="Q10" s="427">
        <f>ROUND('[8]Eredeti Ft'!Q10,-3)/1000</f>
        <v>11942</v>
      </c>
      <c r="R10" s="427">
        <f>ROUND('[8]Eredeti Ft'!R10,-3)/1000</f>
        <v>5445</v>
      </c>
      <c r="S10" s="427">
        <f>ROUND('[8]Eredeti Ft'!S10,-3)/1000</f>
        <v>0</v>
      </c>
      <c r="T10" s="427">
        <f>ROUND('[8]Eredeti Ft'!T10,-3)/1000</f>
        <v>0</v>
      </c>
      <c r="U10" s="427">
        <f>ROUND('[8]Eredeti Ft'!U10,-3)/1000</f>
        <v>0</v>
      </c>
      <c r="V10" s="427">
        <f>ROUND('[8]Eredeti Ft'!V10,-3)/1000</f>
        <v>0</v>
      </c>
      <c r="W10" s="427">
        <f t="shared" si="1"/>
        <v>49984</v>
      </c>
      <c r="Y10" s="245">
        <f>SUM(O10:V10)-R10</f>
        <v>49984</v>
      </c>
    </row>
    <row r="11" spans="1:25" ht="12.75">
      <c r="A11" s="425"/>
      <c r="B11" s="426" t="s">
        <v>352</v>
      </c>
      <c r="C11" s="427">
        <v>5208</v>
      </c>
      <c r="D11" s="427">
        <v>4514</v>
      </c>
      <c r="E11" s="427">
        <v>1406</v>
      </c>
      <c r="F11" s="427"/>
      <c r="G11" s="427"/>
      <c r="H11" s="427"/>
      <c r="I11" s="427"/>
      <c r="J11" s="427"/>
      <c r="K11" s="427"/>
      <c r="L11" s="427">
        <f>163+271</f>
        <v>434</v>
      </c>
      <c r="M11" s="427"/>
      <c r="N11" s="427">
        <f t="shared" si="0"/>
        <v>7048</v>
      </c>
      <c r="O11" s="427">
        <f>30026+528</f>
        <v>30554</v>
      </c>
      <c r="P11" s="427">
        <f>8016+142</f>
        <v>8158</v>
      </c>
      <c r="Q11" s="427">
        <f>11942+271+162+60</f>
        <v>12435</v>
      </c>
      <c r="R11" s="427">
        <v>5445</v>
      </c>
      <c r="S11" s="427">
        <v>0</v>
      </c>
      <c r="T11" s="427">
        <v>0</v>
      </c>
      <c r="U11" s="427">
        <v>163</v>
      </c>
      <c r="V11" s="427">
        <v>0</v>
      </c>
      <c r="W11" s="427">
        <f t="shared" si="1"/>
        <v>51310</v>
      </c>
      <c r="Y11" s="245"/>
    </row>
    <row r="12" spans="1:25" ht="12.75">
      <c r="A12" s="425">
        <f>'[8]Eredeti Ft'!A11</f>
        <v>0</v>
      </c>
      <c r="B12" s="426">
        <f>'[8]Eredeti Ft'!B11</f>
        <v>0</v>
      </c>
      <c r="C12" s="427">
        <f>ROUND('[8]Eredeti Ft'!C11,-3)/1000</f>
        <v>5632</v>
      </c>
      <c r="D12" s="427">
        <f>ROUND('[8]Eredeti Ft'!D11,-3)/1000</f>
        <v>4625</v>
      </c>
      <c r="E12" s="427">
        <f>ROUND('[8]Eredeti Ft'!E11,-3)/1000</f>
        <v>1521</v>
      </c>
      <c r="F12" s="427">
        <f>ROUND('[8]Eredeti Ft'!F11,-3)/1000</f>
        <v>0</v>
      </c>
      <c r="G12" s="427">
        <f>ROUND('[8]Eredeti Ft'!G11,-3)/1000</f>
        <v>0</v>
      </c>
      <c r="H12" s="427">
        <f>ROUND('[8]Eredeti Ft'!H11,-3)/1000</f>
        <v>0</v>
      </c>
      <c r="I12" s="427">
        <f>ROUND('[8]Eredeti Ft'!I11,-3)/1000</f>
        <v>0</v>
      </c>
      <c r="J12" s="427">
        <f>ROUND('[8]Eredeti Ft'!J11,-3)/1000</f>
        <v>0</v>
      </c>
      <c r="K12" s="427">
        <f>ROUND('[8]Eredeti Ft'!K11,-3)/1000</f>
        <v>0</v>
      </c>
      <c r="L12" s="427">
        <f>ROUND('[8]Eredeti Ft'!L11,-3)/1000</f>
        <v>0</v>
      </c>
      <c r="M12" s="427">
        <f>ROUND('[8]Eredeti Ft'!M11,-3)/1000</f>
        <v>0</v>
      </c>
      <c r="N12" s="427">
        <f t="shared" si="0"/>
        <v>7153</v>
      </c>
      <c r="O12" s="427">
        <f>ROUND('[8]Eredeti Ft'!O11,-3)/1000</f>
        <v>39360</v>
      </c>
      <c r="P12" s="427">
        <f>ROUND('[8]Eredeti Ft'!P11,-3)/1000</f>
        <v>10389</v>
      </c>
      <c r="Q12" s="427">
        <f>ROUND('[8]Eredeti Ft'!Q11,-3)/1000</f>
        <v>18698</v>
      </c>
      <c r="R12" s="427">
        <f>ROUND('[8]Eredeti Ft'!R11,-3)/1000</f>
        <v>6319</v>
      </c>
      <c r="S12" s="427">
        <f>ROUND('[8]Eredeti Ft'!S11,-3)/1000</f>
        <v>0</v>
      </c>
      <c r="T12" s="427">
        <f>ROUND('[8]Eredeti Ft'!T11,-3)/1000</f>
        <v>0</v>
      </c>
      <c r="U12" s="427">
        <f>ROUND('[8]Eredeti Ft'!U11,-3)/1000</f>
        <v>0</v>
      </c>
      <c r="V12" s="427">
        <f>ROUND('[8]Eredeti Ft'!V11,-3)/1000</f>
        <v>0</v>
      </c>
      <c r="W12" s="427">
        <f t="shared" si="1"/>
        <v>68447</v>
      </c>
      <c r="Y12" s="245">
        <f>SUM(O12:V12)-R12</f>
        <v>68447</v>
      </c>
    </row>
    <row r="13" spans="1:25" ht="12.75">
      <c r="A13" s="425"/>
      <c r="B13" s="426" t="s">
        <v>352</v>
      </c>
      <c r="C13" s="427">
        <v>5632</v>
      </c>
      <c r="D13" s="427">
        <v>4625</v>
      </c>
      <c r="E13" s="427">
        <v>1521</v>
      </c>
      <c r="F13" s="427"/>
      <c r="G13" s="427"/>
      <c r="H13" s="427"/>
      <c r="I13" s="427"/>
      <c r="J13" s="427"/>
      <c r="K13" s="427"/>
      <c r="L13" s="427">
        <v>1343</v>
      </c>
      <c r="M13" s="427"/>
      <c r="N13" s="427">
        <f t="shared" si="0"/>
        <v>8496</v>
      </c>
      <c r="O13" s="427">
        <f>39360+329</f>
        <v>39689</v>
      </c>
      <c r="P13" s="427">
        <f>10389+88</f>
        <v>10477</v>
      </c>
      <c r="Q13" s="427">
        <f>18698+1343</f>
        <v>20041</v>
      </c>
      <c r="R13" s="427">
        <v>6319</v>
      </c>
      <c r="S13" s="427">
        <v>0</v>
      </c>
      <c r="T13" s="427">
        <v>0</v>
      </c>
      <c r="U13" s="427">
        <v>0</v>
      </c>
      <c r="V13" s="427">
        <v>0</v>
      </c>
      <c r="W13" s="427">
        <f t="shared" si="1"/>
        <v>70207</v>
      </c>
      <c r="Y13" s="245"/>
    </row>
    <row r="14" spans="1:25" ht="12.75">
      <c r="A14" s="425">
        <f>'[8]Eredeti Ft'!A12</f>
        <v>0</v>
      </c>
      <c r="B14" s="426">
        <f>'[8]Eredeti Ft'!B12</f>
        <v>0</v>
      </c>
      <c r="C14" s="427">
        <f>ROUND('[8]Eredeti Ft'!C12,-3)/1000</f>
        <v>6324</v>
      </c>
      <c r="D14" s="427">
        <f>ROUND('[8]Eredeti Ft'!D12,-3)/1000</f>
        <v>2914</v>
      </c>
      <c r="E14" s="427">
        <f>ROUND('[8]Eredeti Ft'!E12,-3)/1000</f>
        <v>1707</v>
      </c>
      <c r="F14" s="427">
        <f>ROUND('[8]Eredeti Ft'!F12,-3)/1000</f>
        <v>0</v>
      </c>
      <c r="G14" s="427">
        <f>ROUND('[8]Eredeti Ft'!G12,-3)/1000</f>
        <v>0</v>
      </c>
      <c r="H14" s="427">
        <f>ROUND('[8]Eredeti Ft'!H12,-3)/1000</f>
        <v>0</v>
      </c>
      <c r="I14" s="427">
        <f>ROUND('[8]Eredeti Ft'!I12,-3)/1000</f>
        <v>0</v>
      </c>
      <c r="J14" s="427">
        <f>ROUND('[8]Eredeti Ft'!J12,-3)/1000</f>
        <v>0</v>
      </c>
      <c r="K14" s="427">
        <f>ROUND('[8]Eredeti Ft'!K12,-3)/1000</f>
        <v>0</v>
      </c>
      <c r="L14" s="427">
        <f>ROUND('[8]Eredeti Ft'!L12,-3)/1000</f>
        <v>0</v>
      </c>
      <c r="M14" s="427">
        <f>ROUND('[8]Eredeti Ft'!M12,-3)/1000</f>
        <v>0</v>
      </c>
      <c r="N14" s="427">
        <f t="shared" si="0"/>
        <v>8031</v>
      </c>
      <c r="O14" s="427">
        <f>ROUND('[8]Eredeti Ft'!O12,-3)/1000</f>
        <v>28058</v>
      </c>
      <c r="P14" s="427">
        <f>ROUND('[8]Eredeti Ft'!P12,-3)/1000</f>
        <v>7469</v>
      </c>
      <c r="Q14" s="427">
        <f>ROUND('[8]Eredeti Ft'!Q12,-3)/1000</f>
        <v>12810</v>
      </c>
      <c r="R14" s="427">
        <f>ROUND('[8]Eredeti Ft'!R12,-3)/1000</f>
        <v>3566</v>
      </c>
      <c r="S14" s="427">
        <f>ROUND('[8]Eredeti Ft'!S12,-3)/1000</f>
        <v>0</v>
      </c>
      <c r="T14" s="427">
        <f>ROUND('[8]Eredeti Ft'!T12,-3)/1000</f>
        <v>0</v>
      </c>
      <c r="U14" s="427">
        <f>ROUND('[8]Eredeti Ft'!U12,-3)/1000</f>
        <v>0</v>
      </c>
      <c r="V14" s="427">
        <f>ROUND('[8]Eredeti Ft'!V12,-3)/1000</f>
        <v>0</v>
      </c>
      <c r="W14" s="427">
        <f t="shared" si="1"/>
        <v>48337</v>
      </c>
      <c r="Y14" s="245">
        <f>SUM(O14:V14)-R14</f>
        <v>48337</v>
      </c>
    </row>
    <row r="15" spans="1:25" ht="12.75">
      <c r="A15" s="425"/>
      <c r="B15" s="426" t="s">
        <v>352</v>
      </c>
      <c r="C15" s="427">
        <v>6324</v>
      </c>
      <c r="D15" s="427">
        <v>2914</v>
      </c>
      <c r="E15" s="427">
        <v>1707</v>
      </c>
      <c r="F15" s="427"/>
      <c r="G15" s="427"/>
      <c r="H15" s="427"/>
      <c r="I15" s="427"/>
      <c r="J15" s="427"/>
      <c r="K15" s="427"/>
      <c r="L15" s="427">
        <v>164</v>
      </c>
      <c r="M15" s="427"/>
      <c r="N15" s="427">
        <f t="shared" si="0"/>
        <v>8195</v>
      </c>
      <c r="O15" s="427">
        <f>28058+373</f>
        <v>28431</v>
      </c>
      <c r="P15" s="427">
        <f>7469+101</f>
        <v>7570</v>
      </c>
      <c r="Q15" s="427">
        <f>12810+164+121</f>
        <v>13095</v>
      </c>
      <c r="R15" s="427">
        <v>3566</v>
      </c>
      <c r="S15" s="427">
        <v>0</v>
      </c>
      <c r="T15" s="427">
        <v>0</v>
      </c>
      <c r="U15" s="427">
        <v>0</v>
      </c>
      <c r="V15" s="427">
        <v>0</v>
      </c>
      <c r="W15" s="427">
        <f t="shared" si="1"/>
        <v>49096</v>
      </c>
      <c r="Y15" s="245"/>
    </row>
    <row r="16" spans="1:25" ht="12.75">
      <c r="A16" s="425">
        <f>'[8]Eredeti Ft'!A13</f>
        <v>0</v>
      </c>
      <c r="B16" s="426">
        <f>'[8]Eredeti Ft'!B13</f>
        <v>0</v>
      </c>
      <c r="C16" s="427">
        <f>ROUND('[8]Eredeti Ft'!C13,-3)/1000</f>
        <v>4246</v>
      </c>
      <c r="D16" s="427">
        <f>ROUND('[8]Eredeti Ft'!D13,-3)/1000</f>
        <v>3675</v>
      </c>
      <c r="E16" s="427">
        <f>ROUND('[8]Eredeti Ft'!E13,-3)/1000</f>
        <v>1146</v>
      </c>
      <c r="F16" s="427">
        <f>ROUND('[8]Eredeti Ft'!F13,-3)/1000</f>
        <v>0</v>
      </c>
      <c r="G16" s="427">
        <f>ROUND('[8]Eredeti Ft'!G13,-3)/1000</f>
        <v>0</v>
      </c>
      <c r="H16" s="427">
        <f>ROUND('[8]Eredeti Ft'!H13,-3)/1000</f>
        <v>0</v>
      </c>
      <c r="I16" s="427">
        <f>ROUND('[8]Eredeti Ft'!I13,-3)/1000</f>
        <v>0</v>
      </c>
      <c r="J16" s="427">
        <f>ROUND('[8]Eredeti Ft'!J13,-3)/1000</f>
        <v>0</v>
      </c>
      <c r="K16" s="427">
        <f>ROUND('[8]Eredeti Ft'!K13,-3)/1000</f>
        <v>0</v>
      </c>
      <c r="L16" s="427">
        <f>ROUND('[8]Eredeti Ft'!L13,-3)/1000</f>
        <v>0</v>
      </c>
      <c r="M16" s="427">
        <f>ROUND('[8]Eredeti Ft'!M13,-3)/1000</f>
        <v>0</v>
      </c>
      <c r="N16" s="427">
        <f t="shared" si="0"/>
        <v>5392</v>
      </c>
      <c r="O16" s="427">
        <f>ROUND('[8]Eredeti Ft'!O13,-3)/1000</f>
        <v>27200</v>
      </c>
      <c r="P16" s="427">
        <f>ROUND('[8]Eredeti Ft'!P13,-3)/1000-1</f>
        <v>7240</v>
      </c>
      <c r="Q16" s="427">
        <f>ROUND('[8]Eredeti Ft'!Q13,-3)/1000+1</f>
        <v>10915</v>
      </c>
      <c r="R16" s="427">
        <f>ROUND('[8]Eredeti Ft'!R13,-3)/1000</f>
        <v>5224</v>
      </c>
      <c r="S16" s="427">
        <f>ROUND('[8]Eredeti Ft'!S13,-3)/1000</f>
        <v>0</v>
      </c>
      <c r="T16" s="427">
        <f>ROUND('[8]Eredeti Ft'!T13,-3)/1000</f>
        <v>0</v>
      </c>
      <c r="U16" s="427">
        <f>ROUND('[8]Eredeti Ft'!U13,-3)/1000</f>
        <v>0</v>
      </c>
      <c r="V16" s="427">
        <f>ROUND('[8]Eredeti Ft'!V13,-3)/1000</f>
        <v>0</v>
      </c>
      <c r="W16" s="427">
        <f t="shared" si="1"/>
        <v>45355</v>
      </c>
      <c r="Y16" s="245">
        <f>SUM(O16:V16)-R16</f>
        <v>45355</v>
      </c>
    </row>
    <row r="17" spans="1:25" ht="12.75">
      <c r="A17" s="425"/>
      <c r="B17" s="426" t="s">
        <v>352</v>
      </c>
      <c r="C17" s="427">
        <v>4246</v>
      </c>
      <c r="D17" s="427">
        <v>3675</v>
      </c>
      <c r="E17" s="427">
        <v>1146</v>
      </c>
      <c r="F17" s="427"/>
      <c r="G17" s="427"/>
      <c r="H17" s="427"/>
      <c r="I17" s="427"/>
      <c r="J17" s="427"/>
      <c r="K17" s="427"/>
      <c r="L17" s="427"/>
      <c r="M17" s="427"/>
      <c r="N17" s="427">
        <f t="shared" si="0"/>
        <v>5392</v>
      </c>
      <c r="O17" s="427">
        <f>27200+512</f>
        <v>27712</v>
      </c>
      <c r="P17" s="427">
        <f>7240+139</f>
        <v>7379</v>
      </c>
      <c r="Q17" s="427">
        <f>10915+200</f>
        <v>11115</v>
      </c>
      <c r="R17" s="427">
        <v>5224</v>
      </c>
      <c r="S17" s="427">
        <v>0</v>
      </c>
      <c r="T17" s="427">
        <v>0</v>
      </c>
      <c r="U17" s="427">
        <v>0</v>
      </c>
      <c r="V17" s="427">
        <v>0</v>
      </c>
      <c r="W17" s="427">
        <f t="shared" si="1"/>
        <v>46206</v>
      </c>
      <c r="Y17" s="245"/>
    </row>
    <row r="18" spans="1:25" ht="12.75">
      <c r="A18" s="425">
        <f>'[8]Eredeti Ft'!A14</f>
        <v>0</v>
      </c>
      <c r="B18" s="426">
        <f>'[8]Eredeti Ft'!B14</f>
        <v>0</v>
      </c>
      <c r="C18" s="427">
        <f>ROUND('[8]Eredeti Ft'!C14,-3)/1000-1</f>
        <v>1065</v>
      </c>
      <c r="D18" s="427">
        <f>ROUND('[8]Eredeti Ft'!D14,-3)/1000</f>
        <v>903</v>
      </c>
      <c r="E18" s="427">
        <f>ROUND('[8]Eredeti Ft'!E14,-3)/1000</f>
        <v>288</v>
      </c>
      <c r="F18" s="427">
        <f>ROUND('[8]Eredeti Ft'!F14,-3)/1000</f>
        <v>0</v>
      </c>
      <c r="G18" s="427">
        <f>ROUND('[8]Eredeti Ft'!G14,-3)/1000</f>
        <v>0</v>
      </c>
      <c r="H18" s="427">
        <f>ROUND('[8]Eredeti Ft'!H14,-3)/1000</f>
        <v>0</v>
      </c>
      <c r="I18" s="427">
        <f>ROUND('[8]Eredeti Ft'!I14,-3)/1000</f>
        <v>0</v>
      </c>
      <c r="J18" s="427">
        <f>ROUND('[8]Eredeti Ft'!J14,-3)/1000</f>
        <v>0</v>
      </c>
      <c r="K18" s="427">
        <f>ROUND('[8]Eredeti Ft'!K14,-3)/1000</f>
        <v>0</v>
      </c>
      <c r="L18" s="427">
        <f>ROUND('[8]Eredeti Ft'!L14,-3)/1000</f>
        <v>0</v>
      </c>
      <c r="M18" s="427">
        <f>ROUND('[8]Eredeti Ft'!M14,-3)/1000</f>
        <v>0</v>
      </c>
      <c r="N18" s="427">
        <f t="shared" si="0"/>
        <v>1353</v>
      </c>
      <c r="O18" s="427">
        <f>ROUND('[8]Eredeti Ft'!O14,-3)/1000</f>
        <v>7337</v>
      </c>
      <c r="P18" s="427">
        <f>ROUND('[8]Eredeti Ft'!P14,-3)/1000</f>
        <v>1978</v>
      </c>
      <c r="Q18" s="427">
        <f>ROUND('[8]Eredeti Ft'!Q14,-3)/1000</f>
        <v>3190</v>
      </c>
      <c r="R18" s="427">
        <f>ROUND('[8]Eredeti Ft'!R14,-3)/1000</f>
        <v>1189</v>
      </c>
      <c r="S18" s="427">
        <f>ROUND('[8]Eredeti Ft'!S14,-3)/1000</f>
        <v>0</v>
      </c>
      <c r="T18" s="427">
        <f>ROUND('[8]Eredeti Ft'!T14,-3)/1000</f>
        <v>0</v>
      </c>
      <c r="U18" s="427">
        <f>ROUND('[8]Eredeti Ft'!U14,-3)/1000</f>
        <v>0</v>
      </c>
      <c r="V18" s="427">
        <f>ROUND('[8]Eredeti Ft'!V14,-3)/1000</f>
        <v>0</v>
      </c>
      <c r="W18" s="427">
        <f t="shared" si="1"/>
        <v>12505</v>
      </c>
      <c r="Y18" s="245">
        <f>SUM(O18:V18)-R18</f>
        <v>12505</v>
      </c>
    </row>
    <row r="19" spans="1:25" ht="12.75">
      <c r="A19" s="425"/>
      <c r="B19" s="426" t="s">
        <v>352</v>
      </c>
      <c r="C19" s="427">
        <v>1065</v>
      </c>
      <c r="D19" s="427">
        <v>903</v>
      </c>
      <c r="E19" s="427">
        <v>288</v>
      </c>
      <c r="F19" s="427"/>
      <c r="G19" s="427"/>
      <c r="H19" s="427"/>
      <c r="I19" s="427">
        <f>179</f>
        <v>179</v>
      </c>
      <c r="J19" s="427"/>
      <c r="K19" s="427"/>
      <c r="L19" s="427">
        <v>7</v>
      </c>
      <c r="M19" s="427"/>
      <c r="N19" s="427">
        <f t="shared" si="0"/>
        <v>1539</v>
      </c>
      <c r="O19" s="427">
        <f>7337+141+57</f>
        <v>7535</v>
      </c>
      <c r="P19" s="427">
        <f>1978+38+16</f>
        <v>2032</v>
      </c>
      <c r="Q19" s="427">
        <f>3190+7+100</f>
        <v>3297</v>
      </c>
      <c r="R19" s="427">
        <v>1189</v>
      </c>
      <c r="S19" s="427">
        <v>0</v>
      </c>
      <c r="T19" s="427">
        <v>0</v>
      </c>
      <c r="U19" s="427">
        <v>0</v>
      </c>
      <c r="V19" s="427">
        <v>0</v>
      </c>
      <c r="W19" s="427">
        <f t="shared" si="1"/>
        <v>12864</v>
      </c>
      <c r="Y19" s="245"/>
    </row>
    <row r="20" spans="1:25" ht="12.75">
      <c r="A20" s="425">
        <f>'[8]Eredeti Ft'!A15</f>
        <v>0</v>
      </c>
      <c r="B20" s="426">
        <f>'[8]Eredeti Ft'!B15</f>
        <v>0</v>
      </c>
      <c r="C20" s="427">
        <f>ROUND('[8]Eredeti Ft'!C15,-3)/1000</f>
        <v>7643</v>
      </c>
      <c r="D20" s="427">
        <f>ROUND('[8]Eredeti Ft'!D15,-3)/1000</f>
        <v>4288</v>
      </c>
      <c r="E20" s="427">
        <f>ROUND('[8]Eredeti Ft'!E15,-3)/1000</f>
        <v>2064</v>
      </c>
      <c r="F20" s="427">
        <f>ROUND('[8]Eredeti Ft'!F15,-3)/1000</f>
        <v>0</v>
      </c>
      <c r="G20" s="427">
        <f>ROUND('[8]Eredeti Ft'!G15,-3)/1000</f>
        <v>0</v>
      </c>
      <c r="H20" s="427">
        <f>ROUND('[8]Eredeti Ft'!H15,-3)/1000</f>
        <v>0</v>
      </c>
      <c r="I20" s="427">
        <f>ROUND('[8]Eredeti Ft'!I15,-3)/1000</f>
        <v>0</v>
      </c>
      <c r="J20" s="427">
        <f>ROUND('[8]Eredeti Ft'!J15,-3)/1000</f>
        <v>0</v>
      </c>
      <c r="K20" s="427">
        <f>ROUND('[8]Eredeti Ft'!K15,-3)/1000</f>
        <v>0</v>
      </c>
      <c r="L20" s="427">
        <f>ROUND('[8]Eredeti Ft'!L15,-3)/1000</f>
        <v>0</v>
      </c>
      <c r="M20" s="427">
        <f>ROUND('[8]Eredeti Ft'!M15,-3)/1000</f>
        <v>0</v>
      </c>
      <c r="N20" s="427">
        <f t="shared" si="0"/>
        <v>9707</v>
      </c>
      <c r="O20" s="427">
        <f>ROUND('[8]Eredeti Ft'!O15,-3)/1000</f>
        <v>46369</v>
      </c>
      <c r="P20" s="427">
        <f>ROUND('[8]Eredeti Ft'!P15,-3)/1000</f>
        <v>12305</v>
      </c>
      <c r="Q20" s="427">
        <f>ROUND('[8]Eredeti Ft'!Q15,-3)/1000</f>
        <v>19538</v>
      </c>
      <c r="R20" s="427">
        <f>ROUND('[8]Eredeti Ft'!R15,-3)/1000</f>
        <v>5213</v>
      </c>
      <c r="S20" s="427">
        <f>ROUND('[8]Eredeti Ft'!S15,-3)/1000</f>
        <v>0</v>
      </c>
      <c r="T20" s="427">
        <f>ROUND('[8]Eredeti Ft'!T15,-3)/1000</f>
        <v>0</v>
      </c>
      <c r="U20" s="427">
        <f>ROUND('[8]Eredeti Ft'!U15,-3)/1000</f>
        <v>0</v>
      </c>
      <c r="V20" s="427">
        <f>ROUND('[8]Eredeti Ft'!V15,-3)/1000</f>
        <v>0</v>
      </c>
      <c r="W20" s="427">
        <f t="shared" si="1"/>
        <v>78212</v>
      </c>
      <c r="Y20" s="245">
        <f>SUM(O20:V20)-R20</f>
        <v>78212</v>
      </c>
    </row>
    <row r="21" spans="1:25" ht="12.75">
      <c r="A21" s="425"/>
      <c r="B21" s="426" t="s">
        <v>352</v>
      </c>
      <c r="C21" s="427">
        <v>7643</v>
      </c>
      <c r="D21" s="427">
        <v>4288</v>
      </c>
      <c r="E21" s="427">
        <v>2064</v>
      </c>
      <c r="F21" s="427"/>
      <c r="G21" s="427"/>
      <c r="H21" s="427"/>
      <c r="I21" s="427"/>
      <c r="J21" s="427"/>
      <c r="K21" s="427"/>
      <c r="L21" s="427">
        <v>1248</v>
      </c>
      <c r="M21" s="427"/>
      <c r="N21" s="427">
        <f t="shared" si="0"/>
        <v>10955</v>
      </c>
      <c r="O21" s="427">
        <f>46369+216+726</f>
        <v>47311</v>
      </c>
      <c r="P21" s="427">
        <f>12305+58+196</f>
        <v>12559</v>
      </c>
      <c r="Q21" s="427">
        <f>19538+974</f>
        <v>20512</v>
      </c>
      <c r="R21" s="427">
        <v>5213</v>
      </c>
      <c r="S21" s="427">
        <v>0</v>
      </c>
      <c r="T21" s="427">
        <v>0</v>
      </c>
      <c r="U21" s="427">
        <v>0</v>
      </c>
      <c r="V21" s="427">
        <v>0</v>
      </c>
      <c r="W21" s="427">
        <f t="shared" si="1"/>
        <v>80382</v>
      </c>
      <c r="Y21" s="245"/>
    </row>
    <row r="22" spans="1:25" ht="12.75">
      <c r="A22" s="425">
        <f>'[8]Eredeti Ft'!A16</f>
        <v>0</v>
      </c>
      <c r="B22" s="426">
        <f>'[8]Eredeti Ft'!B16</f>
        <v>0</v>
      </c>
      <c r="C22" s="427">
        <f>ROUND('[8]Eredeti Ft'!C16,-3)/1000</f>
        <v>14229</v>
      </c>
      <c r="D22" s="427">
        <f>ROUND('[8]Eredeti Ft'!D16,-3)/1000</f>
        <v>11136</v>
      </c>
      <c r="E22" s="427">
        <f>ROUND('[8]Eredeti Ft'!E16,-3)/1000</f>
        <v>3166</v>
      </c>
      <c r="F22" s="427">
        <f>ROUND('[8]Eredeti Ft'!F16,-3)/1000</f>
        <v>0</v>
      </c>
      <c r="G22" s="427">
        <f>ROUND('[8]Eredeti Ft'!G16,-3)/1000</f>
        <v>1240</v>
      </c>
      <c r="H22" s="427">
        <f>ROUND('[8]Eredeti Ft'!H16,-3)/1000</f>
        <v>0</v>
      </c>
      <c r="I22" s="427">
        <f>ROUND('[8]Eredeti Ft'!I16,-3)/1000</f>
        <v>0</v>
      </c>
      <c r="J22" s="427">
        <f>ROUND('[8]Eredeti Ft'!J16,-3)/1000</f>
        <v>0</v>
      </c>
      <c r="K22" s="427">
        <f>ROUND('[8]Eredeti Ft'!K16,-3)/1000</f>
        <v>0</v>
      </c>
      <c r="L22" s="427">
        <f>ROUND('[8]Eredeti Ft'!L16,-3)/1000</f>
        <v>0</v>
      </c>
      <c r="M22" s="427">
        <f>ROUND('[8]Eredeti Ft'!M16,-3)/1000</f>
        <v>0</v>
      </c>
      <c r="N22" s="427">
        <f t="shared" si="0"/>
        <v>18635</v>
      </c>
      <c r="O22" s="427">
        <f>ROUND('[8]Eredeti Ft'!O16,-3)/1000</f>
        <v>160370</v>
      </c>
      <c r="P22" s="427">
        <f>ROUND('[8]Eredeti Ft'!P16,-3)/1000</f>
        <v>42898</v>
      </c>
      <c r="Q22" s="427">
        <f>ROUND('[8]Eredeti Ft'!Q16,-3)/1000</f>
        <v>73018</v>
      </c>
      <c r="R22" s="427">
        <f>ROUND('[8]Eredeti Ft'!R16,-3)/1000</f>
        <v>33963</v>
      </c>
      <c r="S22" s="427">
        <f>ROUND('[8]Eredeti Ft'!S16,-3)/1000</f>
        <v>3600</v>
      </c>
      <c r="T22" s="427">
        <f>ROUND('[8]Eredeti Ft'!T16,-3)/1000</f>
        <v>0</v>
      </c>
      <c r="U22" s="427">
        <f>ROUND('[8]Eredeti Ft'!U16,-3)/1000</f>
        <v>0</v>
      </c>
      <c r="V22" s="427">
        <f>ROUND('[8]Eredeti Ft'!V16,-3)/1000</f>
        <v>0</v>
      </c>
      <c r="W22" s="427">
        <f t="shared" si="1"/>
        <v>279886</v>
      </c>
      <c r="Y22" s="245">
        <f>SUM(O22:V22)-R22</f>
        <v>279886</v>
      </c>
    </row>
    <row r="23" spans="1:25" ht="12.75">
      <c r="A23" s="425"/>
      <c r="B23" s="426" t="s">
        <v>352</v>
      </c>
      <c r="C23" s="427">
        <f>14229+20</f>
        <v>14249</v>
      </c>
      <c r="D23" s="427">
        <v>11136</v>
      </c>
      <c r="E23" s="427">
        <v>3166</v>
      </c>
      <c r="F23" s="427"/>
      <c r="G23" s="427">
        <f>1240+462</f>
        <v>1702</v>
      </c>
      <c r="H23" s="427"/>
      <c r="I23" s="427"/>
      <c r="J23" s="427"/>
      <c r="K23" s="427"/>
      <c r="L23" s="427">
        <f>858+3289</f>
        <v>4147</v>
      </c>
      <c r="M23" s="427"/>
      <c r="N23" s="427">
        <f t="shared" si="0"/>
        <v>23264</v>
      </c>
      <c r="O23" s="427">
        <f>160370+364+644+2016+581</f>
        <v>163975</v>
      </c>
      <c r="P23" s="427">
        <f>42898+157+541+98+174</f>
        <v>43868</v>
      </c>
      <c r="Q23" s="427">
        <f>73018+20+100+150+3289+40+68+623-581-157</f>
        <v>76570</v>
      </c>
      <c r="R23" s="427">
        <v>33963</v>
      </c>
      <c r="S23" s="427">
        <v>3600</v>
      </c>
      <c r="T23" s="427">
        <v>0</v>
      </c>
      <c r="U23" s="427">
        <v>0</v>
      </c>
      <c r="V23" s="427">
        <v>0</v>
      </c>
      <c r="W23" s="427">
        <f t="shared" si="1"/>
        <v>288013</v>
      </c>
      <c r="Y23" s="245"/>
    </row>
    <row r="24" spans="1:25" ht="12.75">
      <c r="A24" s="425">
        <f>'[8]Eredeti Ft'!A17</f>
        <v>0</v>
      </c>
      <c r="B24" s="426">
        <f>'[8]Eredeti Ft'!B17</f>
        <v>0</v>
      </c>
      <c r="C24" s="427">
        <f>ROUND('[8]Eredeti Ft'!C17,-3)/1000</f>
        <v>0</v>
      </c>
      <c r="D24" s="427">
        <f>ROUND('[8]Eredeti Ft'!D17,-3)/1000</f>
        <v>0</v>
      </c>
      <c r="E24" s="427">
        <f>ROUND('[8]Eredeti Ft'!E17,-3)/1000</f>
        <v>0</v>
      </c>
      <c r="F24" s="427">
        <f>ROUND('[8]Eredeti Ft'!F17,-3)/1000</f>
        <v>0</v>
      </c>
      <c r="G24" s="427">
        <f>ROUND('[8]Eredeti Ft'!G17,-3)/1000</f>
        <v>0</v>
      </c>
      <c r="H24" s="427">
        <f>ROUND('[8]Eredeti Ft'!H17,-3)/1000</f>
        <v>0</v>
      </c>
      <c r="I24" s="427">
        <f>ROUND('[8]Eredeti Ft'!I17,-3)/1000</f>
        <v>4702</v>
      </c>
      <c r="J24" s="427">
        <f>ROUND('[8]Eredeti Ft'!J17,-3)/1000</f>
        <v>0</v>
      </c>
      <c r="K24" s="427">
        <f>ROUND('[8]Eredeti Ft'!K17,-3)/1000</f>
        <v>0</v>
      </c>
      <c r="L24" s="427">
        <f>ROUND('[8]Eredeti Ft'!L17,-3)/1000</f>
        <v>0</v>
      </c>
      <c r="M24" s="427">
        <f>ROUND('[8]Eredeti Ft'!M17,-3)/1000</f>
        <v>0</v>
      </c>
      <c r="N24" s="427">
        <f t="shared" si="0"/>
        <v>4702</v>
      </c>
      <c r="O24" s="427">
        <f>ROUND('[8]Eredeti Ft'!O17,-3)/1000</f>
        <v>24937</v>
      </c>
      <c r="P24" s="427">
        <f>ROUND('[8]Eredeti Ft'!P17,-3)/1000</f>
        <v>6600</v>
      </c>
      <c r="Q24" s="427">
        <f>ROUND('[8]Eredeti Ft'!Q17,-3)/1000</f>
        <v>2077</v>
      </c>
      <c r="R24" s="427">
        <f>ROUND('[8]Eredeti Ft'!R17,-3)/1000</f>
        <v>0</v>
      </c>
      <c r="S24" s="427">
        <f>ROUND('[8]Eredeti Ft'!S17,-3)/1000</f>
        <v>0</v>
      </c>
      <c r="T24" s="427">
        <f>ROUND('[8]Eredeti Ft'!T17,-3)/1000</f>
        <v>0</v>
      </c>
      <c r="U24" s="427">
        <f>ROUND('[8]Eredeti Ft'!U17,-3)/1000</f>
        <v>0</v>
      </c>
      <c r="V24" s="427">
        <f>ROUND('[8]Eredeti Ft'!V17,-3)/1000</f>
        <v>0</v>
      </c>
      <c r="W24" s="427">
        <f t="shared" si="1"/>
        <v>33614</v>
      </c>
      <c r="Y24" s="245">
        <f>SUM(O24:V24)-R24</f>
        <v>33614</v>
      </c>
    </row>
    <row r="25" spans="1:25" ht="12.75">
      <c r="A25" s="425"/>
      <c r="B25" s="426" t="s">
        <v>352</v>
      </c>
      <c r="C25" s="427"/>
      <c r="D25" s="427"/>
      <c r="E25" s="427"/>
      <c r="F25" s="427"/>
      <c r="G25" s="427"/>
      <c r="H25" s="427"/>
      <c r="I25" s="427">
        <v>4702</v>
      </c>
      <c r="J25" s="427"/>
      <c r="K25" s="427"/>
      <c r="L25" s="427">
        <v>416</v>
      </c>
      <c r="M25" s="427"/>
      <c r="N25" s="427">
        <f t="shared" si="0"/>
        <v>5118</v>
      </c>
      <c r="O25" s="427">
        <f>24937+310+71</f>
        <v>25318</v>
      </c>
      <c r="P25" s="427">
        <f>6600+84+19</f>
        <v>6703</v>
      </c>
      <c r="Q25" s="427">
        <f>2077+22</f>
        <v>2099</v>
      </c>
      <c r="R25" s="427">
        <v>0</v>
      </c>
      <c r="S25" s="427">
        <v>0</v>
      </c>
      <c r="T25" s="427">
        <v>0</v>
      </c>
      <c r="U25" s="427">
        <v>0</v>
      </c>
      <c r="V25" s="427">
        <v>0</v>
      </c>
      <c r="W25" s="427">
        <f t="shared" si="1"/>
        <v>34120</v>
      </c>
      <c r="Y25" s="245"/>
    </row>
    <row r="26" spans="1:25" ht="12.75">
      <c r="A26" s="425">
        <f>'[8]Eredeti Ft'!A18</f>
        <v>0</v>
      </c>
      <c r="B26" s="426">
        <f>'[8]Eredeti Ft'!B18</f>
        <v>0</v>
      </c>
      <c r="C26" s="427">
        <f>ROUND('[8]Eredeti Ft'!C18,-3)/1000</f>
        <v>7972</v>
      </c>
      <c r="D26" s="427">
        <f>ROUND('[8]Eredeti Ft'!D18,-3)/1000</f>
        <v>7582</v>
      </c>
      <c r="E26" s="427">
        <f>ROUND('[8]Eredeti Ft'!E18,-3)/1000</f>
        <v>2101</v>
      </c>
      <c r="F26" s="427">
        <f>ROUND('[8]Eredeti Ft'!F18,-3)/1000</f>
        <v>0</v>
      </c>
      <c r="G26" s="427">
        <f>ROUND('[8]Eredeti Ft'!G18,-3)/1000</f>
        <v>0</v>
      </c>
      <c r="H26" s="427">
        <f>ROUND('[8]Eredeti Ft'!H18,-3)/1000</f>
        <v>0</v>
      </c>
      <c r="I26" s="427">
        <f>ROUND('[8]Eredeti Ft'!I18,-3)/1000</f>
        <v>0</v>
      </c>
      <c r="J26" s="427">
        <f>ROUND('[8]Eredeti Ft'!J18,-3)/1000</f>
        <v>0</v>
      </c>
      <c r="K26" s="427">
        <f>ROUND('[8]Eredeti Ft'!K18,-3)/1000</f>
        <v>0</v>
      </c>
      <c r="L26" s="427">
        <f>ROUND('[8]Eredeti Ft'!L18,-3)/1000</f>
        <v>0</v>
      </c>
      <c r="M26" s="427">
        <f>ROUND('[8]Eredeti Ft'!M18,-3)/1000</f>
        <v>0</v>
      </c>
      <c r="N26" s="427">
        <f t="shared" si="0"/>
        <v>10073</v>
      </c>
      <c r="O26" s="427">
        <f>ROUND('[8]Eredeti Ft'!O18,-3)/1000</f>
        <v>43708</v>
      </c>
      <c r="P26" s="427">
        <f>ROUND('[8]Eredeti Ft'!P18,-3)/1000</f>
        <v>11769</v>
      </c>
      <c r="Q26" s="427">
        <f>ROUND('[8]Eredeti Ft'!Q18,-3)/1000</f>
        <v>28581</v>
      </c>
      <c r="R26" s="427">
        <f>ROUND('[8]Eredeti Ft'!R18,-3)/1000</f>
        <v>17671</v>
      </c>
      <c r="S26" s="427">
        <f>ROUND('[8]Eredeti Ft'!S18,-3)/1000</f>
        <v>1080</v>
      </c>
      <c r="T26" s="427">
        <f>ROUND('[8]Eredeti Ft'!T18,-3)/1000</f>
        <v>0</v>
      </c>
      <c r="U26" s="427">
        <f>ROUND('[8]Eredeti Ft'!U18,-3)/1000</f>
        <v>0</v>
      </c>
      <c r="V26" s="427">
        <f>ROUND('[8]Eredeti Ft'!V18,-3)/1000</f>
        <v>0</v>
      </c>
      <c r="W26" s="427">
        <f t="shared" si="1"/>
        <v>85138</v>
      </c>
      <c r="Y26" s="245">
        <f>SUM(O26:V26)-R26</f>
        <v>85138</v>
      </c>
    </row>
    <row r="27" spans="1:25" ht="12.75">
      <c r="A27" s="425"/>
      <c r="B27" s="426" t="s">
        <v>352</v>
      </c>
      <c r="C27" s="427">
        <f>7972+400</f>
        <v>8372</v>
      </c>
      <c r="D27" s="427">
        <v>7582</v>
      </c>
      <c r="E27" s="427">
        <v>2101</v>
      </c>
      <c r="F27" s="427"/>
      <c r="G27" s="427"/>
      <c r="H27" s="427"/>
      <c r="I27" s="427"/>
      <c r="J27" s="427"/>
      <c r="K27" s="427"/>
      <c r="L27" s="427">
        <f>478+1308</f>
        <v>1786</v>
      </c>
      <c r="M27" s="427"/>
      <c r="N27" s="427">
        <f t="shared" si="0"/>
        <v>12259</v>
      </c>
      <c r="O27" s="427">
        <f>43708+315+170+652+1030+540+232+196</f>
        <v>46843</v>
      </c>
      <c r="P27" s="427">
        <f>11769+85+46+176+278+146+63+53</f>
        <v>12616</v>
      </c>
      <c r="Q27" s="427">
        <f>28581+262+72</f>
        <v>28915</v>
      </c>
      <c r="R27" s="427">
        <v>17671</v>
      </c>
      <c r="S27" s="427">
        <v>1080</v>
      </c>
      <c r="T27" s="427">
        <v>0</v>
      </c>
      <c r="U27" s="427">
        <v>0</v>
      </c>
      <c r="V27" s="427">
        <v>0</v>
      </c>
      <c r="W27" s="427">
        <f t="shared" si="1"/>
        <v>89454</v>
      </c>
      <c r="Y27" s="245"/>
    </row>
    <row r="28" spans="1:25" ht="12.75">
      <c r="A28" s="425">
        <f>'[8]Eredeti Ft'!A19</f>
        <v>0</v>
      </c>
      <c r="B28" s="426">
        <f>'[8]Eredeti Ft'!B19</f>
        <v>0</v>
      </c>
      <c r="C28" s="427">
        <f>ROUND('[8]Eredeti Ft'!C19,-3)/1000</f>
        <v>2093</v>
      </c>
      <c r="D28" s="427">
        <f>ROUND('[8]Eredeti Ft'!D19,-3)/1000</f>
        <v>1395</v>
      </c>
      <c r="E28" s="427">
        <f>ROUND('[8]Eredeti Ft'!E19,-3)/1000</f>
        <v>565</v>
      </c>
      <c r="F28" s="427">
        <f>ROUND('[8]Eredeti Ft'!F19,-3)/1000</f>
        <v>0</v>
      </c>
      <c r="G28" s="427">
        <f>ROUND('[8]Eredeti Ft'!G19,-3)/1000</f>
        <v>0</v>
      </c>
      <c r="H28" s="427">
        <f>ROUND('[8]Eredeti Ft'!H19,-3)/1000</f>
        <v>0</v>
      </c>
      <c r="I28" s="427">
        <f>ROUND('[8]Eredeti Ft'!I19,-3)/1000</f>
        <v>0</v>
      </c>
      <c r="J28" s="427">
        <f>ROUND('[8]Eredeti Ft'!J19,-3)/1000</f>
        <v>0</v>
      </c>
      <c r="K28" s="427">
        <f>ROUND('[8]Eredeti Ft'!K19,-3)/1000</f>
        <v>0</v>
      </c>
      <c r="L28" s="427">
        <f>ROUND('[8]Eredeti Ft'!L19,-3)/1000</f>
        <v>0</v>
      </c>
      <c r="M28" s="427">
        <f>ROUND('[8]Eredeti Ft'!M19,-3)/1000</f>
        <v>0</v>
      </c>
      <c r="N28" s="427">
        <f t="shared" si="0"/>
        <v>2658</v>
      </c>
      <c r="O28" s="427">
        <f>ROUND('[8]Eredeti Ft'!O19,-3)/1000</f>
        <v>32650</v>
      </c>
      <c r="P28" s="427">
        <f>ROUND('[8]Eredeti Ft'!P19,-3)/1000</f>
        <v>8655</v>
      </c>
      <c r="Q28" s="427">
        <f>ROUND('[8]Eredeti Ft'!Q19,-3)/1000</f>
        <v>13855</v>
      </c>
      <c r="R28" s="427">
        <f>ROUND('[8]Eredeti Ft'!R19,-3)/1000</f>
        <v>4542</v>
      </c>
      <c r="S28" s="427">
        <f>ROUND('[8]Eredeti Ft'!S19,-3)/1000</f>
        <v>540</v>
      </c>
      <c r="T28" s="427">
        <f>ROUND('[8]Eredeti Ft'!T19,-3)/1000</f>
        <v>0</v>
      </c>
      <c r="U28" s="427">
        <f>ROUND('[8]Eredeti Ft'!U19,-3)/1000</f>
        <v>0</v>
      </c>
      <c r="V28" s="427">
        <f>ROUND('[8]Eredeti Ft'!V19,-3)/1000</f>
        <v>0</v>
      </c>
      <c r="W28" s="427">
        <f t="shared" si="1"/>
        <v>55700</v>
      </c>
      <c r="Y28" s="245">
        <f>SUM(O28:V28)-R28</f>
        <v>55700</v>
      </c>
    </row>
    <row r="29" spans="1:25" ht="12.75">
      <c r="A29" s="425"/>
      <c r="B29" s="426" t="s">
        <v>352</v>
      </c>
      <c r="C29" s="427">
        <v>2093</v>
      </c>
      <c r="D29" s="427">
        <v>1395</v>
      </c>
      <c r="E29" s="427">
        <v>565</v>
      </c>
      <c r="F29" s="427"/>
      <c r="G29" s="427"/>
      <c r="H29" s="427"/>
      <c r="I29" s="427"/>
      <c r="J29" s="427"/>
      <c r="K29" s="427"/>
      <c r="L29" s="427">
        <v>422</v>
      </c>
      <c r="M29" s="427"/>
      <c r="N29" s="427">
        <f t="shared" si="0"/>
        <v>3080</v>
      </c>
      <c r="O29" s="427">
        <f>32650+27+301</f>
        <v>32978</v>
      </c>
      <c r="P29" s="427">
        <f>8655+7+81</f>
        <v>8743</v>
      </c>
      <c r="Q29" s="427">
        <f>13855+388</f>
        <v>14243</v>
      </c>
      <c r="R29" s="427">
        <v>4542</v>
      </c>
      <c r="S29" s="427">
        <v>540</v>
      </c>
      <c r="T29" s="427">
        <v>0</v>
      </c>
      <c r="U29" s="427">
        <v>0</v>
      </c>
      <c r="V29" s="427">
        <v>0</v>
      </c>
      <c r="W29" s="427">
        <f t="shared" si="1"/>
        <v>56504</v>
      </c>
      <c r="Y29" s="245"/>
    </row>
    <row r="30" spans="1:25" ht="12.75">
      <c r="A30" s="428">
        <f>'[8]Eredeti Ft'!A20</f>
        <v>0</v>
      </c>
      <c r="B30" s="429">
        <f>'[8]Eredeti Ft'!B20</f>
        <v>0</v>
      </c>
      <c r="C30" s="430">
        <f aca="true" t="shared" si="2" ref="C30:W31">C22+C24+C26+C28</f>
        <v>24294</v>
      </c>
      <c r="D30" s="430">
        <f t="shared" si="2"/>
        <v>20113</v>
      </c>
      <c r="E30" s="430">
        <f t="shared" si="2"/>
        <v>5832</v>
      </c>
      <c r="F30" s="430">
        <f t="shared" si="2"/>
        <v>0</v>
      </c>
      <c r="G30" s="430">
        <f t="shared" si="2"/>
        <v>1240</v>
      </c>
      <c r="H30" s="430">
        <f t="shared" si="2"/>
        <v>0</v>
      </c>
      <c r="I30" s="430">
        <f t="shared" si="2"/>
        <v>4702</v>
      </c>
      <c r="J30" s="430">
        <f t="shared" si="2"/>
        <v>0</v>
      </c>
      <c r="K30" s="430">
        <f t="shared" si="2"/>
        <v>0</v>
      </c>
      <c r="L30" s="430">
        <f t="shared" si="2"/>
        <v>0</v>
      </c>
      <c r="M30" s="430">
        <f t="shared" si="2"/>
        <v>0</v>
      </c>
      <c r="N30" s="430">
        <f t="shared" si="2"/>
        <v>36068</v>
      </c>
      <c r="O30" s="430">
        <f t="shared" si="2"/>
        <v>261665</v>
      </c>
      <c r="P30" s="430">
        <f t="shared" si="2"/>
        <v>69922</v>
      </c>
      <c r="Q30" s="430">
        <f t="shared" si="2"/>
        <v>117531</v>
      </c>
      <c r="R30" s="430">
        <f t="shared" si="2"/>
        <v>56176</v>
      </c>
      <c r="S30" s="430">
        <f t="shared" si="2"/>
        <v>5220</v>
      </c>
      <c r="T30" s="430">
        <f t="shared" si="2"/>
        <v>0</v>
      </c>
      <c r="U30" s="430">
        <f t="shared" si="2"/>
        <v>0</v>
      </c>
      <c r="V30" s="430">
        <f t="shared" si="2"/>
        <v>0</v>
      </c>
      <c r="W30" s="430">
        <f t="shared" si="2"/>
        <v>454338</v>
      </c>
      <c r="X30">
        <f>SUM(X22:X28)</f>
        <v>0</v>
      </c>
      <c r="Y30" s="245"/>
    </row>
    <row r="31" spans="1:25" ht="12.75">
      <c r="A31" s="428"/>
      <c r="B31" s="426" t="s">
        <v>352</v>
      </c>
      <c r="C31" s="430">
        <f>C23+C25+C27+C29</f>
        <v>24714</v>
      </c>
      <c r="D31" s="430">
        <f t="shared" si="2"/>
        <v>20113</v>
      </c>
      <c r="E31" s="430">
        <f t="shared" si="2"/>
        <v>5832</v>
      </c>
      <c r="F31" s="430">
        <f t="shared" si="2"/>
        <v>0</v>
      </c>
      <c r="G31" s="430">
        <f t="shared" si="2"/>
        <v>1702</v>
      </c>
      <c r="H31" s="430">
        <f t="shared" si="2"/>
        <v>0</v>
      </c>
      <c r="I31" s="430">
        <f t="shared" si="2"/>
        <v>4702</v>
      </c>
      <c r="J31" s="430">
        <f t="shared" si="2"/>
        <v>0</v>
      </c>
      <c r="K31" s="430">
        <f t="shared" si="2"/>
        <v>0</v>
      </c>
      <c r="L31" s="430">
        <f t="shared" si="2"/>
        <v>6771</v>
      </c>
      <c r="M31" s="430">
        <f t="shared" si="2"/>
        <v>0</v>
      </c>
      <c r="N31" s="430">
        <f t="shared" si="2"/>
        <v>43721</v>
      </c>
      <c r="O31" s="430">
        <f>O23+O25+O27+O29</f>
        <v>269114</v>
      </c>
      <c r="P31" s="430">
        <f>P23+P25+P27+P29</f>
        <v>71930</v>
      </c>
      <c r="Q31" s="430">
        <f t="shared" si="2"/>
        <v>121827</v>
      </c>
      <c r="R31" s="430">
        <f t="shared" si="2"/>
        <v>56176</v>
      </c>
      <c r="S31" s="430">
        <f t="shared" si="2"/>
        <v>5220</v>
      </c>
      <c r="T31" s="430">
        <f t="shared" si="2"/>
        <v>0</v>
      </c>
      <c r="U31" s="430">
        <f t="shared" si="2"/>
        <v>0</v>
      </c>
      <c r="V31" s="430">
        <f t="shared" si="2"/>
        <v>0</v>
      </c>
      <c r="W31" s="430">
        <f t="shared" si="2"/>
        <v>468091</v>
      </c>
      <c r="Y31" s="245"/>
    </row>
    <row r="32" spans="1:25" ht="12.75">
      <c r="A32" s="425">
        <f>'[8]Eredeti Ft'!A21</f>
        <v>0</v>
      </c>
      <c r="B32" s="426">
        <f>'[8]Eredeti Ft'!B21</f>
        <v>0</v>
      </c>
      <c r="C32" s="427">
        <f>ROUND('[8]Eredeti Ft'!C21,-3)/1000</f>
        <v>24586</v>
      </c>
      <c r="D32" s="427">
        <f>ROUND('[8]Eredeti Ft'!D21,-3)/1000</f>
        <v>17516</v>
      </c>
      <c r="E32" s="427">
        <f>ROUND('[8]Eredeti Ft'!E21,-3)/1000</f>
        <v>6295</v>
      </c>
      <c r="F32" s="427">
        <f>ROUND('[8]Eredeti Ft'!F21,-3)/1000</f>
        <v>0</v>
      </c>
      <c r="G32" s="427">
        <f>ROUND('[8]Eredeti Ft'!G21,-3)/1000</f>
        <v>2300</v>
      </c>
      <c r="H32" s="427">
        <f>ROUND('[8]Eredeti Ft'!H21,-3)/1000</f>
        <v>0</v>
      </c>
      <c r="I32" s="427">
        <f>ROUND('[8]Eredeti Ft'!I21,-3)/1000</f>
        <v>0</v>
      </c>
      <c r="J32" s="427">
        <f>ROUND('[8]Eredeti Ft'!J21,-3)/1000</f>
        <v>0</v>
      </c>
      <c r="K32" s="427">
        <f>ROUND('[8]Eredeti Ft'!K21,-3)/1000</f>
        <v>0</v>
      </c>
      <c r="L32" s="427">
        <f>ROUND('[8]Eredeti Ft'!L21,-3)/1000</f>
        <v>0</v>
      </c>
      <c r="M32" s="427">
        <f>ROUND('[8]Eredeti Ft'!M21,-3)/1000</f>
        <v>0</v>
      </c>
      <c r="N32" s="427">
        <f>SUM(C32:M32)-D32</f>
        <v>33181</v>
      </c>
      <c r="O32" s="427">
        <f>ROUND('[8]Eredeti Ft'!O21,-3)/1000</f>
        <v>141206</v>
      </c>
      <c r="P32" s="427">
        <f>ROUND('[8]Eredeti Ft'!P21,-3)/1000</f>
        <v>37878</v>
      </c>
      <c r="Q32" s="427">
        <f>ROUND('[8]Eredeti Ft'!Q21,-3)/1000</f>
        <v>122326</v>
      </c>
      <c r="R32" s="427">
        <f>ROUND('[8]Eredeti Ft'!R21,-3)/1000</f>
        <v>42840</v>
      </c>
      <c r="S32" s="427">
        <f>ROUND('[8]Eredeti Ft'!S21,-3)/1000</f>
        <v>3000</v>
      </c>
      <c r="T32" s="427">
        <f>ROUND('[8]Eredeti Ft'!T21,-3)/1000</f>
        <v>0</v>
      </c>
      <c r="U32" s="427">
        <f>ROUND('[8]Eredeti Ft'!U21,-3)/1000</f>
        <v>0</v>
      </c>
      <c r="V32" s="427">
        <f>ROUND('[8]Eredeti Ft'!V21,-3)/1000</f>
        <v>0</v>
      </c>
      <c r="W32" s="427">
        <f>SUM(O32:V32)-R32</f>
        <v>304410</v>
      </c>
      <c r="Y32" s="245">
        <f>SUM(O32:V32)-R32</f>
        <v>304410</v>
      </c>
    </row>
    <row r="33" spans="1:25" ht="12.75">
      <c r="A33" s="425"/>
      <c r="B33" s="426" t="s">
        <v>352</v>
      </c>
      <c r="C33" s="427">
        <f>24586+372+384</f>
        <v>25342</v>
      </c>
      <c r="D33" s="427">
        <v>17516</v>
      </c>
      <c r="E33" s="427">
        <v>6295</v>
      </c>
      <c r="F33" s="427"/>
      <c r="G33" s="427">
        <f>2300+100</f>
        <v>2400</v>
      </c>
      <c r="H33" s="427"/>
      <c r="I33" s="427"/>
      <c r="J33" s="427"/>
      <c r="K33" s="427"/>
      <c r="L33" s="427">
        <f>32+3138</f>
        <v>3170</v>
      </c>
      <c r="M33" s="427"/>
      <c r="N33" s="427">
        <f>SUM(C33:M33)-D33</f>
        <v>37207</v>
      </c>
      <c r="O33" s="427">
        <f>141206-329+1803+300</f>
        <v>142980</v>
      </c>
      <c r="P33" s="427">
        <f>37878-89+485+81</f>
        <v>38355</v>
      </c>
      <c r="Q33" s="427">
        <f>122326+372+384+100+250+32+3138-300-81+329+89+250</f>
        <v>126889</v>
      </c>
      <c r="R33" s="427">
        <v>42840</v>
      </c>
      <c r="S33" s="427">
        <v>3000</v>
      </c>
      <c r="T33" s="427">
        <v>0</v>
      </c>
      <c r="U33" s="427">
        <v>0</v>
      </c>
      <c r="V33" s="427">
        <v>0</v>
      </c>
      <c r="W33" s="427">
        <f>SUM(O33:V33)-R33</f>
        <v>311224</v>
      </c>
      <c r="Y33" s="245"/>
    </row>
    <row r="34" spans="1:25" ht="12.75">
      <c r="A34" s="425">
        <f>'[8]Eredeti Ft'!A22</f>
        <v>0</v>
      </c>
      <c r="B34" s="426">
        <f>'[8]Eredeti Ft'!B22</f>
        <v>0</v>
      </c>
      <c r="C34" s="427">
        <f>ROUND('[8]Eredeti Ft'!C22,-3)/1000</f>
        <v>4876</v>
      </c>
      <c r="D34" s="427">
        <f>ROUND('[8]Eredeti Ft'!D22,-3)/1000</f>
        <v>4146</v>
      </c>
      <c r="E34" s="427">
        <f>ROUND('[8]Eredeti Ft'!E22,-3)/1000</f>
        <v>1249</v>
      </c>
      <c r="F34" s="427">
        <f>ROUND('[8]Eredeti Ft'!F22,-3)/1000</f>
        <v>0</v>
      </c>
      <c r="G34" s="427">
        <f>ROUND('[8]Eredeti Ft'!G22,-3)/1000</f>
        <v>0</v>
      </c>
      <c r="H34" s="427">
        <f>ROUND('[8]Eredeti Ft'!H22,-3)/1000</f>
        <v>0</v>
      </c>
      <c r="I34" s="427">
        <f>ROUND('[8]Eredeti Ft'!I22,-3)/1000</f>
        <v>0</v>
      </c>
      <c r="J34" s="427">
        <f>ROUND('[8]Eredeti Ft'!J22,-3)/1000</f>
        <v>0</v>
      </c>
      <c r="K34" s="427">
        <f>ROUND('[8]Eredeti Ft'!K22,-3)/1000</f>
        <v>0</v>
      </c>
      <c r="L34" s="427">
        <f>ROUND('[8]Eredeti Ft'!L22,-3)/1000</f>
        <v>0</v>
      </c>
      <c r="M34" s="427">
        <f>ROUND('[8]Eredeti Ft'!M22,-3)/1000</f>
        <v>0</v>
      </c>
      <c r="N34" s="427">
        <f>SUM(C34:M34)-D34</f>
        <v>6125</v>
      </c>
      <c r="O34" s="427">
        <f>ROUND('[8]Eredeti Ft'!O22,-3)/1000</f>
        <v>49845</v>
      </c>
      <c r="P34" s="427">
        <f>ROUND('[8]Eredeti Ft'!P22,-3)/1000</f>
        <v>13403</v>
      </c>
      <c r="Q34" s="427">
        <f>ROUND('[8]Eredeti Ft'!Q22,-3)/1000</f>
        <v>30298</v>
      </c>
      <c r="R34" s="427">
        <f>ROUND('[8]Eredeti Ft'!R22,-3)/1000</f>
        <v>14604</v>
      </c>
      <c r="S34" s="427">
        <f>ROUND('[8]Eredeti Ft'!S22,-3)/1000</f>
        <v>1200</v>
      </c>
      <c r="T34" s="427">
        <f>ROUND('[8]Eredeti Ft'!T22,-3)/1000</f>
        <v>0</v>
      </c>
      <c r="U34" s="427">
        <f>ROUND('[8]Eredeti Ft'!U22,-3)/1000</f>
        <v>0</v>
      </c>
      <c r="V34" s="427">
        <f>ROUND('[8]Eredeti Ft'!V22,-3)/1000</f>
        <v>0</v>
      </c>
      <c r="W34" s="427">
        <f>SUM(O34:V34)-R34</f>
        <v>94746</v>
      </c>
      <c r="Y34" s="245">
        <f>SUM(O34:V34)-R34</f>
        <v>94746</v>
      </c>
    </row>
    <row r="35" spans="1:25" ht="12.75">
      <c r="A35" s="425"/>
      <c r="B35" s="426" t="s">
        <v>352</v>
      </c>
      <c r="C35" s="427">
        <v>4876</v>
      </c>
      <c r="D35" s="427">
        <v>4146</v>
      </c>
      <c r="E35" s="427">
        <v>1249</v>
      </c>
      <c r="F35" s="427"/>
      <c r="G35" s="427"/>
      <c r="H35" s="427"/>
      <c r="I35" s="427"/>
      <c r="J35" s="427"/>
      <c r="K35" s="427"/>
      <c r="L35" s="427">
        <v>22</v>
      </c>
      <c r="M35" s="427"/>
      <c r="N35" s="427">
        <f>SUM(C35:M35)-D35</f>
        <v>6147</v>
      </c>
      <c r="O35" s="427">
        <f>49845+646</f>
        <v>50491</v>
      </c>
      <c r="P35" s="427">
        <f>13403+175</f>
        <v>13578</v>
      </c>
      <c r="Q35" s="427">
        <f>30298+22</f>
        <v>30320</v>
      </c>
      <c r="R35" s="427">
        <v>14604</v>
      </c>
      <c r="S35" s="427">
        <v>1200</v>
      </c>
      <c r="T35" s="427">
        <v>0</v>
      </c>
      <c r="U35" s="427">
        <v>0</v>
      </c>
      <c r="V35" s="427">
        <v>0</v>
      </c>
      <c r="W35" s="427">
        <f>SUM(O35:V35)-R35</f>
        <v>95589</v>
      </c>
      <c r="Y35" s="245"/>
    </row>
    <row r="36" spans="1:25" s="431" customFormat="1" ht="12.75">
      <c r="A36" s="428">
        <f>'[8]Eredeti Ft'!A23</f>
        <v>0</v>
      </c>
      <c r="B36" s="429">
        <f>'[8]Eredeti Ft'!B23</f>
        <v>0</v>
      </c>
      <c r="C36" s="430">
        <f>C32+C34</f>
        <v>29462</v>
      </c>
      <c r="D36" s="430">
        <f aca="true" t="shared" si="3" ref="D36:W37">D32+D34</f>
        <v>21662</v>
      </c>
      <c r="E36" s="430">
        <f t="shared" si="3"/>
        <v>7544</v>
      </c>
      <c r="F36" s="430">
        <f t="shared" si="3"/>
        <v>0</v>
      </c>
      <c r="G36" s="430">
        <f t="shared" si="3"/>
        <v>2300</v>
      </c>
      <c r="H36" s="430">
        <f t="shared" si="3"/>
        <v>0</v>
      </c>
      <c r="I36" s="430">
        <f t="shared" si="3"/>
        <v>0</v>
      </c>
      <c r="J36" s="430">
        <f t="shared" si="3"/>
        <v>0</v>
      </c>
      <c r="K36" s="430">
        <f t="shared" si="3"/>
        <v>0</v>
      </c>
      <c r="L36" s="430">
        <f t="shared" si="3"/>
        <v>0</v>
      </c>
      <c r="M36" s="430">
        <f t="shared" si="3"/>
        <v>0</v>
      </c>
      <c r="N36" s="430">
        <f t="shared" si="3"/>
        <v>39306</v>
      </c>
      <c r="O36" s="430">
        <f>O32+O34</f>
        <v>191051</v>
      </c>
      <c r="P36" s="430">
        <f t="shared" si="3"/>
        <v>51281</v>
      </c>
      <c r="Q36" s="430">
        <f t="shared" si="3"/>
        <v>152624</v>
      </c>
      <c r="R36" s="430">
        <f t="shared" si="3"/>
        <v>57444</v>
      </c>
      <c r="S36" s="430">
        <f t="shared" si="3"/>
        <v>4200</v>
      </c>
      <c r="T36" s="430">
        <f t="shared" si="3"/>
        <v>0</v>
      </c>
      <c r="U36" s="430">
        <f t="shared" si="3"/>
        <v>0</v>
      </c>
      <c r="V36" s="430">
        <f t="shared" si="3"/>
        <v>0</v>
      </c>
      <c r="W36" s="430">
        <f t="shared" si="3"/>
        <v>399156</v>
      </c>
      <c r="Y36" s="245">
        <f>SUM(O36:V36)-R36</f>
        <v>399156</v>
      </c>
    </row>
    <row r="37" spans="1:25" s="431" customFormat="1" ht="12.75">
      <c r="A37" s="428"/>
      <c r="B37" s="426" t="s">
        <v>352</v>
      </c>
      <c r="C37" s="430">
        <f>C33+C35</f>
        <v>30218</v>
      </c>
      <c r="D37" s="430">
        <f t="shared" si="3"/>
        <v>21662</v>
      </c>
      <c r="E37" s="430">
        <f t="shared" si="3"/>
        <v>7544</v>
      </c>
      <c r="F37" s="430">
        <f t="shared" si="3"/>
        <v>0</v>
      </c>
      <c r="G37" s="430">
        <f t="shared" si="3"/>
        <v>2400</v>
      </c>
      <c r="H37" s="430">
        <f t="shared" si="3"/>
        <v>0</v>
      </c>
      <c r="I37" s="430">
        <f t="shared" si="3"/>
        <v>0</v>
      </c>
      <c r="J37" s="430">
        <f t="shared" si="3"/>
        <v>0</v>
      </c>
      <c r="K37" s="430">
        <f t="shared" si="3"/>
        <v>0</v>
      </c>
      <c r="L37" s="430">
        <f t="shared" si="3"/>
        <v>3192</v>
      </c>
      <c r="M37" s="430">
        <f t="shared" si="3"/>
        <v>0</v>
      </c>
      <c r="N37" s="430">
        <f>N33+N35</f>
        <v>43354</v>
      </c>
      <c r="O37" s="430">
        <f>O33+O35</f>
        <v>193471</v>
      </c>
      <c r="P37" s="430">
        <f t="shared" si="3"/>
        <v>51933</v>
      </c>
      <c r="Q37" s="430">
        <f t="shared" si="3"/>
        <v>157209</v>
      </c>
      <c r="R37" s="430">
        <f t="shared" si="3"/>
        <v>57444</v>
      </c>
      <c r="S37" s="430">
        <f t="shared" si="3"/>
        <v>4200</v>
      </c>
      <c r="T37" s="430">
        <f t="shared" si="3"/>
        <v>0</v>
      </c>
      <c r="U37" s="430">
        <f t="shared" si="3"/>
        <v>0</v>
      </c>
      <c r="V37" s="430">
        <f t="shared" si="3"/>
        <v>0</v>
      </c>
      <c r="W37" s="430">
        <f t="shared" si="3"/>
        <v>406813</v>
      </c>
      <c r="Y37" s="245"/>
    </row>
    <row r="38" spans="1:25" ht="12.75">
      <c r="A38" s="425">
        <f>'[8]Eredeti Ft'!A24</f>
        <v>0</v>
      </c>
      <c r="B38" s="426">
        <f>'[8]Eredeti Ft'!B24</f>
        <v>0</v>
      </c>
      <c r="C38" s="427">
        <f>ROUND('[8]Eredeti Ft'!C24,-3)/1000</f>
        <v>4740</v>
      </c>
      <c r="D38" s="427">
        <f>ROUND('[8]Eredeti Ft'!D24,-3)/1000</f>
        <v>0</v>
      </c>
      <c r="E38" s="427">
        <f>ROUND('[8]Eredeti Ft'!E24,-3)/1000</f>
        <v>0</v>
      </c>
      <c r="F38" s="427">
        <f>ROUND('[8]Eredeti Ft'!F24,-3)/1000</f>
        <v>0</v>
      </c>
      <c r="G38" s="427">
        <f>ROUND('[8]Eredeti Ft'!G24,-3)/1000</f>
        <v>0</v>
      </c>
      <c r="H38" s="427">
        <f>ROUND('[8]Eredeti Ft'!H24,-3)/1000</f>
        <v>0</v>
      </c>
      <c r="I38" s="427">
        <f>ROUND('[8]Eredeti Ft'!I24,-3)/1000</f>
        <v>0</v>
      </c>
      <c r="J38" s="427">
        <f>ROUND('[8]Eredeti Ft'!J24,-3)/1000</f>
        <v>0</v>
      </c>
      <c r="K38" s="427">
        <f>ROUND('[8]Eredeti Ft'!K24,-3)/1000</f>
        <v>0</v>
      </c>
      <c r="L38" s="427">
        <f>ROUND('[8]Eredeti Ft'!L24,-3)/1000</f>
        <v>0</v>
      </c>
      <c r="M38" s="427">
        <f>ROUND('[8]Eredeti Ft'!M24,-3)/1000</f>
        <v>0</v>
      </c>
      <c r="N38" s="427">
        <f>SUM(C38:M38)-D38</f>
        <v>4740</v>
      </c>
      <c r="O38" s="427">
        <f>ROUND('[8]Eredeti Ft'!O24,-3)/1000</f>
        <v>51244</v>
      </c>
      <c r="P38" s="427">
        <f>ROUND('[8]Eredeti Ft'!P24,-3)/1000</f>
        <v>13632</v>
      </c>
      <c r="Q38" s="427">
        <f>ROUND('[8]Eredeti Ft'!Q24,-3)/1000</f>
        <v>4470</v>
      </c>
      <c r="R38" s="427">
        <f>ROUND('[8]Eredeti Ft'!R24,-3)/1000</f>
        <v>0</v>
      </c>
      <c r="S38" s="427">
        <f>ROUND('[8]Eredeti Ft'!S24,-3)/1000</f>
        <v>0</v>
      </c>
      <c r="T38" s="427">
        <f>ROUND('[8]Eredeti Ft'!T24,-3)/1000</f>
        <v>0</v>
      </c>
      <c r="U38" s="427">
        <f>ROUND('[8]Eredeti Ft'!U24,-3)/1000</f>
        <v>0</v>
      </c>
      <c r="V38" s="427">
        <f>ROUND('[8]Eredeti Ft'!V24,-3)/1000</f>
        <v>0</v>
      </c>
      <c r="W38" s="427">
        <f>SUM(O38:V38)-R38</f>
        <v>69346</v>
      </c>
      <c r="Y38" s="245">
        <f>SUM(O38:V38)-R38</f>
        <v>69346</v>
      </c>
    </row>
    <row r="39" spans="1:25" ht="12.75">
      <c r="A39" s="425"/>
      <c r="B39" s="426" t="s">
        <v>352</v>
      </c>
      <c r="C39" s="427">
        <v>4740</v>
      </c>
      <c r="D39" s="427"/>
      <c r="E39" s="427"/>
      <c r="F39" s="427"/>
      <c r="G39" s="427"/>
      <c r="H39" s="427"/>
      <c r="I39" s="427"/>
      <c r="J39" s="427"/>
      <c r="K39" s="427"/>
      <c r="L39" s="427">
        <v>329</v>
      </c>
      <c r="M39" s="427"/>
      <c r="N39" s="427">
        <f>SUM(C39:M39)-D39</f>
        <v>5069</v>
      </c>
      <c r="O39" s="427">
        <f>51244+241+461</f>
        <v>51946</v>
      </c>
      <c r="P39" s="427">
        <f>13632+65+125</f>
        <v>13822</v>
      </c>
      <c r="Q39" s="427">
        <f>4470+200+23</f>
        <v>4693</v>
      </c>
      <c r="R39" s="427">
        <v>0</v>
      </c>
      <c r="S39" s="427">
        <v>0</v>
      </c>
      <c r="T39" s="427">
        <v>0</v>
      </c>
      <c r="U39" s="427">
        <v>0</v>
      </c>
      <c r="V39" s="427">
        <v>0</v>
      </c>
      <c r="W39" s="427">
        <f>SUM(O39:V39)-R39</f>
        <v>70461</v>
      </c>
      <c r="Y39" s="245"/>
    </row>
    <row r="40" spans="1:25" ht="12.75">
      <c r="A40" s="425">
        <f>'[8]Eredeti Ft'!A25</f>
        <v>0</v>
      </c>
      <c r="B40" s="426">
        <f>'[8]Eredeti Ft'!B25</f>
        <v>0</v>
      </c>
      <c r="C40" s="427">
        <f>ROUND('[8]Eredeti Ft'!C25,-3)/1000</f>
        <v>1230</v>
      </c>
      <c r="D40" s="427">
        <f>ROUND('[8]Eredeti Ft'!D25,-3)/1000</f>
        <v>0</v>
      </c>
      <c r="E40" s="427">
        <f>ROUND('[8]Eredeti Ft'!E25,-3)/1000</f>
        <v>332</v>
      </c>
      <c r="F40" s="427">
        <f>ROUND('[8]Eredeti Ft'!F25,-3)/1000</f>
        <v>0</v>
      </c>
      <c r="G40" s="427">
        <f>ROUND('[8]Eredeti Ft'!G25,-3)/1000</f>
        <v>0</v>
      </c>
      <c r="H40" s="427">
        <f>ROUND('[8]Eredeti Ft'!H25,-3)/1000</f>
        <v>0</v>
      </c>
      <c r="I40" s="427">
        <f>ROUND('[8]Eredeti Ft'!I25,-3)/1000</f>
        <v>19927</v>
      </c>
      <c r="J40" s="427">
        <f>ROUND('[8]Eredeti Ft'!J25,-3)/1000</f>
        <v>0</v>
      </c>
      <c r="K40" s="427">
        <f>ROUND('[8]Eredeti Ft'!K25,-3)/1000</f>
        <v>0</v>
      </c>
      <c r="L40" s="427">
        <f>ROUND('[8]Eredeti Ft'!L25,-3)/1000</f>
        <v>0</v>
      </c>
      <c r="M40" s="427">
        <f>ROUND('[8]Eredeti Ft'!M25,-3)/1000</f>
        <v>0</v>
      </c>
      <c r="N40" s="427">
        <f>SUM(C40:M40)-D40</f>
        <v>21489</v>
      </c>
      <c r="O40" s="427">
        <f>ROUND('[8]Eredeti Ft'!O25,-3)/1000</f>
        <v>18916</v>
      </c>
      <c r="P40" s="427">
        <f>ROUND('[8]Eredeti Ft'!P25,-3)/1000</f>
        <v>4986</v>
      </c>
      <c r="Q40" s="427">
        <f>ROUND('[8]Eredeti Ft'!Q25,-3)/1000</f>
        <v>30481</v>
      </c>
      <c r="R40" s="427">
        <f>ROUND('[8]Eredeti Ft'!R25,-3)/1000</f>
        <v>0</v>
      </c>
      <c r="S40" s="427">
        <f>ROUND('[8]Eredeti Ft'!S25,-3)/1000</f>
        <v>0</v>
      </c>
      <c r="T40" s="427">
        <f>ROUND('[8]Eredeti Ft'!T25,-3)/1000</f>
        <v>0</v>
      </c>
      <c r="U40" s="427">
        <f>ROUND('[8]Eredeti Ft'!U25,-3)/1000</f>
        <v>0</v>
      </c>
      <c r="V40" s="427">
        <f>ROUND('[8]Eredeti Ft'!V25,-3)/1000</f>
        <v>0</v>
      </c>
      <c r="W40" s="427">
        <f>SUM(O40:V40)-R40</f>
        <v>54383</v>
      </c>
      <c r="Y40" s="245">
        <f>SUM(O40:V40)-R40</f>
        <v>54383</v>
      </c>
    </row>
    <row r="41" spans="1:25" ht="12.75">
      <c r="A41" s="425"/>
      <c r="B41" s="426" t="s">
        <v>352</v>
      </c>
      <c r="C41" s="427">
        <v>1230</v>
      </c>
      <c r="D41" s="427"/>
      <c r="E41" s="427">
        <v>332</v>
      </c>
      <c r="F41" s="427"/>
      <c r="G41" s="427"/>
      <c r="H41" s="427"/>
      <c r="I41" s="427">
        <v>19927</v>
      </c>
      <c r="J41" s="427"/>
      <c r="K41" s="427"/>
      <c r="L41" s="427">
        <f>264+14771</f>
        <v>15035</v>
      </c>
      <c r="M41" s="427"/>
      <c r="N41" s="427">
        <f>SUM(C41:M41)-D41</f>
        <v>36524</v>
      </c>
      <c r="O41" s="427">
        <f>18916+367+1076</f>
        <v>20359</v>
      </c>
      <c r="P41" s="427">
        <f>4986+100+291</f>
        <v>5377</v>
      </c>
      <c r="Q41" s="427">
        <f>30481+100+114+150+14771-1076-291</f>
        <v>44249</v>
      </c>
      <c r="R41" s="427">
        <v>0</v>
      </c>
      <c r="S41" s="427">
        <v>0</v>
      </c>
      <c r="T41" s="427">
        <v>0</v>
      </c>
      <c r="U41" s="427">
        <v>0</v>
      </c>
      <c r="V41" s="427">
        <v>0</v>
      </c>
      <c r="W41" s="427">
        <f>SUM(O41:V41)-R41</f>
        <v>69985</v>
      </c>
      <c r="Y41" s="245"/>
    </row>
    <row r="42" spans="1:25" ht="12.75">
      <c r="A42" s="425">
        <f>'[8]Eredeti Ft'!A26</f>
        <v>0</v>
      </c>
      <c r="B42" s="426">
        <f>'[8]Eredeti Ft'!B26</f>
        <v>0</v>
      </c>
      <c r="C42" s="427">
        <f>ROUND('[8]Eredeti Ft'!C26,-3)/1000</f>
        <v>480</v>
      </c>
      <c r="D42" s="427">
        <f>ROUND('[8]Eredeti Ft'!D26,-3)/1000</f>
        <v>0</v>
      </c>
      <c r="E42" s="427">
        <f>ROUND('[8]Eredeti Ft'!E26,-3)/1000</f>
        <v>130</v>
      </c>
      <c r="F42" s="427">
        <f>ROUND('[8]Eredeti Ft'!F26,-3)/1000</f>
        <v>0</v>
      </c>
      <c r="G42" s="427">
        <f>ROUND('[8]Eredeti Ft'!G26,-3)/1000</f>
        <v>0</v>
      </c>
      <c r="H42" s="427">
        <f>ROUND('[8]Eredeti Ft'!H26,-3)/1000</f>
        <v>0</v>
      </c>
      <c r="I42" s="427">
        <f>ROUND('[8]Eredeti Ft'!I26,-3)/1000</f>
        <v>0</v>
      </c>
      <c r="J42" s="427">
        <f>ROUND('[8]Eredeti Ft'!J26,-3)/1000</f>
        <v>0</v>
      </c>
      <c r="K42" s="427">
        <f>ROUND('[8]Eredeti Ft'!K26,-3)/1000</f>
        <v>0</v>
      </c>
      <c r="L42" s="427">
        <f>ROUND('[8]Eredeti Ft'!L26,-3)/1000</f>
        <v>0</v>
      </c>
      <c r="M42" s="427">
        <f>ROUND('[8]Eredeti Ft'!M26,-3)/1000</f>
        <v>0</v>
      </c>
      <c r="N42" s="427">
        <f aca="true" t="shared" si="4" ref="N42:N49">SUM(C42:M42)-D42</f>
        <v>610</v>
      </c>
      <c r="O42" s="427">
        <f>ROUND('[8]Eredeti Ft'!O26,-3)/1000</f>
        <v>1512</v>
      </c>
      <c r="P42" s="427">
        <f>ROUND('[8]Eredeti Ft'!P26,-3)/1000</f>
        <v>408</v>
      </c>
      <c r="Q42" s="427">
        <f>ROUND('[8]Eredeti Ft'!Q26,-3)/1000</f>
        <v>473</v>
      </c>
      <c r="R42" s="427">
        <f>ROUND('[8]Eredeti Ft'!R26,-3)/1000</f>
        <v>0</v>
      </c>
      <c r="S42" s="427">
        <f>ROUND('[8]Eredeti Ft'!S26,-3)/1000</f>
        <v>0</v>
      </c>
      <c r="T42" s="427">
        <f>ROUND('[8]Eredeti Ft'!T26,-3)/1000</f>
        <v>0</v>
      </c>
      <c r="U42" s="427">
        <f>ROUND('[8]Eredeti Ft'!U26,-3)/1000+1</f>
        <v>1362</v>
      </c>
      <c r="V42" s="427">
        <f>ROUND('[8]Eredeti Ft'!V26,-3)/1000</f>
        <v>0</v>
      </c>
      <c r="W42" s="427">
        <f aca="true" t="shared" si="5" ref="W42:W49">SUM(O42:V42)-R42</f>
        <v>3755</v>
      </c>
      <c r="Y42" s="245">
        <f>SUM(O42:V42)-R42</f>
        <v>3755</v>
      </c>
    </row>
    <row r="43" spans="1:25" ht="12.75">
      <c r="A43" s="425"/>
      <c r="B43" s="426" t="s">
        <v>352</v>
      </c>
      <c r="C43" s="427">
        <v>480</v>
      </c>
      <c r="D43" s="427">
        <v>0</v>
      </c>
      <c r="E43" s="427">
        <v>130</v>
      </c>
      <c r="F43" s="427"/>
      <c r="G43" s="427"/>
      <c r="H43" s="427"/>
      <c r="I43" s="427"/>
      <c r="J43" s="427"/>
      <c r="K43" s="427"/>
      <c r="L43" s="427"/>
      <c r="M43" s="427"/>
      <c r="N43" s="427">
        <f t="shared" si="4"/>
        <v>610</v>
      </c>
      <c r="O43" s="427">
        <v>1512</v>
      </c>
      <c r="P43" s="427">
        <v>408</v>
      </c>
      <c r="Q43" s="427">
        <v>473</v>
      </c>
      <c r="R43" s="427">
        <v>0</v>
      </c>
      <c r="S43" s="427">
        <v>0</v>
      </c>
      <c r="T43" s="427">
        <v>0</v>
      </c>
      <c r="U43" s="427">
        <v>1362</v>
      </c>
      <c r="V43" s="427">
        <v>0</v>
      </c>
      <c r="W43" s="427">
        <f t="shared" si="5"/>
        <v>3755</v>
      </c>
      <c r="Y43" s="245"/>
    </row>
    <row r="44" spans="1:25" ht="12.75">
      <c r="A44" s="425">
        <f>'[8]Eredeti Ft'!A27</f>
        <v>0</v>
      </c>
      <c r="B44" s="426">
        <f>'[8]Eredeti Ft'!B27</f>
        <v>0</v>
      </c>
      <c r="C44" s="427">
        <f>ROUND('[8]Eredeti Ft'!C27,-3)/1000</f>
        <v>0</v>
      </c>
      <c r="D44" s="427">
        <f>ROUND('[8]Eredeti Ft'!D27,-3)/1000</f>
        <v>0</v>
      </c>
      <c r="E44" s="427">
        <f>ROUND('[8]Eredeti Ft'!E27,-3)/1000</f>
        <v>0</v>
      </c>
      <c r="F44" s="427">
        <f>ROUND('[8]Eredeti Ft'!F27,-3)/1000</f>
        <v>0</v>
      </c>
      <c r="G44" s="427">
        <f>ROUND('[8]Eredeti Ft'!G27,-3)/1000</f>
        <v>0</v>
      </c>
      <c r="H44" s="427">
        <f>ROUND('[8]Eredeti Ft'!H27,-3)/1000</f>
        <v>0</v>
      </c>
      <c r="I44" s="427">
        <f>ROUND('[8]Eredeti Ft'!I27,-3)/1000</f>
        <v>0</v>
      </c>
      <c r="J44" s="427">
        <f>ROUND('[8]Eredeti Ft'!J27,-3)/1000</f>
        <v>0</v>
      </c>
      <c r="K44" s="427">
        <f>ROUND('[8]Eredeti Ft'!K27,-3)/1000</f>
        <v>750</v>
      </c>
      <c r="L44" s="427">
        <f>ROUND('[8]Eredeti Ft'!L27,-3)/1000</f>
        <v>0</v>
      </c>
      <c r="M44" s="427">
        <f>ROUND('[8]Eredeti Ft'!M27,-3)/1000</f>
        <v>0</v>
      </c>
      <c r="N44" s="427">
        <f t="shared" si="4"/>
        <v>750</v>
      </c>
      <c r="O44" s="427">
        <f>ROUND('[8]Eredeti Ft'!O27,-3)/1000</f>
        <v>8091</v>
      </c>
      <c r="P44" s="427">
        <f>ROUND('[8]Eredeti Ft'!P27,-3)/1000</f>
        <v>2116</v>
      </c>
      <c r="Q44" s="427">
        <f>ROUND('[8]Eredeti Ft'!Q27,-3)/1000</f>
        <v>7436</v>
      </c>
      <c r="R44" s="427">
        <f>ROUND('[8]Eredeti Ft'!R27,-3)/1000</f>
        <v>0</v>
      </c>
      <c r="S44" s="427">
        <f>ROUND('[8]Eredeti Ft'!S27,-3)/1000</f>
        <v>0</v>
      </c>
      <c r="T44" s="427">
        <f>ROUND('[8]Eredeti Ft'!T27,-3)/1000</f>
        <v>0</v>
      </c>
      <c r="U44" s="427">
        <f>ROUND('[8]Eredeti Ft'!U27,-3)/1000</f>
        <v>4006</v>
      </c>
      <c r="V44" s="427">
        <f>ROUND('[8]Eredeti Ft'!V27,-3)/1000</f>
        <v>0</v>
      </c>
      <c r="W44" s="427">
        <f t="shared" si="5"/>
        <v>21649</v>
      </c>
      <c r="Y44" s="245">
        <f>SUM(O44:V44)-R44</f>
        <v>21649</v>
      </c>
    </row>
    <row r="45" spans="1:25" ht="12.75">
      <c r="A45" s="425"/>
      <c r="B45" s="426" t="s">
        <v>352</v>
      </c>
      <c r="C45" s="427"/>
      <c r="D45" s="427"/>
      <c r="E45" s="427"/>
      <c r="F45" s="427"/>
      <c r="G45" s="427"/>
      <c r="H45" s="427"/>
      <c r="I45" s="427"/>
      <c r="J45" s="427"/>
      <c r="K45" s="427">
        <v>750</v>
      </c>
      <c r="L45" s="427"/>
      <c r="M45" s="427"/>
      <c r="N45" s="427">
        <f t="shared" si="4"/>
        <v>750</v>
      </c>
      <c r="O45" s="427">
        <f>8091+121</f>
        <v>8212</v>
      </c>
      <c r="P45" s="427">
        <f>2116+32</f>
        <v>2148</v>
      </c>
      <c r="Q45" s="427">
        <v>7436</v>
      </c>
      <c r="R45" s="427">
        <v>0</v>
      </c>
      <c r="S45" s="427">
        <v>0</v>
      </c>
      <c r="T45" s="427">
        <v>0</v>
      </c>
      <c r="U45" s="427">
        <v>4006</v>
      </c>
      <c r="V45" s="427">
        <v>0</v>
      </c>
      <c r="W45" s="427">
        <f t="shared" si="5"/>
        <v>21802</v>
      </c>
      <c r="Y45" s="245"/>
    </row>
    <row r="46" spans="1:25" ht="12.75">
      <c r="A46" s="425">
        <f>'[8]Eredeti Ft'!A28</f>
        <v>0</v>
      </c>
      <c r="B46" s="426">
        <f>'[8]Eredeti Ft'!B28</f>
        <v>0</v>
      </c>
      <c r="C46" s="427">
        <f>ROUND('[8]Eredeti Ft'!C28,-3)/1000</f>
        <v>0</v>
      </c>
      <c r="D46" s="427">
        <f>ROUND('[8]Eredeti Ft'!D28,-3)/1000</f>
        <v>0</v>
      </c>
      <c r="E46" s="427">
        <f>ROUND('[8]Eredeti Ft'!E28,-3)/1000</f>
        <v>0</v>
      </c>
      <c r="F46" s="427">
        <f>ROUND('[8]Eredeti Ft'!F28,-3)/1000</f>
        <v>0</v>
      </c>
      <c r="G46" s="427">
        <f>ROUND('[8]Eredeti Ft'!G28,-3)/1000</f>
        <v>0</v>
      </c>
      <c r="H46" s="427">
        <f>ROUND('[8]Eredeti Ft'!H28,-3)/1000</f>
        <v>0</v>
      </c>
      <c r="I46" s="427">
        <f>ROUND('[8]Eredeti Ft'!I28,-3)/1000</f>
        <v>0</v>
      </c>
      <c r="J46" s="427">
        <f>ROUND('[8]Eredeti Ft'!J28,-3)/1000</f>
        <v>0</v>
      </c>
      <c r="K46" s="427">
        <f>ROUND('[8]Eredeti Ft'!K28,-3)/1000</f>
        <v>0</v>
      </c>
      <c r="L46" s="427">
        <f>ROUND('[8]Eredeti Ft'!L28,-3)/1000</f>
        <v>0</v>
      </c>
      <c r="M46" s="427">
        <f>ROUND('[8]Eredeti Ft'!M28,-3)/1000</f>
        <v>0</v>
      </c>
      <c r="N46" s="427">
        <f t="shared" si="4"/>
        <v>0</v>
      </c>
      <c r="O46" s="427">
        <f>ROUND('[8]Eredeti Ft'!O28,-3)/1000</f>
        <v>4992</v>
      </c>
      <c r="P46" s="427">
        <f>ROUND('[8]Eredeti Ft'!P28,-3)/1000</f>
        <v>1306</v>
      </c>
      <c r="Q46" s="427">
        <f>ROUND('[8]Eredeti Ft'!Q28,-3)/1000</f>
        <v>2072</v>
      </c>
      <c r="R46" s="427">
        <f>ROUND('[8]Eredeti Ft'!R28,-3)/1000</f>
        <v>0</v>
      </c>
      <c r="S46" s="427">
        <f>ROUND('[8]Eredeti Ft'!S28,-3)/1000</f>
        <v>0</v>
      </c>
      <c r="T46" s="427">
        <f>ROUND('[8]Eredeti Ft'!T28,-3)/1000</f>
        <v>0</v>
      </c>
      <c r="U46" s="427">
        <f>ROUND('[8]Eredeti Ft'!U28,-3)/1000</f>
        <v>1351</v>
      </c>
      <c r="V46" s="427">
        <f>ROUND('[8]Eredeti Ft'!V28,-3)/1000</f>
        <v>0</v>
      </c>
      <c r="W46" s="427">
        <f t="shared" si="5"/>
        <v>9721</v>
      </c>
      <c r="Y46" s="245">
        <f>SUM(O46:V46)-R46</f>
        <v>9721</v>
      </c>
    </row>
    <row r="47" spans="1:25" ht="12.75">
      <c r="A47" s="425"/>
      <c r="B47" s="426" t="s">
        <v>352</v>
      </c>
      <c r="C47" s="427">
        <v>0</v>
      </c>
      <c r="D47" s="427"/>
      <c r="E47" s="427"/>
      <c r="F47" s="427"/>
      <c r="G47" s="427"/>
      <c r="H47" s="427"/>
      <c r="I47" s="427"/>
      <c r="J47" s="427"/>
      <c r="K47" s="427"/>
      <c r="L47" s="427"/>
      <c r="M47" s="427"/>
      <c r="N47" s="427">
        <f t="shared" si="4"/>
        <v>0</v>
      </c>
      <c r="O47" s="427">
        <f>4992+57</f>
        <v>5049</v>
      </c>
      <c r="P47" s="427">
        <f>1306+17</f>
        <v>1323</v>
      </c>
      <c r="Q47" s="427">
        <f>2072+100</f>
        <v>2172</v>
      </c>
      <c r="R47" s="427">
        <v>0</v>
      </c>
      <c r="S47" s="427">
        <v>0</v>
      </c>
      <c r="T47" s="427">
        <v>0</v>
      </c>
      <c r="U47" s="427">
        <v>1351</v>
      </c>
      <c r="V47" s="427">
        <v>0</v>
      </c>
      <c r="W47" s="427">
        <f t="shared" si="5"/>
        <v>9895</v>
      </c>
      <c r="Y47" s="245"/>
    </row>
    <row r="48" spans="1:25" ht="12.75">
      <c r="A48" s="425">
        <f>'[8]Eredeti Ft'!A29</f>
        <v>0</v>
      </c>
      <c r="B48" s="426">
        <f>'[8]Eredeti Ft'!B29</f>
        <v>0</v>
      </c>
      <c r="C48" s="427">
        <f>ROUND('[8]Eredeti Ft'!C29,-3)/1000-1</f>
        <v>11471</v>
      </c>
      <c r="D48" s="427">
        <f>ROUND('[8]Eredeti Ft'!D29,-3)/1000</f>
        <v>0</v>
      </c>
      <c r="E48" s="427">
        <f>ROUND('[8]Eredeti Ft'!E29,-3)/1000+1</f>
        <v>2585</v>
      </c>
      <c r="F48" s="427">
        <f>ROUND('[8]Eredeti Ft'!F29,-3)/1000</f>
        <v>0</v>
      </c>
      <c r="G48" s="427">
        <f>ROUND('[8]Eredeti Ft'!G29,-3)/1000</f>
        <v>0</v>
      </c>
      <c r="H48" s="427">
        <f>ROUND('[8]Eredeti Ft'!H29,-3)/1000</f>
        <v>0</v>
      </c>
      <c r="I48" s="427">
        <f>ROUND('[8]Eredeti Ft'!I29,-3)/1000</f>
        <v>21966</v>
      </c>
      <c r="J48" s="427">
        <f>ROUND('[8]Eredeti Ft'!J29,-3)/1000</f>
        <v>0</v>
      </c>
      <c r="K48" s="427">
        <f>ROUND('[8]Eredeti Ft'!K29,-3)/1000</f>
        <v>0</v>
      </c>
      <c r="L48" s="427">
        <f>ROUND('[8]Eredeti Ft'!L29,-3)/1000</f>
        <v>0</v>
      </c>
      <c r="M48" s="427">
        <f>ROUND('[8]Eredeti Ft'!M29,-3)/1000</f>
        <v>0</v>
      </c>
      <c r="N48" s="427">
        <f t="shared" si="4"/>
        <v>36022</v>
      </c>
      <c r="O48" s="427">
        <f>ROUND('[8]Eredeti Ft'!O29,-3)/1000</f>
        <v>84466</v>
      </c>
      <c r="P48" s="427">
        <f>ROUND('[8]Eredeti Ft'!P29,-3)/1000</f>
        <v>21941</v>
      </c>
      <c r="Q48" s="427">
        <f>ROUND('[8]Eredeti Ft'!Q29,-3)/1000</f>
        <v>25930</v>
      </c>
      <c r="R48" s="427">
        <f>ROUND('[8]Eredeti Ft'!R29,-3)/1000</f>
        <v>9690</v>
      </c>
      <c r="S48" s="427">
        <f>ROUND('[8]Eredeti Ft'!S29,-3)/1000</f>
        <v>0</v>
      </c>
      <c r="T48" s="427">
        <f>ROUND('[8]Eredeti Ft'!T29,-3)/1000</f>
        <v>0</v>
      </c>
      <c r="U48" s="427">
        <f>ROUND('[8]Eredeti Ft'!U29,-3)/1000</f>
        <v>0</v>
      </c>
      <c r="V48" s="427">
        <f>ROUND('[8]Eredeti Ft'!V29,-3)/1000</f>
        <v>0</v>
      </c>
      <c r="W48" s="427">
        <f t="shared" si="5"/>
        <v>132337</v>
      </c>
      <c r="Y48" s="245">
        <f>SUM(O48:V48)-R48</f>
        <v>132337</v>
      </c>
    </row>
    <row r="49" spans="1:25" ht="12.75">
      <c r="A49" s="425"/>
      <c r="B49" s="426" t="s">
        <v>352</v>
      </c>
      <c r="C49" s="427">
        <v>11471</v>
      </c>
      <c r="D49" s="427">
        <v>0</v>
      </c>
      <c r="E49" s="427">
        <v>2585</v>
      </c>
      <c r="F49" s="427">
        <v>0</v>
      </c>
      <c r="G49" s="427">
        <v>1784</v>
      </c>
      <c r="H49" s="427">
        <v>0</v>
      </c>
      <c r="I49" s="427">
        <v>21966</v>
      </c>
      <c r="J49" s="427"/>
      <c r="K49" s="427"/>
      <c r="L49" s="427">
        <v>3100</v>
      </c>
      <c r="M49" s="427"/>
      <c r="N49" s="427">
        <f t="shared" si="4"/>
        <v>40906</v>
      </c>
      <c r="O49" s="427">
        <f>84466+391+375+1040+1234</f>
        <v>87506</v>
      </c>
      <c r="P49" s="427">
        <f>21941+105+101+281+333</f>
        <v>22761</v>
      </c>
      <c r="Q49" s="427">
        <f>25930+1288+300+250+100+100+1303</f>
        <v>29271</v>
      </c>
      <c r="R49" s="427">
        <v>9690</v>
      </c>
      <c r="S49" s="427">
        <v>0</v>
      </c>
      <c r="T49" s="427">
        <v>0</v>
      </c>
      <c r="U49" s="427">
        <v>0</v>
      </c>
      <c r="V49" s="427">
        <v>0</v>
      </c>
      <c r="W49" s="427">
        <f t="shared" si="5"/>
        <v>139538</v>
      </c>
      <c r="Y49" s="245"/>
    </row>
    <row r="50" spans="1:25" s="431" customFormat="1" ht="14.25" customHeight="1">
      <c r="A50" s="428">
        <f>'[8]Eredeti Ft'!A30</f>
        <v>0</v>
      </c>
      <c r="B50" s="429">
        <f>'[8]Eredeti Ft'!B30</f>
        <v>0</v>
      </c>
      <c r="C50" s="430">
        <f>C42+C44+C46+C48</f>
        <v>11951</v>
      </c>
      <c r="D50" s="430">
        <f aca="true" t="shared" si="6" ref="D50:W51">D42+D44+D46+D48</f>
        <v>0</v>
      </c>
      <c r="E50" s="430">
        <f t="shared" si="6"/>
        <v>2715</v>
      </c>
      <c r="F50" s="430">
        <f t="shared" si="6"/>
        <v>0</v>
      </c>
      <c r="G50" s="430">
        <f t="shared" si="6"/>
        <v>0</v>
      </c>
      <c r="H50" s="430">
        <f t="shared" si="6"/>
        <v>0</v>
      </c>
      <c r="I50" s="430">
        <f t="shared" si="6"/>
        <v>21966</v>
      </c>
      <c r="J50" s="430">
        <f t="shared" si="6"/>
        <v>0</v>
      </c>
      <c r="K50" s="430">
        <f t="shared" si="6"/>
        <v>750</v>
      </c>
      <c r="L50" s="430">
        <f t="shared" si="6"/>
        <v>0</v>
      </c>
      <c r="M50" s="430">
        <f t="shared" si="6"/>
        <v>0</v>
      </c>
      <c r="N50" s="430">
        <f t="shared" si="6"/>
        <v>37382</v>
      </c>
      <c r="O50" s="430">
        <f t="shared" si="6"/>
        <v>99061</v>
      </c>
      <c r="P50" s="430">
        <f t="shared" si="6"/>
        <v>25771</v>
      </c>
      <c r="Q50" s="430">
        <f t="shared" si="6"/>
        <v>35911</v>
      </c>
      <c r="R50" s="430">
        <f t="shared" si="6"/>
        <v>9690</v>
      </c>
      <c r="S50" s="430">
        <f t="shared" si="6"/>
        <v>0</v>
      </c>
      <c r="T50" s="430">
        <f t="shared" si="6"/>
        <v>0</v>
      </c>
      <c r="U50" s="430">
        <f t="shared" si="6"/>
        <v>6719</v>
      </c>
      <c r="V50" s="430">
        <f t="shared" si="6"/>
        <v>0</v>
      </c>
      <c r="W50" s="430">
        <f t="shared" si="6"/>
        <v>167462</v>
      </c>
      <c r="Y50" s="432">
        <f>SUM(O50:V50)-R50</f>
        <v>167462</v>
      </c>
    </row>
    <row r="51" spans="1:25" s="431" customFormat="1" ht="14.25" customHeight="1">
      <c r="A51" s="428"/>
      <c r="B51" s="426" t="s">
        <v>352</v>
      </c>
      <c r="C51" s="430">
        <f>C43+C45+C47+C49</f>
        <v>11951</v>
      </c>
      <c r="D51" s="430">
        <f t="shared" si="6"/>
        <v>0</v>
      </c>
      <c r="E51" s="430">
        <f t="shared" si="6"/>
        <v>2715</v>
      </c>
      <c r="F51" s="430">
        <f t="shared" si="6"/>
        <v>0</v>
      </c>
      <c r="G51" s="430">
        <f t="shared" si="6"/>
        <v>1784</v>
      </c>
      <c r="H51" s="430">
        <f t="shared" si="6"/>
        <v>0</v>
      </c>
      <c r="I51" s="430">
        <f t="shared" si="6"/>
        <v>21966</v>
      </c>
      <c r="J51" s="430">
        <f t="shared" si="6"/>
        <v>0</v>
      </c>
      <c r="K51" s="430">
        <f t="shared" si="6"/>
        <v>750</v>
      </c>
      <c r="L51" s="430">
        <f t="shared" si="6"/>
        <v>3100</v>
      </c>
      <c r="M51" s="430">
        <f t="shared" si="6"/>
        <v>0</v>
      </c>
      <c r="N51" s="430">
        <f t="shared" si="6"/>
        <v>42266</v>
      </c>
      <c r="O51" s="430">
        <f t="shared" si="6"/>
        <v>102279</v>
      </c>
      <c r="P51" s="430">
        <f>P43+P45+P47+P49</f>
        <v>26640</v>
      </c>
      <c r="Q51" s="430">
        <f t="shared" si="6"/>
        <v>39352</v>
      </c>
      <c r="R51" s="430">
        <f t="shared" si="6"/>
        <v>9690</v>
      </c>
      <c r="S51" s="430">
        <f t="shared" si="6"/>
        <v>0</v>
      </c>
      <c r="T51" s="430">
        <f t="shared" si="6"/>
        <v>0</v>
      </c>
      <c r="U51" s="430">
        <f t="shared" si="6"/>
        <v>6719</v>
      </c>
      <c r="V51" s="430">
        <f t="shared" si="6"/>
        <v>0</v>
      </c>
      <c r="W51" s="430">
        <f t="shared" si="6"/>
        <v>174990</v>
      </c>
      <c r="Y51" s="432"/>
    </row>
    <row r="52" spans="1:25" ht="12.75">
      <c r="A52" s="425">
        <f>'[8]Eredeti Ft'!A31</f>
        <v>0</v>
      </c>
      <c r="B52" s="426">
        <f>'[8]Eredeti Ft'!B31</f>
        <v>0</v>
      </c>
      <c r="C52" s="427">
        <f>ROUND('[8]Eredeti Ft'!C31,-3)/1000</f>
        <v>666</v>
      </c>
      <c r="D52" s="427">
        <f>ROUND('[8]Eredeti Ft'!D31,-3)/1000</f>
        <v>0</v>
      </c>
      <c r="E52" s="427">
        <f>ROUND('[8]Eredeti Ft'!E31,-3)/1000</f>
        <v>9902</v>
      </c>
      <c r="F52" s="427">
        <f>ROUND('[8]Eredeti Ft'!F31,-3)/1000</f>
        <v>0</v>
      </c>
      <c r="G52" s="427">
        <f>ROUND('[8]Eredeti Ft'!G31,-3)/1000</f>
        <v>0</v>
      </c>
      <c r="H52" s="427">
        <f>ROUND('[8]Eredeti Ft'!H31,-3)/1000</f>
        <v>0</v>
      </c>
      <c r="I52" s="427">
        <f>ROUND('[8]Eredeti Ft'!I31,-3)/1000</f>
        <v>0</v>
      </c>
      <c r="J52" s="427">
        <f>ROUND('[8]Eredeti Ft'!J31,-3)/1000</f>
        <v>0</v>
      </c>
      <c r="K52" s="427">
        <f>ROUND('[8]Eredeti Ft'!K31,-3)/1000</f>
        <v>0</v>
      </c>
      <c r="L52" s="427">
        <f>ROUND('[8]Eredeti Ft'!L31,-3)/1000</f>
        <v>0</v>
      </c>
      <c r="M52" s="427">
        <f>ROUND('[8]Eredeti Ft'!M31,-3)/1000</f>
        <v>0</v>
      </c>
      <c r="N52" s="427">
        <f>SUM(C52:M52)-D52</f>
        <v>10568</v>
      </c>
      <c r="O52" s="427">
        <f>ROUND('[8]Eredeti Ft'!O31,-3)/1000</f>
        <v>18580</v>
      </c>
      <c r="P52" s="427">
        <f>ROUND('[8]Eredeti Ft'!P31,-3)/1000</f>
        <v>4955</v>
      </c>
      <c r="Q52" s="427">
        <f>ROUND('[8]Eredeti Ft'!Q31,-3)/1000</f>
        <v>8333</v>
      </c>
      <c r="R52" s="427">
        <f>ROUND('[8]Eredeti Ft'!R31,-3)/1000</f>
        <v>0</v>
      </c>
      <c r="S52" s="427">
        <f>ROUND('[8]Eredeti Ft'!S31,-3)/1000</f>
        <v>0</v>
      </c>
      <c r="T52" s="427">
        <f>ROUND('[8]Eredeti Ft'!T31,-3)/1000</f>
        <v>0</v>
      </c>
      <c r="U52" s="427">
        <f>ROUND('[8]Eredeti Ft'!U31,-3)/1000</f>
        <v>0</v>
      </c>
      <c r="V52" s="427">
        <f>ROUND('[8]Eredeti Ft'!V31,-3)/1000</f>
        <v>0</v>
      </c>
      <c r="W52" s="427">
        <f>SUM(O52:V52)-R52</f>
        <v>31868</v>
      </c>
      <c r="Y52" s="245">
        <f>SUM(O52:V52)-R52</f>
        <v>31868</v>
      </c>
    </row>
    <row r="53" spans="1:25" ht="12.75">
      <c r="A53" s="425"/>
      <c r="B53" s="433" t="s">
        <v>352</v>
      </c>
      <c r="C53" s="434">
        <v>666</v>
      </c>
      <c r="D53" s="434">
        <v>0</v>
      </c>
      <c r="E53" s="434">
        <v>9902</v>
      </c>
      <c r="F53" s="434">
        <v>0</v>
      </c>
      <c r="G53" s="434">
        <v>0</v>
      </c>
      <c r="H53" s="434">
        <v>0</v>
      </c>
      <c r="I53" s="434">
        <v>0</v>
      </c>
      <c r="J53" s="434"/>
      <c r="K53" s="434"/>
      <c r="L53" s="434">
        <f>10618-1308</f>
        <v>9310</v>
      </c>
      <c r="M53" s="434"/>
      <c r="N53" s="427">
        <f>SUM(C53:M53)-D53</f>
        <v>19878</v>
      </c>
      <c r="O53" s="434">
        <f>18580+768+3263+720</f>
        <v>23331</v>
      </c>
      <c r="P53" s="434">
        <f>4955+208+882+194</f>
        <v>6239</v>
      </c>
      <c r="Q53" s="434">
        <f>8333+9642-200-68-160-100-162-121-82-623-72-250-1030-278-540-232-196-146-63-53-720-194</f>
        <v>12685</v>
      </c>
      <c r="R53" s="434">
        <v>0</v>
      </c>
      <c r="S53" s="434">
        <v>0</v>
      </c>
      <c r="T53" s="434">
        <v>0</v>
      </c>
      <c r="U53" s="434">
        <v>0</v>
      </c>
      <c r="V53" s="434">
        <v>0</v>
      </c>
      <c r="W53" s="427">
        <f>SUM(O53:V53)-R53</f>
        <v>42255</v>
      </c>
      <c r="Y53" s="245"/>
    </row>
    <row r="54" spans="1:25" s="437" customFormat="1" ht="21.75" customHeight="1">
      <c r="A54" s="428">
        <f>'[8]Eredeti Ft'!A32</f>
        <v>0</v>
      </c>
      <c r="B54" s="429">
        <f>'[8]Eredeti Ft'!B32</f>
        <v>0</v>
      </c>
      <c r="C54" s="430">
        <f aca="true" t="shared" si="7" ref="C54:W54">C4+C7+C10+C12+C14+C16+C18+C20+C22+C24+C26+C28+C32+C34+C38+C40+C50+C52</f>
        <v>111711</v>
      </c>
      <c r="D54" s="430">
        <f t="shared" si="7"/>
        <v>69489</v>
      </c>
      <c r="E54" s="430">
        <f t="shared" si="7"/>
        <v>36954</v>
      </c>
      <c r="F54" s="430">
        <f t="shared" si="7"/>
        <v>0</v>
      </c>
      <c r="G54" s="430">
        <f t="shared" si="7"/>
        <v>3540</v>
      </c>
      <c r="H54" s="430">
        <f t="shared" si="7"/>
        <v>0</v>
      </c>
      <c r="I54" s="430">
        <f t="shared" si="7"/>
        <v>46595</v>
      </c>
      <c r="J54" s="430">
        <f t="shared" si="7"/>
        <v>0</v>
      </c>
      <c r="K54" s="430">
        <f t="shared" si="7"/>
        <v>750</v>
      </c>
      <c r="L54" s="430">
        <f t="shared" si="7"/>
        <v>0</v>
      </c>
      <c r="M54" s="430">
        <f t="shared" si="7"/>
        <v>0</v>
      </c>
      <c r="N54" s="430">
        <f t="shared" si="7"/>
        <v>199550</v>
      </c>
      <c r="O54" s="430">
        <f t="shared" si="7"/>
        <v>869558</v>
      </c>
      <c r="P54" s="430">
        <f t="shared" si="7"/>
        <v>231427</v>
      </c>
      <c r="Q54" s="430">
        <f t="shared" si="7"/>
        <v>447481</v>
      </c>
      <c r="R54" s="430">
        <f t="shared" si="7"/>
        <v>158798</v>
      </c>
      <c r="S54" s="430">
        <f t="shared" si="7"/>
        <v>9420</v>
      </c>
      <c r="T54" s="430">
        <f t="shared" si="7"/>
        <v>0</v>
      </c>
      <c r="U54" s="430">
        <f t="shared" si="7"/>
        <v>6719</v>
      </c>
      <c r="V54" s="430">
        <f t="shared" si="7"/>
        <v>0</v>
      </c>
      <c r="W54" s="430">
        <f t="shared" si="7"/>
        <v>1564605</v>
      </c>
      <c r="X54" s="435"/>
      <c r="Y54" s="436">
        <f>SUM(O54:V54)-R54</f>
        <v>1564605</v>
      </c>
    </row>
    <row r="55" spans="1:25" s="439" customFormat="1" ht="21.75" customHeight="1">
      <c r="A55" s="428"/>
      <c r="B55" s="426" t="s">
        <v>352</v>
      </c>
      <c r="C55" s="430">
        <f aca="true" t="shared" si="8" ref="C55:W55">C6+C9+C11+C13+C15+C17+C19+C21+C23+C25+C27+C29+C33+C35+C39+C41+C51+C53</f>
        <v>112887</v>
      </c>
      <c r="D55" s="430">
        <f t="shared" si="8"/>
        <v>69489</v>
      </c>
      <c r="E55" s="430">
        <f t="shared" si="8"/>
        <v>36954</v>
      </c>
      <c r="F55" s="430">
        <f t="shared" si="8"/>
        <v>0</v>
      </c>
      <c r="G55" s="430">
        <f t="shared" si="8"/>
        <v>5886</v>
      </c>
      <c r="H55" s="430">
        <f t="shared" si="8"/>
        <v>0</v>
      </c>
      <c r="I55" s="430">
        <f t="shared" si="8"/>
        <v>46774</v>
      </c>
      <c r="J55" s="430">
        <f t="shared" si="8"/>
        <v>0</v>
      </c>
      <c r="K55" s="430">
        <f t="shared" si="8"/>
        <v>750</v>
      </c>
      <c r="L55" s="430">
        <f t="shared" si="8"/>
        <v>41006</v>
      </c>
      <c r="M55" s="430">
        <f t="shared" si="8"/>
        <v>0</v>
      </c>
      <c r="N55" s="430">
        <f t="shared" si="8"/>
        <v>244257</v>
      </c>
      <c r="O55" s="430">
        <f t="shared" si="8"/>
        <v>893199</v>
      </c>
      <c r="P55" s="430">
        <f t="shared" si="8"/>
        <v>237810</v>
      </c>
      <c r="Q55" s="430">
        <f t="shared" si="8"/>
        <v>481863</v>
      </c>
      <c r="R55" s="430">
        <f t="shared" si="8"/>
        <v>158798</v>
      </c>
      <c r="S55" s="430">
        <f t="shared" si="8"/>
        <v>9420</v>
      </c>
      <c r="T55" s="430">
        <f t="shared" si="8"/>
        <v>0</v>
      </c>
      <c r="U55" s="430">
        <f t="shared" si="8"/>
        <v>6882</v>
      </c>
      <c r="V55" s="430">
        <f t="shared" si="8"/>
        <v>0</v>
      </c>
      <c r="W55" s="430">
        <f t="shared" si="8"/>
        <v>1629174</v>
      </c>
      <c r="X55" s="438"/>
      <c r="Y55" s="436"/>
    </row>
    <row r="56" spans="3:23" ht="12.75" hidden="1">
      <c r="C56" s="245">
        <f>C55-C54</f>
        <v>1176</v>
      </c>
      <c r="D56" s="245">
        <f aca="true" t="shared" si="9" ref="D56:W56">D55-D54</f>
        <v>0</v>
      </c>
      <c r="E56" s="245">
        <f t="shared" si="9"/>
        <v>0</v>
      </c>
      <c r="F56" s="245">
        <f t="shared" si="9"/>
        <v>0</v>
      </c>
      <c r="G56" s="245">
        <f t="shared" si="9"/>
        <v>2346</v>
      </c>
      <c r="H56" s="245">
        <f t="shared" si="9"/>
        <v>0</v>
      </c>
      <c r="I56" s="245">
        <f t="shared" si="9"/>
        <v>179</v>
      </c>
      <c r="J56" s="245">
        <f t="shared" si="9"/>
        <v>0</v>
      </c>
      <c r="K56" s="245">
        <f t="shared" si="9"/>
        <v>0</v>
      </c>
      <c r="L56" s="245">
        <f t="shared" si="9"/>
        <v>41006</v>
      </c>
      <c r="M56" s="245">
        <f t="shared" si="9"/>
        <v>0</v>
      </c>
      <c r="N56" s="245">
        <f t="shared" si="9"/>
        <v>44707</v>
      </c>
      <c r="O56" s="245">
        <f t="shared" si="9"/>
        <v>23641</v>
      </c>
      <c r="P56" s="245">
        <f t="shared" si="9"/>
        <v>6383</v>
      </c>
      <c r="Q56" s="245">
        <f t="shared" si="9"/>
        <v>34382</v>
      </c>
      <c r="R56" s="245">
        <f t="shared" si="9"/>
        <v>0</v>
      </c>
      <c r="S56" s="245">
        <f t="shared" si="9"/>
        <v>0</v>
      </c>
      <c r="T56" s="245">
        <f t="shared" si="9"/>
        <v>0</v>
      </c>
      <c r="U56" s="245">
        <f t="shared" si="9"/>
        <v>163</v>
      </c>
      <c r="V56" s="245">
        <f t="shared" si="9"/>
        <v>0</v>
      </c>
      <c r="W56" s="245">
        <f t="shared" si="9"/>
        <v>64569</v>
      </c>
    </row>
  </sheetData>
  <sheetProtection selectLockedCells="1" selectUnlockedCells="1"/>
  <mergeCells count="40">
    <mergeCell ref="A1:N1"/>
    <mergeCell ref="O1:W1"/>
    <mergeCell ref="A2:B3"/>
    <mergeCell ref="C2:C3"/>
    <mergeCell ref="D2:D3"/>
    <mergeCell ref="E2:E3"/>
    <mergeCell ref="F2:F3"/>
    <mergeCell ref="G2:H2"/>
    <mergeCell ref="I2:J2"/>
    <mergeCell ref="K2:K3"/>
    <mergeCell ref="L2:M2"/>
    <mergeCell ref="N2:N3"/>
    <mergeCell ref="O2:S2"/>
    <mergeCell ref="U2:V2"/>
    <mergeCell ref="W2:W3"/>
    <mergeCell ref="A4:A6"/>
    <mergeCell ref="A7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</mergeCells>
  <printOptions horizontalCentered="1"/>
  <pageMargins left="0.39375" right="0.39375" top="0.5506944444444445" bottom="0.39375" header="0.3541666666666667" footer="0.5118055555555555"/>
  <pageSetup horizontalDpi="300" verticalDpi="300" orientation="landscape" paperSize="9" scale="61"/>
  <headerFooter alignWithMargins="0">
    <oddHeader>&amp;L6. melléklet a 24/2012. (VIII.31.) önkormányzati rendelethez
"6.melléklet a 3/2012.(II.16.)önkormányzati rendelethez"</oddHeader>
  </headerFooter>
  <colBreaks count="1" manualBreakCount="1">
    <brk id="1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F130"/>
  <sheetViews>
    <sheetView view="pageBreakPreview" zoomScaleSheetLayoutView="100" workbookViewId="0" topLeftCell="A34">
      <selection activeCell="D64" sqref="D64"/>
    </sheetView>
  </sheetViews>
  <sheetFormatPr defaultColWidth="9.00390625" defaultRowHeight="12.75"/>
  <cols>
    <col min="1" max="1" width="93.625" style="440" customWidth="1"/>
    <col min="2" max="2" width="10.375" style="441" customWidth="1"/>
    <col min="3" max="3" width="10.875" style="441" customWidth="1"/>
    <col min="4" max="4" width="12.875" style="441" customWidth="1"/>
    <col min="5" max="16384" width="9.125" style="440" customWidth="1"/>
  </cols>
  <sheetData>
    <row r="1" s="440" customFormat="1" ht="12.75"/>
    <row r="2" spans="1:4" ht="15.75">
      <c r="A2" s="442" t="s">
        <v>353</v>
      </c>
      <c r="B2" s="442"/>
      <c r="C2" s="442"/>
      <c r="D2" s="442"/>
    </row>
    <row r="3" spans="1:4" ht="15.75">
      <c r="A3" s="443" t="s">
        <v>354</v>
      </c>
      <c r="B3" s="443"/>
      <c r="C3" s="443"/>
      <c r="D3" s="443"/>
    </row>
    <row r="5" spans="1:4" s="447" customFormat="1" ht="13.5">
      <c r="A5" s="444" t="s">
        <v>219</v>
      </c>
      <c r="B5" s="445" t="s">
        <v>3</v>
      </c>
      <c r="C5" s="445" t="s">
        <v>4</v>
      </c>
      <c r="D5" s="446" t="s">
        <v>5</v>
      </c>
    </row>
    <row r="6" spans="1:4" ht="12.75">
      <c r="A6" s="448"/>
      <c r="B6" s="449"/>
      <c r="C6" s="449"/>
      <c r="D6" s="450"/>
    </row>
    <row r="7" spans="1:4" ht="12.75">
      <c r="A7" s="451" t="s">
        <v>144</v>
      </c>
      <c r="B7" s="452">
        <f>SUM(B9,B20,B32)</f>
        <v>1534282</v>
      </c>
      <c r="C7" s="452">
        <f>SUM(C9,C20,C32)</f>
        <v>1634496.6</v>
      </c>
      <c r="D7" s="453">
        <f>SUM(D9,D20,D32)</f>
        <v>1634186</v>
      </c>
    </row>
    <row r="8" spans="1:4" ht="12.75">
      <c r="A8" s="454"/>
      <c r="B8" s="455"/>
      <c r="C8" s="455"/>
      <c r="D8" s="456"/>
    </row>
    <row r="9" spans="1:4" ht="12.75">
      <c r="A9" s="451" t="s">
        <v>355</v>
      </c>
      <c r="B9" s="452">
        <f>SUM(B10:B33)</f>
        <v>1533782</v>
      </c>
      <c r="C9" s="452">
        <f>SUM(C10:C18)</f>
        <v>1564972</v>
      </c>
      <c r="D9" s="453">
        <f>SUM(D10:D18)</f>
        <v>1576153</v>
      </c>
    </row>
    <row r="10" spans="1:4" ht="12.75">
      <c r="A10" s="457" t="s">
        <v>356</v>
      </c>
      <c r="B10" s="455">
        <v>683424</v>
      </c>
      <c r="C10" s="455">
        <v>683424</v>
      </c>
      <c r="D10" s="456">
        <f>C10-2585</f>
        <v>680839</v>
      </c>
    </row>
    <row r="11" spans="1:4" ht="25.5">
      <c r="A11" s="457" t="s">
        <v>357</v>
      </c>
      <c r="B11" s="455">
        <v>479486</v>
      </c>
      <c r="C11" s="455">
        <f>479486+1193</f>
        <v>480679</v>
      </c>
      <c r="D11" s="456">
        <f>C11-2235</f>
        <v>478444</v>
      </c>
    </row>
    <row r="12" spans="1:4" ht="25.5">
      <c r="A12" s="457" t="s">
        <v>358</v>
      </c>
      <c r="B12" s="455">
        <v>32310</v>
      </c>
      <c r="C12" s="455">
        <v>32310</v>
      </c>
      <c r="D12" s="456">
        <f>32310+9762</f>
        <v>42072</v>
      </c>
    </row>
    <row r="13" spans="1:4" ht="38.25">
      <c r="A13" s="457" t="s">
        <v>359</v>
      </c>
      <c r="B13" s="455">
        <f>374636-7351-13000-16723</f>
        <v>337562</v>
      </c>
      <c r="C13" s="455">
        <v>337562</v>
      </c>
      <c r="D13" s="456">
        <f>C13+1540</f>
        <v>339102</v>
      </c>
    </row>
    <row r="14" spans="1:4" ht="25.5">
      <c r="A14" s="457" t="s">
        <v>360</v>
      </c>
      <c r="B14" s="455"/>
      <c r="C14" s="455">
        <v>9238</v>
      </c>
      <c r="D14" s="456">
        <v>9238</v>
      </c>
    </row>
    <row r="15" spans="1:4" ht="25.5">
      <c r="A15" s="457" t="s">
        <v>361</v>
      </c>
      <c r="B15" s="455"/>
      <c r="C15" s="455">
        <v>10035</v>
      </c>
      <c r="D15" s="456">
        <v>10035</v>
      </c>
    </row>
    <row r="16" spans="1:4" ht="12.75">
      <c r="A16" s="457" t="s">
        <v>362</v>
      </c>
      <c r="B16" s="455"/>
      <c r="C16" s="455">
        <v>2025</v>
      </c>
      <c r="D16" s="456">
        <v>2025</v>
      </c>
    </row>
    <row r="17" spans="1:4" ht="25.5">
      <c r="A17" s="457" t="s">
        <v>363</v>
      </c>
      <c r="B17" s="455"/>
      <c r="C17" s="455">
        <v>4699</v>
      </c>
      <c r="D17" s="456">
        <f>C17+4699</f>
        <v>9398</v>
      </c>
    </row>
    <row r="18" spans="1:4" ht="25.5">
      <c r="A18" s="457" t="s">
        <v>364</v>
      </c>
      <c r="B18" s="455"/>
      <c r="C18" s="455">
        <v>5000</v>
      </c>
      <c r="D18" s="456">
        <v>5000</v>
      </c>
    </row>
    <row r="19" spans="1:4" ht="12.75">
      <c r="A19" s="457"/>
      <c r="B19" s="455"/>
      <c r="C19" s="455"/>
      <c r="D19" s="456"/>
    </row>
    <row r="20" spans="1:4" s="447" customFormat="1" ht="12.75">
      <c r="A20" s="458" t="s">
        <v>365</v>
      </c>
      <c r="B20" s="452">
        <v>0</v>
      </c>
      <c r="C20" s="452">
        <f>SUM(C21:C24)</f>
        <v>65045</v>
      </c>
      <c r="D20" s="453">
        <f>SUM(D21:D30)</f>
        <v>52397</v>
      </c>
    </row>
    <row r="21" spans="1:4" ht="12.75" customHeight="1">
      <c r="A21" s="457" t="s">
        <v>366</v>
      </c>
      <c r="B21" s="455"/>
      <c r="C21" s="455">
        <v>38000</v>
      </c>
      <c r="D21" s="456">
        <v>38000</v>
      </c>
    </row>
    <row r="22" spans="1:4" ht="12.75" customHeight="1">
      <c r="A22" s="457" t="s">
        <v>367</v>
      </c>
      <c r="B22" s="455"/>
      <c r="C22" s="455">
        <v>4445</v>
      </c>
      <c r="D22" s="456">
        <v>4445</v>
      </c>
    </row>
    <row r="23" spans="1:4" ht="12.75" customHeight="1">
      <c r="A23" s="457" t="s">
        <v>368</v>
      </c>
      <c r="B23" s="455"/>
      <c r="C23" s="455">
        <v>20000</v>
      </c>
      <c r="D23" s="456">
        <v>0</v>
      </c>
    </row>
    <row r="24" spans="1:4" ht="12.75" customHeight="1">
      <c r="A24" s="457" t="s">
        <v>369</v>
      </c>
      <c r="B24" s="455"/>
      <c r="C24" s="455">
        <v>2600</v>
      </c>
      <c r="D24" s="456">
        <v>2600</v>
      </c>
    </row>
    <row r="25" spans="1:4" ht="12.75" customHeight="1">
      <c r="A25" s="457" t="s">
        <v>370</v>
      </c>
      <c r="B25" s="455"/>
      <c r="C25" s="455"/>
      <c r="D25" s="456">
        <v>279</v>
      </c>
    </row>
    <row r="26" spans="1:4" ht="12.75" customHeight="1">
      <c r="A26" s="457" t="s">
        <v>371</v>
      </c>
      <c r="B26" s="455"/>
      <c r="C26" s="455"/>
      <c r="D26" s="456">
        <v>2864</v>
      </c>
    </row>
    <row r="27" spans="1:4" ht="12.75" customHeight="1">
      <c r="A27" s="457" t="s">
        <v>372</v>
      </c>
      <c r="B27" s="455"/>
      <c r="C27" s="455"/>
      <c r="D27" s="456">
        <v>2540</v>
      </c>
    </row>
    <row r="28" spans="1:4" ht="25.5">
      <c r="A28" s="457" t="s">
        <v>373</v>
      </c>
      <c r="B28" s="455"/>
      <c r="C28" s="455"/>
      <c r="D28" s="456">
        <v>452</v>
      </c>
    </row>
    <row r="29" spans="1:4" ht="25.5">
      <c r="A29" s="457" t="s">
        <v>374</v>
      </c>
      <c r="B29" s="455"/>
      <c r="C29" s="455"/>
      <c r="D29" s="456">
        <v>953</v>
      </c>
    </row>
    <row r="30" spans="1:4" ht="12.75">
      <c r="A30" s="457" t="s">
        <v>375</v>
      </c>
      <c r="B30" s="455"/>
      <c r="C30" s="455"/>
      <c r="D30" s="456">
        <v>264</v>
      </c>
    </row>
    <row r="31" spans="1:4" ht="12.75" customHeight="1">
      <c r="A31" s="457"/>
      <c r="B31" s="455"/>
      <c r="C31" s="455"/>
      <c r="D31" s="456"/>
    </row>
    <row r="32" spans="1:4" s="447" customFormat="1" ht="12.75" customHeight="1">
      <c r="A32" s="458" t="s">
        <v>376</v>
      </c>
      <c r="B32" s="452">
        <v>500</v>
      </c>
      <c r="C32" s="452">
        <f>SUM(C33:C37)</f>
        <v>4479.6</v>
      </c>
      <c r="D32" s="453">
        <f>SUM(D33:D40)</f>
        <v>5636</v>
      </c>
    </row>
    <row r="33" spans="1:4" s="447" customFormat="1" ht="12.75" customHeight="1">
      <c r="A33" s="457" t="s">
        <v>377</v>
      </c>
      <c r="B33" s="455">
        <v>500</v>
      </c>
      <c r="C33" s="455">
        <v>500</v>
      </c>
      <c r="D33" s="456">
        <v>500</v>
      </c>
    </row>
    <row r="34" spans="1:4" ht="12.75" customHeight="1">
      <c r="A34" s="457" t="s">
        <v>378</v>
      </c>
      <c r="B34" s="455"/>
      <c r="C34" s="455">
        <v>90</v>
      </c>
      <c r="D34" s="456">
        <v>90</v>
      </c>
    </row>
    <row r="35" spans="1:4" ht="12.75" customHeight="1">
      <c r="A35" s="457" t="s">
        <v>379</v>
      </c>
      <c r="B35" s="455"/>
      <c r="C35" s="455">
        <v>950</v>
      </c>
      <c r="D35" s="456">
        <v>950</v>
      </c>
    </row>
    <row r="36" spans="1:4" ht="12.75" customHeight="1">
      <c r="A36" s="457" t="s">
        <v>380</v>
      </c>
      <c r="B36" s="455"/>
      <c r="C36" s="455">
        <v>1187</v>
      </c>
      <c r="D36" s="456">
        <v>1187</v>
      </c>
    </row>
    <row r="37" spans="1:4" ht="12.75" customHeight="1">
      <c r="A37" s="457" t="s">
        <v>381</v>
      </c>
      <c r="B37" s="455"/>
      <c r="C37" s="455">
        <f>1380*1.27</f>
        <v>1752.6000000000001</v>
      </c>
      <c r="D37" s="456">
        <v>1753</v>
      </c>
    </row>
    <row r="38" spans="1:4" ht="12.75" customHeight="1">
      <c r="A38" s="457" t="s">
        <v>382</v>
      </c>
      <c r="B38" s="455"/>
      <c r="C38" s="455"/>
      <c r="D38" s="456">
        <v>994</v>
      </c>
    </row>
    <row r="39" spans="1:4" ht="12.75" customHeight="1">
      <c r="A39" s="457" t="s">
        <v>383</v>
      </c>
      <c r="B39" s="455"/>
      <c r="C39" s="455"/>
      <c r="D39" s="456">
        <v>88</v>
      </c>
    </row>
    <row r="40" spans="1:4" ht="12.75" customHeight="1">
      <c r="A40" s="457" t="s">
        <v>384</v>
      </c>
      <c r="B40" s="455"/>
      <c r="C40" s="455"/>
      <c r="D40" s="456">
        <v>74</v>
      </c>
    </row>
    <row r="41" spans="1:4" ht="12.75">
      <c r="A41" s="454"/>
      <c r="B41" s="455"/>
      <c r="C41" s="455"/>
      <c r="D41" s="456"/>
    </row>
    <row r="42" spans="1:4" s="447" customFormat="1" ht="12.75">
      <c r="A42" s="451" t="s">
        <v>385</v>
      </c>
      <c r="B42" s="452"/>
      <c r="C42" s="452"/>
      <c r="D42" s="453">
        <f>SUM(D43)</f>
        <v>18515</v>
      </c>
    </row>
    <row r="43" spans="1:4" ht="12.75">
      <c r="A43" s="454" t="s">
        <v>386</v>
      </c>
      <c r="B43" s="455"/>
      <c r="C43" s="455"/>
      <c r="D43" s="456">
        <v>18515</v>
      </c>
    </row>
    <row r="44" spans="1:4" ht="12.75">
      <c r="A44" s="454"/>
      <c r="B44" s="455"/>
      <c r="C44" s="455"/>
      <c r="D44" s="456"/>
    </row>
    <row r="45" spans="1:4" s="447" customFormat="1" ht="12.75">
      <c r="A45" s="451" t="s">
        <v>148</v>
      </c>
      <c r="B45" s="452">
        <v>0</v>
      </c>
      <c r="C45" s="452">
        <f>SUM(C46)</f>
        <v>14918</v>
      </c>
      <c r="D45" s="453">
        <f>SUM(D46)</f>
        <v>14918</v>
      </c>
    </row>
    <row r="46" spans="1:4" s="459" customFormat="1" ht="12.75">
      <c r="A46" s="454" t="s">
        <v>387</v>
      </c>
      <c r="B46" s="455"/>
      <c r="C46" s="455">
        <v>14918</v>
      </c>
      <c r="D46" s="456">
        <v>14918</v>
      </c>
    </row>
    <row r="47" spans="1:4" ht="12.75">
      <c r="A47" s="454"/>
      <c r="B47" s="455"/>
      <c r="C47" s="455"/>
      <c r="D47" s="456"/>
    </row>
    <row r="48" spans="1:4" s="447" customFormat="1" ht="12.75">
      <c r="A48" s="451" t="s">
        <v>147</v>
      </c>
      <c r="B48" s="452">
        <v>6719</v>
      </c>
      <c r="C48" s="452">
        <f>SUM(C49:C50)</f>
        <v>6882</v>
      </c>
      <c r="D48" s="453">
        <f>SUM(D49:D54)</f>
        <v>9459</v>
      </c>
    </row>
    <row r="49" spans="1:4" s="447" customFormat="1" ht="12.75">
      <c r="A49" s="454" t="s">
        <v>388</v>
      </c>
      <c r="B49" s="455">
        <v>6719</v>
      </c>
      <c r="C49" s="455">
        <v>6719</v>
      </c>
      <c r="D49" s="456">
        <v>6719</v>
      </c>
    </row>
    <row r="50" spans="1:4" s="447" customFormat="1" ht="12.75">
      <c r="A50" s="454" t="s">
        <v>389</v>
      </c>
      <c r="B50" s="455"/>
      <c r="C50" s="455">
        <v>163</v>
      </c>
      <c r="D50" s="456">
        <v>163</v>
      </c>
    </row>
    <row r="51" spans="1:4" s="447" customFormat="1" ht="12.75">
      <c r="A51" s="454" t="s">
        <v>390</v>
      </c>
      <c r="B51" s="455"/>
      <c r="C51" s="455"/>
      <c r="D51" s="456">
        <v>1300</v>
      </c>
    </row>
    <row r="52" spans="1:4" s="459" customFormat="1" ht="12.75">
      <c r="A52" s="454" t="s">
        <v>391</v>
      </c>
      <c r="B52" s="455"/>
      <c r="C52" s="455"/>
      <c r="D52" s="456">
        <v>1000</v>
      </c>
    </row>
    <row r="53" spans="1:4" s="459" customFormat="1" ht="12.75">
      <c r="A53" s="454" t="s">
        <v>392</v>
      </c>
      <c r="B53" s="455"/>
      <c r="C53" s="455"/>
      <c r="D53" s="456">
        <v>160</v>
      </c>
    </row>
    <row r="54" spans="1:4" s="459" customFormat="1" ht="12.75">
      <c r="A54" s="454" t="s">
        <v>393</v>
      </c>
      <c r="B54" s="455"/>
      <c r="C54" s="455"/>
      <c r="D54" s="456">
        <v>117</v>
      </c>
    </row>
    <row r="55" spans="1:4" s="447" customFormat="1" ht="12.75">
      <c r="A55" s="451"/>
      <c r="B55" s="452"/>
      <c r="C55" s="452"/>
      <c r="D55" s="453"/>
    </row>
    <row r="56" spans="1:4" s="463" customFormat="1" ht="13.5">
      <c r="A56" s="460" t="s">
        <v>394</v>
      </c>
      <c r="B56" s="461">
        <f>SUM(B7,B45,B48)</f>
        <v>1541001</v>
      </c>
      <c r="C56" s="461">
        <f>SUM(C7,C45,C48)</f>
        <v>1656296.6</v>
      </c>
      <c r="D56" s="462">
        <f>SUM(D7,D45,D48,D42)</f>
        <v>1677078</v>
      </c>
    </row>
    <row r="57" spans="1:4" ht="12.75">
      <c r="A57" s="464"/>
      <c r="B57" s="465"/>
      <c r="C57" s="465"/>
      <c r="D57" s="465"/>
    </row>
    <row r="58" spans="1:4" ht="15.75">
      <c r="A58" s="442" t="s">
        <v>395</v>
      </c>
      <c r="B58" s="442"/>
      <c r="C58" s="442"/>
      <c r="D58" s="442"/>
    </row>
    <row r="59" spans="1:4" ht="15.75">
      <c r="A59" s="443" t="s">
        <v>354</v>
      </c>
      <c r="B59" s="443"/>
      <c r="C59" s="443"/>
      <c r="D59" s="443"/>
    </row>
    <row r="60" spans="1:4" ht="13.5">
      <c r="A60" s="466"/>
      <c r="B60" s="465"/>
      <c r="C60" s="465"/>
      <c r="D60" s="465"/>
    </row>
    <row r="61" spans="1:4" ht="13.5">
      <c r="A61" s="444" t="s">
        <v>219</v>
      </c>
      <c r="B61" s="467" t="s">
        <v>3</v>
      </c>
      <c r="C61" s="467" t="s">
        <v>4</v>
      </c>
      <c r="D61" s="468" t="s">
        <v>5</v>
      </c>
    </row>
    <row r="62" spans="1:4" ht="12.75">
      <c r="A62" s="448"/>
      <c r="B62" s="449"/>
      <c r="C62" s="449"/>
      <c r="D62" s="450"/>
    </row>
    <row r="63" spans="1:4" ht="12.75">
      <c r="A63" s="451" t="s">
        <v>144</v>
      </c>
      <c r="B63" s="452">
        <f>SUM(B65,B83,B88,B94)</f>
        <v>2586721</v>
      </c>
      <c r="C63" s="452">
        <f>SUM(C65,C83,C88,C94)</f>
        <v>2249944</v>
      </c>
      <c r="D63" s="453">
        <f>SUM(D65,D83,D88,D94)</f>
        <v>2241428</v>
      </c>
    </row>
    <row r="64" spans="1:4" s="470" customFormat="1" ht="12.75">
      <c r="A64" s="469"/>
      <c r="B64" s="455"/>
      <c r="C64" s="455"/>
      <c r="D64" s="456"/>
    </row>
    <row r="65" spans="1:4" s="470" customFormat="1" ht="12.75">
      <c r="A65" s="471" t="s">
        <v>355</v>
      </c>
      <c r="B65" s="452">
        <f>SUM(B66:B81)</f>
        <v>2281858</v>
      </c>
      <c r="C65" s="452">
        <f>SUM(C66:C81)</f>
        <v>2005681</v>
      </c>
      <c r="D65" s="453">
        <f>SUM(D66:D81)</f>
        <v>1997165</v>
      </c>
    </row>
    <row r="66" spans="1:6" ht="12.75">
      <c r="A66" s="454" t="s">
        <v>396</v>
      </c>
      <c r="B66" s="455">
        <v>30000</v>
      </c>
      <c r="C66" s="455">
        <v>30000</v>
      </c>
      <c r="D66" s="456">
        <v>30000</v>
      </c>
      <c r="F66" s="441"/>
    </row>
    <row r="67" spans="1:6" ht="25.5">
      <c r="A67" s="457" t="s">
        <v>397</v>
      </c>
      <c r="B67" s="455">
        <v>1400</v>
      </c>
      <c r="C67" s="455">
        <v>1400</v>
      </c>
      <c r="D67" s="456">
        <v>1400</v>
      </c>
      <c r="F67" s="441"/>
    </row>
    <row r="68" spans="1:6" ht="12.75">
      <c r="A68" s="454" t="s">
        <v>398</v>
      </c>
      <c r="B68" s="455">
        <v>7000</v>
      </c>
      <c r="C68" s="455">
        <v>7000</v>
      </c>
      <c r="D68" s="456">
        <v>7000</v>
      </c>
      <c r="F68" s="441"/>
    </row>
    <row r="69" spans="1:6" s="470" customFormat="1" ht="38.25">
      <c r="A69" s="457" t="s">
        <v>359</v>
      </c>
      <c r="B69" s="455">
        <f>51216+7351+16723</f>
        <v>75290</v>
      </c>
      <c r="C69" s="455">
        <v>75290</v>
      </c>
      <c r="D69" s="456">
        <v>75290</v>
      </c>
      <c r="F69" s="441"/>
    </row>
    <row r="70" spans="1:6" ht="12.75">
      <c r="A70" s="454" t="s">
        <v>399</v>
      </c>
      <c r="B70" s="455">
        <v>1147033</v>
      </c>
      <c r="C70" s="455">
        <f>1147033-4950</f>
        <v>1142083</v>
      </c>
      <c r="D70" s="456">
        <f>C70-4699</f>
        <v>1137384</v>
      </c>
      <c r="E70" s="459"/>
      <c r="F70" s="441"/>
    </row>
    <row r="71" spans="1:6" ht="12.75">
      <c r="A71" s="454" t="s">
        <v>400</v>
      </c>
      <c r="B71" s="455">
        <v>15000</v>
      </c>
      <c r="C71" s="455">
        <v>15000</v>
      </c>
      <c r="D71" s="456">
        <v>15000</v>
      </c>
      <c r="F71" s="441"/>
    </row>
    <row r="72" spans="1:6" ht="12.75">
      <c r="A72" s="454" t="s">
        <v>401</v>
      </c>
      <c r="B72" s="455">
        <v>100000</v>
      </c>
      <c r="C72" s="455">
        <v>0</v>
      </c>
      <c r="D72" s="456">
        <v>0</v>
      </c>
      <c r="F72" s="441"/>
    </row>
    <row r="73" spans="1:6" ht="12.75">
      <c r="A73" s="454" t="s">
        <v>402</v>
      </c>
      <c r="B73" s="455">
        <v>169202</v>
      </c>
      <c r="C73" s="455">
        <v>0</v>
      </c>
      <c r="D73" s="456">
        <v>0</v>
      </c>
      <c r="F73" s="441"/>
    </row>
    <row r="74" spans="1:6" ht="12.75">
      <c r="A74" s="454" t="s">
        <v>403</v>
      </c>
      <c r="B74" s="455">
        <v>298340</v>
      </c>
      <c r="C74" s="455">
        <v>298340</v>
      </c>
      <c r="D74" s="456">
        <v>298340</v>
      </c>
      <c r="F74" s="441"/>
    </row>
    <row r="75" spans="1:6" ht="25.5">
      <c r="A75" s="457" t="s">
        <v>404</v>
      </c>
      <c r="B75" s="455">
        <v>100000</v>
      </c>
      <c r="C75" s="455">
        <v>100000</v>
      </c>
      <c r="D75" s="456">
        <v>100000</v>
      </c>
      <c r="F75" s="441"/>
    </row>
    <row r="76" spans="1:6" ht="12.75">
      <c r="A76" s="454" t="s">
        <v>405</v>
      </c>
      <c r="B76" s="455">
        <v>45000</v>
      </c>
      <c r="C76" s="455">
        <v>45000</v>
      </c>
      <c r="D76" s="456">
        <v>45000</v>
      </c>
      <c r="F76" s="441"/>
    </row>
    <row r="77" spans="1:6" ht="12.75">
      <c r="A77" s="454" t="s">
        <v>406</v>
      </c>
      <c r="B77" s="455">
        <v>121629</v>
      </c>
      <c r="C77" s="455">
        <v>121629</v>
      </c>
      <c r="D77" s="456">
        <v>121629</v>
      </c>
      <c r="F77" s="441"/>
    </row>
    <row r="78" spans="1:6" ht="12.75">
      <c r="A78" s="454" t="s">
        <v>407</v>
      </c>
      <c r="B78" s="455">
        <v>92725</v>
      </c>
      <c r="C78" s="455">
        <v>92725</v>
      </c>
      <c r="D78" s="456">
        <v>92725</v>
      </c>
      <c r="F78" s="441"/>
    </row>
    <row r="79" spans="1:6" ht="12.75">
      <c r="A79" s="454" t="s">
        <v>408</v>
      </c>
      <c r="B79" s="455">
        <v>2864</v>
      </c>
      <c r="C79" s="455">
        <v>2864</v>
      </c>
      <c r="D79" s="456">
        <v>0</v>
      </c>
      <c r="E79" s="459"/>
      <c r="F79" s="441"/>
    </row>
    <row r="80" spans="1:6" ht="12.75">
      <c r="A80" s="454" t="s">
        <v>409</v>
      </c>
      <c r="B80" s="455">
        <v>16375</v>
      </c>
      <c r="C80" s="455">
        <v>16375</v>
      </c>
      <c r="D80" s="456">
        <f>C80-953</f>
        <v>15422</v>
      </c>
      <c r="E80" s="459"/>
      <c r="F80" s="441"/>
    </row>
    <row r="81" spans="1:6" ht="12.75">
      <c r="A81" s="454" t="s">
        <v>410</v>
      </c>
      <c r="B81" s="455">
        <v>60000</v>
      </c>
      <c r="C81" s="455">
        <f>60000-2025</f>
        <v>57975</v>
      </c>
      <c r="D81" s="456">
        <v>57975</v>
      </c>
      <c r="F81" s="441"/>
    </row>
    <row r="82" spans="1:6" s="470" customFormat="1" ht="12.75">
      <c r="A82" s="454"/>
      <c r="B82" s="455"/>
      <c r="C82" s="455"/>
      <c r="D82" s="456"/>
      <c r="F82" s="441"/>
    </row>
    <row r="83" spans="1:6" ht="12.75">
      <c r="A83" s="451" t="s">
        <v>365</v>
      </c>
      <c r="B83" s="452">
        <f>SUM(B84:B86)</f>
        <v>10350</v>
      </c>
      <c r="C83" s="452">
        <f>SUM(C84:C86)</f>
        <v>10350</v>
      </c>
      <c r="D83" s="453">
        <f>SUM(D84:D86)</f>
        <v>10350</v>
      </c>
      <c r="F83" s="441"/>
    </row>
    <row r="84" spans="1:6" ht="12.75">
      <c r="A84" s="457" t="s">
        <v>411</v>
      </c>
      <c r="B84" s="455">
        <v>2000</v>
      </c>
      <c r="C84" s="455">
        <v>2000</v>
      </c>
      <c r="D84" s="456">
        <v>2000</v>
      </c>
      <c r="F84" s="441"/>
    </row>
    <row r="85" spans="1:6" ht="12.75">
      <c r="A85" s="454" t="s">
        <v>412</v>
      </c>
      <c r="B85" s="455">
        <v>3850</v>
      </c>
      <c r="C85" s="455">
        <v>3850</v>
      </c>
      <c r="D85" s="456">
        <v>3850</v>
      </c>
      <c r="F85" s="441"/>
    </row>
    <row r="86" spans="1:6" ht="12.75">
      <c r="A86" s="454" t="s">
        <v>413</v>
      </c>
      <c r="B86" s="455">
        <v>4500</v>
      </c>
      <c r="C86" s="455">
        <v>4500</v>
      </c>
      <c r="D86" s="456">
        <v>4500</v>
      </c>
      <c r="F86" s="441"/>
    </row>
    <row r="87" spans="1:6" ht="12.75">
      <c r="A87" s="457"/>
      <c r="B87" s="455"/>
      <c r="C87" s="455"/>
      <c r="D87" s="456"/>
      <c r="F87" s="441"/>
    </row>
    <row r="88" spans="1:6" ht="12.75">
      <c r="A88" s="451" t="s">
        <v>414</v>
      </c>
      <c r="B88" s="452">
        <f>SUM(B89:B92)</f>
        <v>11400</v>
      </c>
      <c r="C88" s="452">
        <f>SUM(C89:C92)</f>
        <v>8800</v>
      </c>
      <c r="D88" s="453">
        <f>SUM(D89:D92)</f>
        <v>8800</v>
      </c>
      <c r="F88" s="441"/>
    </row>
    <row r="89" spans="1:6" ht="12.75">
      <c r="A89" s="454" t="s">
        <v>415</v>
      </c>
      <c r="B89" s="455">
        <v>2600</v>
      </c>
      <c r="C89" s="455">
        <v>0</v>
      </c>
      <c r="D89" s="456">
        <v>0</v>
      </c>
      <c r="F89" s="441"/>
    </row>
    <row r="90" spans="1:6" ht="12.75">
      <c r="A90" s="454" t="s">
        <v>416</v>
      </c>
      <c r="B90" s="455">
        <v>6350</v>
      </c>
      <c r="C90" s="455">
        <v>6350</v>
      </c>
      <c r="D90" s="456">
        <v>6350</v>
      </c>
      <c r="F90" s="441"/>
    </row>
    <row r="91" spans="1:6" ht="12.75">
      <c r="A91" s="454" t="s">
        <v>417</v>
      </c>
      <c r="B91" s="455">
        <v>1500</v>
      </c>
      <c r="C91" s="455">
        <v>1500</v>
      </c>
      <c r="D91" s="456">
        <v>1500</v>
      </c>
      <c r="F91" s="441"/>
    </row>
    <row r="92" spans="1:6" ht="12.75">
      <c r="A92" s="454" t="s">
        <v>379</v>
      </c>
      <c r="B92" s="455">
        <v>950</v>
      </c>
      <c r="C92" s="455">
        <v>950</v>
      </c>
      <c r="D92" s="456">
        <v>950</v>
      </c>
      <c r="F92" s="441"/>
    </row>
    <row r="93" spans="1:6" ht="12.75">
      <c r="A93" s="454"/>
      <c r="B93" s="455"/>
      <c r="C93" s="455"/>
      <c r="D93" s="456"/>
      <c r="F93" s="441"/>
    </row>
    <row r="94" spans="1:6" ht="12.75">
      <c r="A94" s="451" t="s">
        <v>376</v>
      </c>
      <c r="B94" s="452">
        <f>SUM(B95:B124)</f>
        <v>283113</v>
      </c>
      <c r="C94" s="452">
        <f>SUM(C95:C124)</f>
        <v>225113</v>
      </c>
      <c r="D94" s="453">
        <f>SUM(D95:D124)</f>
        <v>225113</v>
      </c>
      <c r="F94" s="441"/>
    </row>
    <row r="95" spans="1:6" s="470" customFormat="1" ht="12.75">
      <c r="A95" s="454" t="s">
        <v>418</v>
      </c>
      <c r="B95" s="455">
        <v>50000</v>
      </c>
      <c r="C95" s="455">
        <v>50000</v>
      </c>
      <c r="D95" s="456">
        <v>50000</v>
      </c>
      <c r="F95" s="441"/>
    </row>
    <row r="96" spans="1:6" ht="12.75">
      <c r="A96" s="454" t="s">
        <v>419</v>
      </c>
      <c r="B96" s="455">
        <v>13000</v>
      </c>
      <c r="C96" s="455">
        <v>13000</v>
      </c>
      <c r="D96" s="456">
        <v>13000</v>
      </c>
      <c r="F96" s="441"/>
    </row>
    <row r="97" spans="1:6" ht="12.75">
      <c r="A97" s="454" t="s">
        <v>420</v>
      </c>
      <c r="B97" s="455">
        <v>2000</v>
      </c>
      <c r="C97" s="455">
        <v>2000</v>
      </c>
      <c r="D97" s="456">
        <v>2000</v>
      </c>
      <c r="F97" s="441"/>
    </row>
    <row r="98" spans="1:6" ht="12.75">
      <c r="A98" s="454" t="s">
        <v>421</v>
      </c>
      <c r="B98" s="455">
        <v>3000</v>
      </c>
      <c r="C98" s="455">
        <v>3000</v>
      </c>
      <c r="D98" s="456">
        <v>3000</v>
      </c>
      <c r="F98" s="441"/>
    </row>
    <row r="99" spans="1:6" ht="12.75">
      <c r="A99" s="454" t="s">
        <v>422</v>
      </c>
      <c r="B99" s="455">
        <v>5000</v>
      </c>
      <c r="C99" s="455">
        <v>5000</v>
      </c>
      <c r="D99" s="456">
        <v>5000</v>
      </c>
      <c r="F99" s="441"/>
    </row>
    <row r="100" spans="1:6" ht="12.75">
      <c r="A100" s="454" t="s">
        <v>423</v>
      </c>
      <c r="B100" s="455">
        <v>800</v>
      </c>
      <c r="C100" s="455">
        <v>800</v>
      </c>
      <c r="D100" s="456">
        <v>800</v>
      </c>
      <c r="F100" s="441"/>
    </row>
    <row r="101" spans="1:6" ht="12.75">
      <c r="A101" s="454" t="s">
        <v>424</v>
      </c>
      <c r="B101" s="455">
        <v>1000</v>
      </c>
      <c r="C101" s="455">
        <v>1000</v>
      </c>
      <c r="D101" s="456">
        <v>1000</v>
      </c>
      <c r="F101" s="441"/>
    </row>
    <row r="102" spans="1:6" ht="12.75">
      <c r="A102" s="454" t="s">
        <v>425</v>
      </c>
      <c r="B102" s="455">
        <v>6000</v>
      </c>
      <c r="C102" s="455">
        <v>6000</v>
      </c>
      <c r="D102" s="456">
        <v>6000</v>
      </c>
      <c r="F102" s="441"/>
    </row>
    <row r="103" spans="1:6" ht="12.75">
      <c r="A103" s="454" t="s">
        <v>426</v>
      </c>
      <c r="B103" s="455">
        <v>2000</v>
      </c>
      <c r="C103" s="455">
        <v>2000</v>
      </c>
      <c r="D103" s="456">
        <v>2000</v>
      </c>
      <c r="F103" s="441"/>
    </row>
    <row r="104" spans="1:6" ht="12.75">
      <c r="A104" s="454" t="s">
        <v>427</v>
      </c>
      <c r="B104" s="455">
        <v>15000</v>
      </c>
      <c r="C104" s="455">
        <v>15000</v>
      </c>
      <c r="D104" s="456">
        <v>15000</v>
      </c>
      <c r="F104" s="441"/>
    </row>
    <row r="105" spans="1:6" ht="12.75">
      <c r="A105" s="454" t="s">
        <v>428</v>
      </c>
      <c r="B105" s="455">
        <v>38000</v>
      </c>
      <c r="C105" s="455">
        <v>0</v>
      </c>
      <c r="D105" s="456">
        <v>0</v>
      </c>
      <c r="F105" s="441"/>
    </row>
    <row r="106" spans="1:6" ht="12.75">
      <c r="A106" s="454" t="s">
        <v>429</v>
      </c>
      <c r="B106" s="455">
        <v>1000</v>
      </c>
      <c r="C106" s="455">
        <v>1000</v>
      </c>
      <c r="D106" s="456">
        <v>1000</v>
      </c>
      <c r="F106" s="441"/>
    </row>
    <row r="107" spans="1:6" ht="12.75">
      <c r="A107" s="454" t="s">
        <v>430</v>
      </c>
      <c r="B107" s="455">
        <v>3000</v>
      </c>
      <c r="C107" s="455">
        <v>3000</v>
      </c>
      <c r="D107" s="456">
        <v>3000</v>
      </c>
      <c r="F107" s="441"/>
    </row>
    <row r="108" spans="1:6" ht="12.75">
      <c r="A108" s="454" t="s">
        <v>431</v>
      </c>
      <c r="B108" s="455">
        <v>15000</v>
      </c>
      <c r="C108" s="455">
        <v>15000</v>
      </c>
      <c r="D108" s="456">
        <v>15000</v>
      </c>
      <c r="F108" s="441"/>
    </row>
    <row r="109" spans="1:6" ht="12.75">
      <c r="A109" s="454" t="s">
        <v>432</v>
      </c>
      <c r="B109" s="455">
        <v>1500</v>
      </c>
      <c r="C109" s="455">
        <v>1500</v>
      </c>
      <c r="D109" s="456">
        <v>1500</v>
      </c>
      <c r="F109" s="441"/>
    </row>
    <row r="110" spans="1:6" ht="12.75">
      <c r="A110" s="454" t="s">
        <v>433</v>
      </c>
      <c r="B110" s="455">
        <v>4000</v>
      </c>
      <c r="C110" s="455">
        <v>4000</v>
      </c>
      <c r="D110" s="456">
        <v>4000</v>
      </c>
      <c r="F110" s="441"/>
    </row>
    <row r="111" spans="1:6" ht="12.75">
      <c r="A111" s="454" t="s">
        <v>434</v>
      </c>
      <c r="B111" s="455">
        <v>40000</v>
      </c>
      <c r="C111" s="455">
        <v>40000</v>
      </c>
      <c r="D111" s="456">
        <v>40000</v>
      </c>
      <c r="F111" s="441"/>
    </row>
    <row r="112" spans="1:6" ht="12.75">
      <c r="A112" s="454" t="s">
        <v>435</v>
      </c>
      <c r="B112" s="455">
        <v>30000</v>
      </c>
      <c r="C112" s="455">
        <f>30000-20000</f>
        <v>10000</v>
      </c>
      <c r="D112" s="456">
        <v>10000</v>
      </c>
      <c r="F112" s="441"/>
    </row>
    <row r="113" spans="1:6" ht="12.75">
      <c r="A113" s="457" t="s">
        <v>436</v>
      </c>
      <c r="B113" s="455">
        <v>13161</v>
      </c>
      <c r="C113" s="455">
        <v>13161</v>
      </c>
      <c r="D113" s="456">
        <v>13161</v>
      </c>
      <c r="F113" s="441"/>
    </row>
    <row r="114" spans="1:6" ht="12.75">
      <c r="A114" s="457" t="s">
        <v>437</v>
      </c>
      <c r="B114" s="455">
        <v>1459</v>
      </c>
      <c r="C114" s="455">
        <v>1459</v>
      </c>
      <c r="D114" s="456">
        <v>1459</v>
      </c>
      <c r="F114" s="441"/>
    </row>
    <row r="115" spans="1:6" ht="12.75">
      <c r="A115" s="454" t="s">
        <v>438</v>
      </c>
      <c r="B115" s="455">
        <v>1000</v>
      </c>
      <c r="C115" s="455">
        <v>1000</v>
      </c>
      <c r="D115" s="456">
        <v>1000</v>
      </c>
      <c r="F115" s="441"/>
    </row>
    <row r="116" spans="1:6" ht="12.75">
      <c r="A116" s="454" t="s">
        <v>439</v>
      </c>
      <c r="B116" s="455">
        <v>2000</v>
      </c>
      <c r="C116" s="455">
        <v>2000</v>
      </c>
      <c r="D116" s="456">
        <v>2000</v>
      </c>
      <c r="F116" s="441"/>
    </row>
    <row r="117" spans="1:6" ht="12.75">
      <c r="A117" s="454" t="s">
        <v>440</v>
      </c>
      <c r="B117" s="455">
        <v>650</v>
      </c>
      <c r="C117" s="455">
        <v>650</v>
      </c>
      <c r="D117" s="456">
        <v>650</v>
      </c>
      <c r="F117" s="441"/>
    </row>
    <row r="118" spans="1:6" ht="12.75">
      <c r="A118" s="454" t="s">
        <v>441</v>
      </c>
      <c r="B118" s="455">
        <v>3000</v>
      </c>
      <c r="C118" s="455">
        <v>3000</v>
      </c>
      <c r="D118" s="456">
        <v>3000</v>
      </c>
      <c r="F118" s="441"/>
    </row>
    <row r="119" spans="1:6" ht="12.75">
      <c r="A119" s="454" t="s">
        <v>442</v>
      </c>
      <c r="B119" s="455">
        <v>12700</v>
      </c>
      <c r="C119" s="455">
        <v>12700</v>
      </c>
      <c r="D119" s="456">
        <v>12700</v>
      </c>
      <c r="F119" s="441"/>
    </row>
    <row r="120" spans="1:6" ht="12.75">
      <c r="A120" s="454" t="s">
        <v>443</v>
      </c>
      <c r="B120" s="455">
        <v>1016</v>
      </c>
      <c r="C120" s="455">
        <v>1016</v>
      </c>
      <c r="D120" s="456">
        <v>1016</v>
      </c>
      <c r="F120" s="441"/>
    </row>
    <row r="121" spans="1:6" ht="13.5" customHeight="1">
      <c r="A121" s="454" t="s">
        <v>444</v>
      </c>
      <c r="B121" s="455">
        <v>6350</v>
      </c>
      <c r="C121" s="455">
        <v>6350</v>
      </c>
      <c r="D121" s="456">
        <v>6350</v>
      </c>
      <c r="F121" s="441"/>
    </row>
    <row r="122" spans="1:6" ht="13.5" customHeight="1">
      <c r="A122" s="454" t="s">
        <v>445</v>
      </c>
      <c r="B122" s="455">
        <v>5000</v>
      </c>
      <c r="C122" s="455">
        <v>5000</v>
      </c>
      <c r="D122" s="456">
        <v>5000</v>
      </c>
      <c r="F122" s="441"/>
    </row>
    <row r="123" spans="1:6" ht="13.5" customHeight="1">
      <c r="A123" s="454" t="s">
        <v>446</v>
      </c>
      <c r="B123" s="455">
        <v>1905</v>
      </c>
      <c r="C123" s="455">
        <v>1905</v>
      </c>
      <c r="D123" s="456">
        <v>1905</v>
      </c>
      <c r="F123" s="441"/>
    </row>
    <row r="124" spans="1:6" s="470" customFormat="1" ht="12.75">
      <c r="A124" s="457" t="s">
        <v>447</v>
      </c>
      <c r="B124" s="455">
        <v>4572</v>
      </c>
      <c r="C124" s="455">
        <v>4572</v>
      </c>
      <c r="D124" s="456">
        <v>4572</v>
      </c>
      <c r="F124" s="441"/>
    </row>
    <row r="125" spans="1:6" s="470" customFormat="1" ht="12.75">
      <c r="A125" s="457"/>
      <c r="B125" s="455"/>
      <c r="C125" s="455"/>
      <c r="D125" s="456"/>
      <c r="F125" s="441"/>
    </row>
    <row r="126" spans="1:6" s="447" customFormat="1" ht="12.75">
      <c r="A126" s="451" t="s">
        <v>148</v>
      </c>
      <c r="B126" s="452">
        <v>0</v>
      </c>
      <c r="C126" s="452">
        <v>0</v>
      </c>
      <c r="D126" s="453">
        <v>0</v>
      </c>
      <c r="F126" s="441"/>
    </row>
    <row r="127" spans="1:6" s="470" customFormat="1" ht="12.75">
      <c r="A127" s="454"/>
      <c r="B127" s="455"/>
      <c r="C127" s="455"/>
      <c r="D127" s="456"/>
      <c r="F127" s="441"/>
    </row>
    <row r="128" spans="1:6" s="447" customFormat="1" ht="12.75">
      <c r="A128" s="451" t="s">
        <v>147</v>
      </c>
      <c r="B128" s="452">
        <v>0</v>
      </c>
      <c r="C128" s="452">
        <v>0</v>
      </c>
      <c r="D128" s="453">
        <v>0</v>
      </c>
      <c r="F128" s="441"/>
    </row>
    <row r="129" spans="1:6" s="470" customFormat="1" ht="12.75">
      <c r="A129" s="454"/>
      <c r="B129" s="455"/>
      <c r="C129" s="455"/>
      <c r="D129" s="456"/>
      <c r="F129" s="441"/>
    </row>
    <row r="130" spans="1:6" s="463" customFormat="1" ht="13.5">
      <c r="A130" s="460" t="s">
        <v>394</v>
      </c>
      <c r="B130" s="461">
        <f>SUM(B63,B126,B128)</f>
        <v>2586721</v>
      </c>
      <c r="C130" s="461">
        <f>SUM(C63,C126,C128)</f>
        <v>2249944</v>
      </c>
      <c r="D130" s="462">
        <f>SUM(D63,D126,D128)</f>
        <v>2241428</v>
      </c>
      <c r="F130" s="441"/>
    </row>
  </sheetData>
  <sheetProtection selectLockedCells="1" selectUnlockedCells="1"/>
  <mergeCells count="4">
    <mergeCell ref="A2:D2"/>
    <mergeCell ref="A3:D3"/>
    <mergeCell ref="A58:D58"/>
    <mergeCell ref="A59:D59"/>
  </mergeCells>
  <printOptions horizontalCentered="1"/>
  <pageMargins left="0.11805555555555555" right="0.07847222222222222" top="0.9097222222222222" bottom="0" header="0.6" footer="0.5118055555555555"/>
  <pageSetup horizontalDpi="300" verticalDpi="300" orientation="portrait" paperSize="9" scale="78"/>
  <headerFooter alignWithMargins="0">
    <oddHeader>&amp;L 7. melléklet a 24/2012.(VIII.31.) önkormányzati rendelethez
"7. melléklet a 3/2012.(II.16.) önkormányzati rendelethez"</oddHeader>
  </headerFooter>
  <rowBreaks count="1" manualBreakCount="1">
    <brk id="5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E65"/>
  <sheetViews>
    <sheetView view="pageBreakPreview" zoomScaleSheetLayoutView="100" workbookViewId="0" topLeftCell="A1">
      <selection activeCell="D38" sqref="D38"/>
    </sheetView>
  </sheetViews>
  <sheetFormatPr defaultColWidth="9.00390625" defaultRowHeight="12.75"/>
  <cols>
    <col min="1" max="1" width="75.125" style="440" customWidth="1"/>
    <col min="2" max="4" width="12.25390625" style="441" customWidth="1"/>
    <col min="5" max="16384" width="9.125" style="440" customWidth="1"/>
  </cols>
  <sheetData>
    <row r="1" spans="1:4" ht="12.75">
      <c r="A1" s="472"/>
      <c r="B1" s="470"/>
      <c r="C1" s="470"/>
      <c r="D1" s="470"/>
    </row>
    <row r="2" spans="1:4" ht="12.75">
      <c r="A2" s="472"/>
      <c r="B2" s="470"/>
      <c r="C2" s="470"/>
      <c r="D2" s="470"/>
    </row>
    <row r="3" spans="1:4" ht="15.75">
      <c r="A3" s="442" t="s">
        <v>448</v>
      </c>
      <c r="B3" s="442"/>
      <c r="C3" s="442"/>
      <c r="D3" s="442"/>
    </row>
    <row r="4" spans="1:4" ht="15.75" customHeight="1">
      <c r="A4" s="443" t="s">
        <v>449</v>
      </c>
      <c r="B4" s="443"/>
      <c r="C4" s="443"/>
      <c r="D4" s="443"/>
    </row>
    <row r="6" spans="1:4" ht="13.5">
      <c r="A6" s="444" t="s">
        <v>219</v>
      </c>
      <c r="B6" s="445" t="s">
        <v>3</v>
      </c>
      <c r="C6" s="445" t="s">
        <v>450</v>
      </c>
      <c r="D6" s="446" t="s">
        <v>5</v>
      </c>
    </row>
    <row r="7" spans="1:4" ht="12.75">
      <c r="A7" s="448"/>
      <c r="B7" s="449"/>
      <c r="C7" s="449"/>
      <c r="D7" s="450"/>
    </row>
    <row r="8" spans="1:4" ht="12.75">
      <c r="A8" s="451" t="s">
        <v>144</v>
      </c>
      <c r="B8" s="452">
        <f>SUM(B10,B15,B18)</f>
        <v>32851</v>
      </c>
      <c r="C8" s="452">
        <f>SUM(C10,C15,C18)</f>
        <v>37192</v>
      </c>
      <c r="D8" s="453">
        <f>SUM(D10,D15,D18)</f>
        <v>55526</v>
      </c>
    </row>
    <row r="9" spans="1:4" ht="12.75">
      <c r="A9" s="454"/>
      <c r="B9" s="455"/>
      <c r="C9" s="455"/>
      <c r="D9" s="456"/>
    </row>
    <row r="10" spans="1:4" ht="12.75">
      <c r="A10" s="451" t="s">
        <v>376</v>
      </c>
      <c r="B10" s="452">
        <f>SUM(B11:B13)</f>
        <v>19851</v>
      </c>
      <c r="C10" s="452">
        <f>SUM(C11:C13)</f>
        <v>19851</v>
      </c>
      <c r="D10" s="453">
        <f>SUM(D11:D13)</f>
        <v>19851</v>
      </c>
    </row>
    <row r="11" spans="1:4" ht="12.75">
      <c r="A11" s="454" t="s">
        <v>451</v>
      </c>
      <c r="B11" s="455">
        <v>12500</v>
      </c>
      <c r="C11" s="455">
        <v>12500</v>
      </c>
      <c r="D11" s="456">
        <v>12500</v>
      </c>
    </row>
    <row r="12" spans="1:4" ht="12.75">
      <c r="A12" s="457" t="s">
        <v>452</v>
      </c>
      <c r="B12" s="455">
        <v>3638</v>
      </c>
      <c r="C12" s="455">
        <v>3638</v>
      </c>
      <c r="D12" s="456">
        <v>3638</v>
      </c>
    </row>
    <row r="13" spans="1:4" ht="12.75">
      <c r="A13" s="457" t="s">
        <v>453</v>
      </c>
      <c r="B13" s="455">
        <v>3713</v>
      </c>
      <c r="C13" s="455">
        <v>3713</v>
      </c>
      <c r="D13" s="456">
        <v>3713</v>
      </c>
    </row>
    <row r="14" spans="1:4" ht="12.75">
      <c r="A14" s="457"/>
      <c r="B14" s="455"/>
      <c r="C14" s="455"/>
      <c r="D14" s="456"/>
    </row>
    <row r="15" spans="1:4" ht="12.75">
      <c r="A15" s="458" t="s">
        <v>414</v>
      </c>
      <c r="B15" s="452">
        <f>SUM(B16)</f>
        <v>13000</v>
      </c>
      <c r="C15" s="452">
        <f>SUM(C16)</f>
        <v>13000</v>
      </c>
      <c r="D15" s="453">
        <f>SUM(D16)</f>
        <v>13000</v>
      </c>
    </row>
    <row r="16" spans="1:4" ht="12.75">
      <c r="A16" s="454" t="s">
        <v>454</v>
      </c>
      <c r="B16" s="455">
        <v>13000</v>
      </c>
      <c r="C16" s="455">
        <v>13000</v>
      </c>
      <c r="D16" s="456">
        <v>13000</v>
      </c>
    </row>
    <row r="17" spans="1:4" ht="12.75">
      <c r="A17" s="454"/>
      <c r="B17" s="455"/>
      <c r="C17" s="455"/>
      <c r="D17" s="456"/>
    </row>
    <row r="18" spans="1:4" s="447" customFormat="1" ht="12.75">
      <c r="A18" s="451" t="s">
        <v>365</v>
      </c>
      <c r="B18" s="452">
        <v>0</v>
      </c>
      <c r="C18" s="452">
        <f>SUM(C19:C20)</f>
        <v>4341</v>
      </c>
      <c r="D18" s="453">
        <f>SUM(D19:D22)</f>
        <v>22675</v>
      </c>
    </row>
    <row r="19" spans="1:4" ht="12.75">
      <c r="A19" s="454" t="s">
        <v>455</v>
      </c>
      <c r="B19" s="455"/>
      <c r="C19" s="455">
        <v>1860</v>
      </c>
      <c r="D19" s="456">
        <v>1860</v>
      </c>
    </row>
    <row r="20" spans="1:4" ht="25.5" customHeight="1">
      <c r="A20" s="473" t="s">
        <v>456</v>
      </c>
      <c r="B20" s="455"/>
      <c r="C20" s="455">
        <v>2481</v>
      </c>
      <c r="D20" s="456">
        <v>2481</v>
      </c>
    </row>
    <row r="21" spans="1:4" ht="25.5" customHeight="1">
      <c r="A21" s="473" t="s">
        <v>457</v>
      </c>
      <c r="B21" s="455"/>
      <c r="C21" s="455"/>
      <c r="D21" s="456">
        <v>3334</v>
      </c>
    </row>
    <row r="22" spans="1:4" ht="12.75">
      <c r="A22" s="457" t="s">
        <v>458</v>
      </c>
      <c r="B22" s="455"/>
      <c r="C22" s="455"/>
      <c r="D22" s="456">
        <v>15000</v>
      </c>
    </row>
    <row r="23" spans="1:4" ht="12.75">
      <c r="A23" s="454"/>
      <c r="B23" s="455"/>
      <c r="C23" s="455"/>
      <c r="D23" s="456"/>
    </row>
    <row r="24" spans="1:4" ht="12.75">
      <c r="A24" s="451" t="s">
        <v>148</v>
      </c>
      <c r="B24" s="452">
        <v>0</v>
      </c>
      <c r="C24" s="452">
        <v>0</v>
      </c>
      <c r="D24" s="453">
        <v>0</v>
      </c>
    </row>
    <row r="25" spans="1:4" ht="12.75">
      <c r="A25" s="454"/>
      <c r="B25" s="455"/>
      <c r="C25" s="455"/>
      <c r="D25" s="456"/>
    </row>
    <row r="26" spans="1:4" s="447" customFormat="1" ht="12.75">
      <c r="A26" s="451" t="s">
        <v>147</v>
      </c>
      <c r="B26" s="452">
        <v>0</v>
      </c>
      <c r="C26" s="452">
        <v>0</v>
      </c>
      <c r="D26" s="453">
        <f>SUM(D27:D28)</f>
        <v>11626</v>
      </c>
    </row>
    <row r="27" spans="1:4" s="459" customFormat="1" ht="12.75">
      <c r="A27" s="454" t="s">
        <v>459</v>
      </c>
      <c r="B27" s="455"/>
      <c r="C27" s="455"/>
      <c r="D27" s="456">
        <v>2200</v>
      </c>
    </row>
    <row r="28" spans="1:4" s="459" customFormat="1" ht="12.75">
      <c r="A28" s="454" t="s">
        <v>460</v>
      </c>
      <c r="B28" s="455"/>
      <c r="C28" s="455"/>
      <c r="D28" s="456">
        <v>9426</v>
      </c>
    </row>
    <row r="29" spans="1:4" ht="12.75">
      <c r="A29" s="454"/>
      <c r="B29" s="455"/>
      <c r="C29" s="455"/>
      <c r="D29" s="456"/>
    </row>
    <row r="30" spans="1:4" s="463" customFormat="1" ht="13.5">
      <c r="A30" s="460" t="s">
        <v>394</v>
      </c>
      <c r="B30" s="461">
        <f>SUM(B8,B24,B26)</f>
        <v>32851</v>
      </c>
      <c r="C30" s="461">
        <f>SUM(C8,C24,C26)</f>
        <v>37192</v>
      </c>
      <c r="D30" s="462">
        <f>SUM(D8,D24,D26)</f>
        <v>67152</v>
      </c>
    </row>
    <row r="31" ht="12.75">
      <c r="A31" s="474"/>
    </row>
    <row r="32" ht="12.75">
      <c r="A32" s="475"/>
    </row>
    <row r="33" ht="12.75">
      <c r="A33" s="472"/>
    </row>
    <row r="34" ht="12.75">
      <c r="A34" s="475"/>
    </row>
    <row r="35" spans="1:4" ht="15.75">
      <c r="A35" s="442" t="s">
        <v>461</v>
      </c>
      <c r="B35" s="442"/>
      <c r="C35" s="442"/>
      <c r="D35" s="442"/>
    </row>
    <row r="36" spans="1:4" ht="15.75">
      <c r="A36" s="443" t="s">
        <v>354</v>
      </c>
      <c r="B36" s="443"/>
      <c r="C36" s="443"/>
      <c r="D36" s="443"/>
    </row>
    <row r="37" ht="13.5">
      <c r="A37" s="475"/>
    </row>
    <row r="38" spans="1:4" ht="13.5">
      <c r="A38" s="444" t="s">
        <v>219</v>
      </c>
      <c r="B38" s="445" t="s">
        <v>3</v>
      </c>
      <c r="C38" s="445" t="s">
        <v>4</v>
      </c>
      <c r="D38" s="446" t="s">
        <v>5</v>
      </c>
    </row>
    <row r="39" spans="1:4" ht="12.75">
      <c r="A39" s="448"/>
      <c r="B39" s="449"/>
      <c r="C39" s="449"/>
      <c r="D39" s="450"/>
    </row>
    <row r="40" spans="1:4" ht="12.75">
      <c r="A40" s="451" t="s">
        <v>144</v>
      </c>
      <c r="B40" s="452">
        <f>SUM(B42,B50)</f>
        <v>39367</v>
      </c>
      <c r="C40" s="452">
        <f>SUM(C42,C50)</f>
        <v>35026</v>
      </c>
      <c r="D40" s="453">
        <f>SUM(D42,D50)</f>
        <v>34747</v>
      </c>
    </row>
    <row r="41" spans="1:4" ht="12.75">
      <c r="A41" s="476"/>
      <c r="B41" s="477"/>
      <c r="C41" s="477"/>
      <c r="D41" s="478"/>
    </row>
    <row r="42" spans="1:4" ht="12.75">
      <c r="A42" s="451" t="s">
        <v>365</v>
      </c>
      <c r="B42" s="452">
        <f>SUM(B43:B47)</f>
        <v>10413</v>
      </c>
      <c r="C42" s="452">
        <f>SUM(C43:C47)</f>
        <v>10413</v>
      </c>
      <c r="D42" s="453">
        <f>SUM(D43:D47)</f>
        <v>10413</v>
      </c>
    </row>
    <row r="43" spans="1:4" ht="12.75">
      <c r="A43" s="454" t="s">
        <v>462</v>
      </c>
      <c r="B43" s="455">
        <v>5000</v>
      </c>
      <c r="C43" s="455">
        <v>5000</v>
      </c>
      <c r="D43" s="456">
        <v>5000</v>
      </c>
    </row>
    <row r="44" spans="1:4" ht="12.75">
      <c r="A44" s="457" t="s">
        <v>463</v>
      </c>
      <c r="B44" s="455">
        <v>500</v>
      </c>
      <c r="C44" s="455">
        <v>500</v>
      </c>
      <c r="D44" s="456">
        <v>500</v>
      </c>
    </row>
    <row r="45" spans="1:4" ht="12.75">
      <c r="A45" s="457" t="s">
        <v>452</v>
      </c>
      <c r="B45" s="455">
        <f>5000-3638</f>
        <v>1362</v>
      </c>
      <c r="C45" s="455">
        <v>1362</v>
      </c>
      <c r="D45" s="456">
        <v>1362</v>
      </c>
    </row>
    <row r="46" spans="1:4" ht="12.75">
      <c r="A46" s="457" t="s">
        <v>453</v>
      </c>
      <c r="B46" s="455">
        <f>5000-3713</f>
        <v>1287</v>
      </c>
      <c r="C46" s="455">
        <v>1287</v>
      </c>
      <c r="D46" s="456">
        <v>1287</v>
      </c>
    </row>
    <row r="47" spans="1:4" ht="12.75">
      <c r="A47" s="454" t="s">
        <v>464</v>
      </c>
      <c r="B47" s="455">
        <v>2264</v>
      </c>
      <c r="C47" s="455">
        <v>2264</v>
      </c>
      <c r="D47" s="456">
        <v>2264</v>
      </c>
    </row>
    <row r="48" spans="1:4" ht="12.75">
      <c r="A48" s="457"/>
      <c r="B48" s="455"/>
      <c r="C48" s="455"/>
      <c r="D48" s="456"/>
    </row>
    <row r="49" spans="1:4" ht="12.75">
      <c r="A49" s="454"/>
      <c r="B49" s="455"/>
      <c r="C49" s="455"/>
      <c r="D49" s="456"/>
    </row>
    <row r="50" spans="1:4" ht="12.75">
      <c r="A50" s="451" t="s">
        <v>376</v>
      </c>
      <c r="B50" s="452">
        <f>SUM(B51:B59)</f>
        <v>28954</v>
      </c>
      <c r="C50" s="452">
        <f>SUM(C51:C59)</f>
        <v>24613</v>
      </c>
      <c r="D50" s="453">
        <f>SUM(D51:D59)</f>
        <v>24334</v>
      </c>
    </row>
    <row r="51" spans="1:5" ht="12.75">
      <c r="A51" s="454" t="s">
        <v>465</v>
      </c>
      <c r="B51" s="455">
        <v>3000</v>
      </c>
      <c r="C51" s="455">
        <f>3000-1860</f>
        <v>1140</v>
      </c>
      <c r="D51" s="456">
        <f>C51-279</f>
        <v>861</v>
      </c>
      <c r="E51" s="459"/>
    </row>
    <row r="52" spans="1:4" ht="12.75">
      <c r="A52" s="454" t="s">
        <v>466</v>
      </c>
      <c r="B52" s="455">
        <v>8000</v>
      </c>
      <c r="C52" s="455">
        <f>8000-2481</f>
        <v>5519</v>
      </c>
      <c r="D52" s="456">
        <v>5519</v>
      </c>
    </row>
    <row r="53" spans="1:4" ht="12.75">
      <c r="A53" s="454" t="s">
        <v>467</v>
      </c>
      <c r="B53" s="455">
        <v>6350</v>
      </c>
      <c r="C53" s="455">
        <v>6350</v>
      </c>
      <c r="D53" s="456">
        <v>6350</v>
      </c>
    </row>
    <row r="54" spans="1:4" ht="12.75">
      <c r="A54" s="454" t="s">
        <v>468</v>
      </c>
      <c r="B54" s="455">
        <v>254</v>
      </c>
      <c r="C54" s="455">
        <v>254</v>
      </c>
      <c r="D54" s="456">
        <v>254</v>
      </c>
    </row>
    <row r="55" spans="1:4" ht="12.75">
      <c r="A55" s="454" t="s">
        <v>469</v>
      </c>
      <c r="B55" s="455">
        <v>1000</v>
      </c>
      <c r="C55" s="455">
        <v>1000</v>
      </c>
      <c r="D55" s="456">
        <v>1000</v>
      </c>
    </row>
    <row r="56" spans="1:4" ht="12.75">
      <c r="A56" s="454" t="s">
        <v>470</v>
      </c>
      <c r="B56" s="455">
        <v>2000</v>
      </c>
      <c r="C56" s="455">
        <v>2000</v>
      </c>
      <c r="D56" s="456">
        <v>2000</v>
      </c>
    </row>
    <row r="57" spans="1:4" ht="12.75">
      <c r="A57" s="454" t="s">
        <v>471</v>
      </c>
      <c r="B57" s="455">
        <v>6350</v>
      </c>
      <c r="C57" s="455">
        <v>6350</v>
      </c>
      <c r="D57" s="456">
        <v>6350</v>
      </c>
    </row>
    <row r="58" spans="1:4" ht="12.75">
      <c r="A58" s="454" t="s">
        <v>472</v>
      </c>
      <c r="B58" s="455">
        <v>1000</v>
      </c>
      <c r="C58" s="455">
        <v>1000</v>
      </c>
      <c r="D58" s="456">
        <v>1000</v>
      </c>
    </row>
    <row r="59" spans="1:4" ht="12.75">
      <c r="A59" s="454" t="s">
        <v>473</v>
      </c>
      <c r="B59" s="455">
        <v>1000</v>
      </c>
      <c r="C59" s="455">
        <v>1000</v>
      </c>
      <c r="D59" s="456">
        <v>1000</v>
      </c>
    </row>
    <row r="60" spans="1:4" ht="12.75">
      <c r="A60" s="476"/>
      <c r="B60" s="477"/>
      <c r="C60" s="477"/>
      <c r="D60" s="478"/>
    </row>
    <row r="61" spans="1:4" ht="12.75">
      <c r="A61" s="451" t="s">
        <v>148</v>
      </c>
      <c r="B61" s="452">
        <v>0</v>
      </c>
      <c r="C61" s="452">
        <v>0</v>
      </c>
      <c r="D61" s="453">
        <v>0</v>
      </c>
    </row>
    <row r="62" spans="1:4" ht="12.75">
      <c r="A62" s="454"/>
      <c r="B62" s="455"/>
      <c r="C62" s="455"/>
      <c r="D62" s="456"/>
    </row>
    <row r="63" spans="1:4" s="447" customFormat="1" ht="12.75">
      <c r="A63" s="451" t="s">
        <v>147</v>
      </c>
      <c r="B63" s="452">
        <v>0</v>
      </c>
      <c r="C63" s="452">
        <v>0</v>
      </c>
      <c r="D63" s="453">
        <v>0</v>
      </c>
    </row>
    <row r="64" spans="1:4" ht="12.75">
      <c r="A64" s="454"/>
      <c r="B64" s="455"/>
      <c r="C64" s="455"/>
      <c r="D64" s="456"/>
    </row>
    <row r="65" spans="1:4" s="463" customFormat="1" ht="13.5">
      <c r="A65" s="460" t="s">
        <v>394</v>
      </c>
      <c r="B65" s="461">
        <f>SUM(B40,B61,B63)</f>
        <v>39367</v>
      </c>
      <c r="C65" s="461">
        <f>SUM(C40,C61,C63)</f>
        <v>35026</v>
      </c>
      <c r="D65" s="462">
        <f>SUM(D40,D61,D63)</f>
        <v>34747</v>
      </c>
    </row>
  </sheetData>
  <sheetProtection selectLockedCells="1" selectUnlockedCells="1"/>
  <mergeCells count="4">
    <mergeCell ref="A3:D3"/>
    <mergeCell ref="A4:D4"/>
    <mergeCell ref="A35:D35"/>
    <mergeCell ref="A36:D36"/>
  </mergeCells>
  <printOptions horizontalCentered="1"/>
  <pageMargins left="0.07847222222222222" right="0.07847222222222222" top="0.7597222222222222" bottom="0.43333333333333335" header="0.4097222222222222" footer="0.5118055555555555"/>
  <pageSetup horizontalDpi="300" verticalDpi="300" orientation="portrait" paperSize="9" scale="86"/>
  <headerFooter alignWithMargins="0">
    <oddHeader>&amp;L 8. melléklet a 24/2012.(VIII.31.) önkormányzati rendelethez
"8. melléklet a 3/2012.(II.16.)önkormányzati rendelethez"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moni</cp:lastModifiedBy>
  <cp:lastPrinted>2012-08-30T09:20:24Z</cp:lastPrinted>
  <dcterms:created xsi:type="dcterms:W3CDTF">2003-02-14T08:59:10Z</dcterms:created>
  <dcterms:modified xsi:type="dcterms:W3CDTF">2012-08-30T13:09:26Z</dcterms:modified>
  <cp:category/>
  <cp:version/>
  <cp:contentType/>
  <cp:contentStatus/>
</cp:coreProperties>
</file>