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4715" windowHeight="8445" firstSheet="14" activeTab="17"/>
  </bookViews>
  <sheets>
    <sheet name="1.sz. melléklet" sheetId="1" r:id="rId1"/>
    <sheet name="2. sz. melléklet" sheetId="2" r:id="rId2"/>
    <sheet name="3. sz. melléklet" sheetId="3" r:id="rId3"/>
    <sheet name="4.sz. melléklet" sheetId="4" r:id="rId4"/>
    <sheet name="5.1. sz. melléklet" sheetId="5" r:id="rId5"/>
    <sheet name="5.2. sz. melléklet" sheetId="6" r:id="rId6"/>
    <sheet name="5.2. sz. melléklet (2)" sheetId="7" r:id="rId7"/>
    <sheet name="5.3. sz. melléklet (2)" sheetId="8" r:id="rId8"/>
    <sheet name="6.sz. melléklet" sheetId="9" r:id="rId9"/>
    <sheet name="7. sz.  melléklet" sheetId="10" r:id="rId10"/>
    <sheet name="8. sz. melléklet" sheetId="11" r:id="rId11"/>
    <sheet name="9. sz. melléklet" sheetId="12" r:id="rId12"/>
    <sheet name="10. sz. melléklet" sheetId="13" r:id="rId13"/>
    <sheet name="11. sz. melléklet" sheetId="14" r:id="rId14"/>
    <sheet name="12. sz. melléklet" sheetId="15" r:id="rId15"/>
    <sheet name="13. sz. melléklet" sheetId="16" r:id="rId16"/>
    <sheet name="14.sz. melléklet" sheetId="17" r:id="rId17"/>
    <sheet name="15.sz. melléklet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c" localSheetId="8">#REF!</definedName>
    <definedName name="c">#REF!</definedName>
    <definedName name="Excel_BuiltIn__FilterDatabase_5" localSheetId="0">#REF!</definedName>
    <definedName name="Excel_BuiltIn__FilterDatabase_5" localSheetId="12">#REF!</definedName>
    <definedName name="Excel_BuiltIn__FilterDatabase_5" localSheetId="13">'[8]4. sz. melléklet'!#REF!</definedName>
    <definedName name="Excel_BuiltIn__FilterDatabase_5" localSheetId="14">'[8]4. sz. melléklet'!#REF!</definedName>
    <definedName name="Excel_BuiltIn__FilterDatabase_5" localSheetId="15">#REF!</definedName>
    <definedName name="Excel_BuiltIn__FilterDatabase_5" localSheetId="16">#REF!</definedName>
    <definedName name="Excel_BuiltIn__FilterDatabase_5" localSheetId="1">#REF!</definedName>
    <definedName name="Excel_BuiltIn__FilterDatabase_5" localSheetId="2">#REF!</definedName>
    <definedName name="Excel_BuiltIn__FilterDatabase_5" localSheetId="3">#REF!</definedName>
    <definedName name="Excel_BuiltIn__FilterDatabase_5" localSheetId="4">'5.1. sz. melléklet'!#REF!</definedName>
    <definedName name="Excel_BuiltIn__FilterDatabase_5" localSheetId="5">'5.2. sz. melléklet'!#REF!</definedName>
    <definedName name="Excel_BuiltIn__FilterDatabase_5" localSheetId="6">'5.2. sz. melléklet (2)'!#REF!</definedName>
    <definedName name="Excel_BuiltIn__FilterDatabase_5" localSheetId="7">'5.3. sz. melléklet (2)'!#REF!</definedName>
    <definedName name="Excel_BuiltIn__FilterDatabase_5" localSheetId="8">#REF!</definedName>
    <definedName name="Excel_BuiltIn__FilterDatabase_5" localSheetId="9">#REF!</definedName>
    <definedName name="Excel_BuiltIn__FilterDatabase_5" localSheetId="10">'[8]4. sz. melléklet'!#REF!</definedName>
    <definedName name="Excel_BuiltIn__FilterDatabase_5" localSheetId="11">'[8]4. sz. melléklet'!#REF!</definedName>
    <definedName name="Excel_BuiltIn__FilterDatabase_5">#REF!</definedName>
    <definedName name="Excel_BuiltIn__FilterDatabase_5_1" localSheetId="15">'[2]4. sz. melléklet'!#REF!</definedName>
    <definedName name="Excel_BuiltIn__FilterDatabase_5_1" localSheetId="4">'[2]4. sz. melléklet'!#REF!</definedName>
    <definedName name="Excel_BuiltIn__FilterDatabase_5_1" localSheetId="8">'[10]4. sz. melléklet'!#REF!</definedName>
    <definedName name="Excel_BuiltIn__FilterDatabase_5_1" localSheetId="9">'[2]4. sz. melléklet'!#REF!</definedName>
    <definedName name="Excel_BuiltIn__FilterDatabase_5_1">'[2]4. sz. melléklet'!#REF!</definedName>
    <definedName name="Excel_BuiltIn__FilterDatabase_5_10">NA()</definedName>
    <definedName name="Excel_BuiltIn__FilterDatabase_5_11" localSheetId="8">'[12]4. sz. melléklet'!#REF!</definedName>
    <definedName name="Excel_BuiltIn__FilterDatabase_5_11" localSheetId="9">'[4]4. sz. melléklet'!#REF!</definedName>
    <definedName name="Excel_BuiltIn__FilterDatabase_5_11">'[4]4. sz. melléklet'!#REF!</definedName>
    <definedName name="Excel_BuiltIn__FilterDatabase_5_12" localSheetId="8">'[12]4. sz. melléklet'!#REF!</definedName>
    <definedName name="Excel_BuiltIn__FilterDatabase_5_12" localSheetId="9">'[4]4. sz. melléklet'!#REF!</definedName>
    <definedName name="Excel_BuiltIn__FilterDatabase_5_12">'[4]4. sz. melléklet'!#REF!</definedName>
    <definedName name="Excel_BuiltIn__FilterDatabase_5_13" localSheetId="0">#REF!</definedName>
    <definedName name="Excel_BuiltIn__FilterDatabase_5_13" localSheetId="12">#REF!</definedName>
    <definedName name="Excel_BuiltIn__FilterDatabase_5_13" localSheetId="13">#REF!</definedName>
    <definedName name="Excel_BuiltIn__FilterDatabase_5_13" localSheetId="14">#REF!</definedName>
    <definedName name="Excel_BuiltIn__FilterDatabase_5_13" localSheetId="15">#REF!</definedName>
    <definedName name="Excel_BuiltIn__FilterDatabase_5_13" localSheetId="16">#REF!</definedName>
    <definedName name="Excel_BuiltIn__FilterDatabase_5_13" localSheetId="1">#REF!</definedName>
    <definedName name="Excel_BuiltIn__FilterDatabase_5_13" localSheetId="2">#REF!</definedName>
    <definedName name="Excel_BuiltIn__FilterDatabase_5_13" localSheetId="3">#REF!</definedName>
    <definedName name="Excel_BuiltIn__FilterDatabase_5_13" localSheetId="4">#REF!</definedName>
    <definedName name="Excel_BuiltIn__FilterDatabase_5_13" localSheetId="5">#REF!</definedName>
    <definedName name="Excel_BuiltIn__FilterDatabase_5_13" localSheetId="6">#REF!</definedName>
    <definedName name="Excel_BuiltIn__FilterDatabase_5_13" localSheetId="7">#REF!</definedName>
    <definedName name="Excel_BuiltIn__FilterDatabase_5_13" localSheetId="8">#REF!</definedName>
    <definedName name="Excel_BuiltIn__FilterDatabase_5_13" localSheetId="9">#REF!</definedName>
    <definedName name="Excel_BuiltIn__FilterDatabase_5_13" localSheetId="10">#REF!</definedName>
    <definedName name="Excel_BuiltIn__FilterDatabase_5_13" localSheetId="11">#REF!</definedName>
    <definedName name="Excel_BuiltIn__FilterDatabase_5_13">#REF!</definedName>
    <definedName name="Excel_BuiltIn__FilterDatabase_5_15" localSheetId="8">'[13]4. sz. melléklet'!#REF!</definedName>
    <definedName name="Excel_BuiltIn__FilterDatabase_5_15" localSheetId="9">'[5]4. sz. melléklet'!#REF!</definedName>
    <definedName name="Excel_BuiltIn__FilterDatabase_5_15">'[5]4. sz. melléklet'!#REF!</definedName>
    <definedName name="Excel_BuiltIn__FilterDatabase_5_17" localSheetId="0">#REF!</definedName>
    <definedName name="Excel_BuiltIn__FilterDatabase_5_17" localSheetId="12">#REF!</definedName>
    <definedName name="Excel_BuiltIn__FilterDatabase_5_17" localSheetId="13">#REF!</definedName>
    <definedName name="Excel_BuiltIn__FilterDatabase_5_17" localSheetId="14">#REF!</definedName>
    <definedName name="Excel_BuiltIn__FilterDatabase_5_17" localSheetId="15">#REF!</definedName>
    <definedName name="Excel_BuiltIn__FilterDatabase_5_17" localSheetId="16">#REF!</definedName>
    <definedName name="Excel_BuiltIn__FilterDatabase_5_17" localSheetId="1">#REF!</definedName>
    <definedName name="Excel_BuiltIn__FilterDatabase_5_17" localSheetId="2">#REF!</definedName>
    <definedName name="Excel_BuiltIn__FilterDatabase_5_17" localSheetId="3">#REF!</definedName>
    <definedName name="Excel_BuiltIn__FilterDatabase_5_17" localSheetId="4">#REF!</definedName>
    <definedName name="Excel_BuiltIn__FilterDatabase_5_17" localSheetId="5">#REF!</definedName>
    <definedName name="Excel_BuiltIn__FilterDatabase_5_17" localSheetId="6">#REF!</definedName>
    <definedName name="Excel_BuiltIn__FilterDatabase_5_17" localSheetId="7">#REF!</definedName>
    <definedName name="Excel_BuiltIn__FilterDatabase_5_17" localSheetId="8">#REF!</definedName>
    <definedName name="Excel_BuiltIn__FilterDatabase_5_17" localSheetId="9">#REF!</definedName>
    <definedName name="Excel_BuiltIn__FilterDatabase_5_17" localSheetId="10">#REF!</definedName>
    <definedName name="Excel_BuiltIn__FilterDatabase_5_17" localSheetId="11">#REF!</definedName>
    <definedName name="Excel_BuiltIn__FilterDatabase_5_17">#REF!</definedName>
    <definedName name="Excel_BuiltIn__FilterDatabase_5_5" localSheetId="8">'[11]4.A sz. melléklet'!#REF!</definedName>
    <definedName name="Excel_BuiltIn__FilterDatabase_5_5" localSheetId="9">'[3]4.A sz. melléklet'!#REF!</definedName>
    <definedName name="Excel_BuiltIn__FilterDatabase_5_5">'[3]4.A sz. melléklet'!#REF!</definedName>
    <definedName name="Excel_BuiltIn__FilterDatabase_5_6" localSheetId="8">'[11]4.B-C. sz. melléklet'!#REF!</definedName>
    <definedName name="Excel_BuiltIn__FilterDatabase_5_6" localSheetId="9">'[3]4.B-C. sz. melléklet'!#REF!</definedName>
    <definedName name="Excel_BuiltIn__FilterDatabase_5_6">'[3]4.B-C. sz. melléklet'!#REF!</definedName>
    <definedName name="Excel_BuiltIn__FilterDatabase_5_7">NA()</definedName>
    <definedName name="Excel_BuiltIn__FilterDatabase_5_8" localSheetId="8">'[12]4. sz. melléklet'!#REF!</definedName>
    <definedName name="Excel_BuiltIn__FilterDatabase_5_8" localSheetId="9">'[4]4. sz. melléklet'!#REF!</definedName>
    <definedName name="Excel_BuiltIn__FilterDatabase_5_8">'[4]4. sz. melléklet'!#REF!</definedName>
    <definedName name="Excel_BuiltIn__FilterDatabase_5_9" localSheetId="8">'[12]4. sz. melléklet'!#REF!</definedName>
    <definedName name="Excel_BuiltIn__FilterDatabase_5_9" localSheetId="9">'[4]4. sz. melléklet'!#REF!</definedName>
    <definedName name="Excel_BuiltIn__FilterDatabase_5_9">'[4]4. sz. melléklet'!#REF!</definedName>
    <definedName name="Excel_BuiltIn_Print_Area_1" localSheetId="0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'14.sz. melléklet'!#REF!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>#REF!</definedName>
    <definedName name="Excel_BuiltIn_Print_Area_1_1">NA()</definedName>
    <definedName name="Excel_BuiltIn_Print_Area_1_15" localSheetId="0">#REF!</definedName>
    <definedName name="Excel_BuiltIn_Print_Area_1_15" localSheetId="12">#REF!</definedName>
    <definedName name="Excel_BuiltIn_Print_Area_1_15" localSheetId="13">#REF!</definedName>
    <definedName name="Excel_BuiltIn_Print_Area_1_15" localSheetId="14">#REF!</definedName>
    <definedName name="Excel_BuiltIn_Print_Area_1_15" localSheetId="15">#REF!</definedName>
    <definedName name="Excel_BuiltIn_Print_Area_1_15" localSheetId="16">#REF!</definedName>
    <definedName name="Excel_BuiltIn_Print_Area_1_15" localSheetId="1">#REF!</definedName>
    <definedName name="Excel_BuiltIn_Print_Area_1_15" localSheetId="2">#REF!</definedName>
    <definedName name="Excel_BuiltIn_Print_Area_1_15" localSheetId="3">#REF!</definedName>
    <definedName name="Excel_BuiltIn_Print_Area_1_15" localSheetId="4">#REF!</definedName>
    <definedName name="Excel_BuiltIn_Print_Area_1_15" localSheetId="5">#REF!</definedName>
    <definedName name="Excel_BuiltIn_Print_Area_1_15" localSheetId="6">#REF!</definedName>
    <definedName name="Excel_BuiltIn_Print_Area_1_15" localSheetId="7">#REF!</definedName>
    <definedName name="Excel_BuiltIn_Print_Area_1_15" localSheetId="8">#REF!</definedName>
    <definedName name="Excel_BuiltIn_Print_Area_1_15" localSheetId="9">#REF!</definedName>
    <definedName name="Excel_BuiltIn_Print_Area_1_15" localSheetId="10">#REF!</definedName>
    <definedName name="Excel_BuiltIn_Print_Area_1_15" localSheetId="11">#REF!</definedName>
    <definedName name="Excel_BuiltIn_Print_Area_1_15">#REF!</definedName>
    <definedName name="Excel_BuiltIn_Print_Area_1_21" localSheetId="8">'[11]18.'!#REF!</definedName>
    <definedName name="Excel_BuiltIn_Print_Area_1_21" localSheetId="9">'[3]18.'!#REF!</definedName>
    <definedName name="Excel_BuiltIn_Print_Area_1_21">'[3]18.'!#REF!</definedName>
    <definedName name="Excel_BuiltIn_Print_Area_1_22" localSheetId="8">'[11]19.'!#REF!</definedName>
    <definedName name="Excel_BuiltIn_Print_Area_1_22" localSheetId="9">'[3]19.'!#REF!</definedName>
    <definedName name="Excel_BuiltIn_Print_Area_1_22">'[3]19.'!#REF!</definedName>
    <definedName name="Excel_BuiltIn_Print_Area_2" localSheetId="0">#REF!</definedName>
    <definedName name="Excel_BuiltIn_Print_Area_2" localSheetId="12">#REF!</definedName>
    <definedName name="Excel_BuiltIn_Print_Area_2" localSheetId="13">#REF!</definedName>
    <definedName name="Excel_BuiltIn_Print_Area_2" localSheetId="14">#REF!</definedName>
    <definedName name="Excel_BuiltIn_Print_Area_2" localSheetId="15">#REF!</definedName>
    <definedName name="Excel_BuiltIn_Print_Area_2" localSheetId="16">#REF!</definedName>
    <definedName name="Excel_BuiltIn_Print_Area_2" localSheetId="1">#REF!</definedName>
    <definedName name="Excel_BuiltIn_Print_Area_2" localSheetId="2">#REF!</definedName>
    <definedName name="Excel_BuiltIn_Print_Area_2" localSheetId="3">#REF!</definedName>
    <definedName name="Excel_BuiltIn_Print_Area_2" localSheetId="4">#REF!</definedName>
    <definedName name="Excel_BuiltIn_Print_Area_2" localSheetId="5">#REF!</definedName>
    <definedName name="Excel_BuiltIn_Print_Area_2" localSheetId="6">#REF!</definedName>
    <definedName name="Excel_BuiltIn_Print_Area_2" localSheetId="7">#REF!</definedName>
    <definedName name="Excel_BuiltIn_Print_Area_2" localSheetId="8">#REF!</definedName>
    <definedName name="Excel_BuiltIn_Print_Area_2" localSheetId="9">#REF!</definedName>
    <definedName name="Excel_BuiltIn_Print_Area_2" localSheetId="10">#REF!</definedName>
    <definedName name="Excel_BuiltIn_Print_Area_2" localSheetId="11">#REF!</definedName>
    <definedName name="Excel_BuiltIn_Print_Area_2">#REF!</definedName>
    <definedName name="Excel_BuiltIn_Print_Area_21" localSheetId="0">#REF!</definedName>
    <definedName name="Excel_BuiltIn_Print_Area_21" localSheetId="12">#REF!</definedName>
    <definedName name="Excel_BuiltIn_Print_Area_21" localSheetId="13">#REF!</definedName>
    <definedName name="Excel_BuiltIn_Print_Area_21" localSheetId="14">#REF!</definedName>
    <definedName name="Excel_BuiltIn_Print_Area_21" localSheetId="15">#REF!</definedName>
    <definedName name="Excel_BuiltIn_Print_Area_21" localSheetId="16">#REF!</definedName>
    <definedName name="Excel_BuiltIn_Print_Area_21" localSheetId="1">#REF!</definedName>
    <definedName name="Excel_BuiltIn_Print_Area_21" localSheetId="2">#REF!</definedName>
    <definedName name="Excel_BuiltIn_Print_Area_21" localSheetId="3">#REF!</definedName>
    <definedName name="Excel_BuiltIn_Print_Area_21" localSheetId="4">#REF!</definedName>
    <definedName name="Excel_BuiltIn_Print_Area_21" localSheetId="5">#REF!</definedName>
    <definedName name="Excel_BuiltIn_Print_Area_21" localSheetId="6">#REF!</definedName>
    <definedName name="Excel_BuiltIn_Print_Area_21" localSheetId="7">#REF!</definedName>
    <definedName name="Excel_BuiltIn_Print_Area_21" localSheetId="8">#REF!</definedName>
    <definedName name="Excel_BuiltIn_Print_Area_21" localSheetId="9">#REF!</definedName>
    <definedName name="Excel_BuiltIn_Print_Area_21" localSheetId="10">#REF!</definedName>
    <definedName name="Excel_BuiltIn_Print_Area_21" localSheetId="11">#REF!</definedName>
    <definedName name="Excel_BuiltIn_Print_Area_21">#REF!</definedName>
    <definedName name="Excel_BuiltIn_Print_Area_2_1" localSheetId="8">#REF!</definedName>
    <definedName name="Excel_BuiltIn_Print_Area_2_1">#REF!</definedName>
    <definedName name="Excel_BuiltIn_Print_Area_2_15" localSheetId="0">#REF!</definedName>
    <definedName name="Excel_BuiltIn_Print_Area_2_15" localSheetId="12">#REF!</definedName>
    <definedName name="Excel_BuiltIn_Print_Area_2_15" localSheetId="13">#REF!</definedName>
    <definedName name="Excel_BuiltIn_Print_Area_2_15" localSheetId="14">#REF!</definedName>
    <definedName name="Excel_BuiltIn_Print_Area_2_15" localSheetId="15">#REF!</definedName>
    <definedName name="Excel_BuiltIn_Print_Area_2_15" localSheetId="16">#REF!</definedName>
    <definedName name="Excel_BuiltIn_Print_Area_2_15" localSheetId="1">#REF!</definedName>
    <definedName name="Excel_BuiltIn_Print_Area_2_15" localSheetId="2">#REF!</definedName>
    <definedName name="Excel_BuiltIn_Print_Area_2_15" localSheetId="3">#REF!</definedName>
    <definedName name="Excel_BuiltIn_Print_Area_2_15" localSheetId="4">#REF!</definedName>
    <definedName name="Excel_BuiltIn_Print_Area_2_15" localSheetId="5">#REF!</definedName>
    <definedName name="Excel_BuiltIn_Print_Area_2_15" localSheetId="6">#REF!</definedName>
    <definedName name="Excel_BuiltIn_Print_Area_2_15" localSheetId="7">#REF!</definedName>
    <definedName name="Excel_BuiltIn_Print_Area_2_15" localSheetId="8">#REF!</definedName>
    <definedName name="Excel_BuiltIn_Print_Area_2_15" localSheetId="9">#REF!</definedName>
    <definedName name="Excel_BuiltIn_Print_Area_2_15" localSheetId="10">#REF!</definedName>
    <definedName name="Excel_BuiltIn_Print_Area_2_15" localSheetId="11">#REF!</definedName>
    <definedName name="Excel_BuiltIn_Print_Area_2_15">#REF!</definedName>
    <definedName name="Excel_BuiltIn_Print_Area_2_5" localSheetId="0">#REF!</definedName>
    <definedName name="Excel_BuiltIn_Print_Area_2_5" localSheetId="12">#REF!</definedName>
    <definedName name="Excel_BuiltIn_Print_Area_2_5" localSheetId="13">#REF!</definedName>
    <definedName name="Excel_BuiltIn_Print_Area_2_5" localSheetId="14">#REF!</definedName>
    <definedName name="Excel_BuiltIn_Print_Area_2_5" localSheetId="15">#REF!</definedName>
    <definedName name="Excel_BuiltIn_Print_Area_2_5" localSheetId="16">#REF!</definedName>
    <definedName name="Excel_BuiltIn_Print_Area_2_5" localSheetId="1">#REF!</definedName>
    <definedName name="Excel_BuiltIn_Print_Area_2_5" localSheetId="2">#REF!</definedName>
    <definedName name="Excel_BuiltIn_Print_Area_2_5" localSheetId="3">#REF!</definedName>
    <definedName name="Excel_BuiltIn_Print_Area_2_5" localSheetId="4">#REF!</definedName>
    <definedName name="Excel_BuiltIn_Print_Area_2_5" localSheetId="5">#REF!</definedName>
    <definedName name="Excel_BuiltIn_Print_Area_2_5" localSheetId="6">#REF!</definedName>
    <definedName name="Excel_BuiltIn_Print_Area_2_5" localSheetId="7">#REF!</definedName>
    <definedName name="Excel_BuiltIn_Print_Area_2_5" localSheetId="8">#REF!</definedName>
    <definedName name="Excel_BuiltIn_Print_Area_2_5" localSheetId="9">#REF!</definedName>
    <definedName name="Excel_BuiltIn_Print_Area_2_5" localSheetId="10">#REF!</definedName>
    <definedName name="Excel_BuiltIn_Print_Area_2_5" localSheetId="11">#REF!</definedName>
    <definedName name="Excel_BuiltIn_Print_Area_2_5">#REF!</definedName>
    <definedName name="Excel_BuiltIn_Print_Area_2_6" localSheetId="0">#REF!</definedName>
    <definedName name="Excel_BuiltIn_Print_Area_2_6" localSheetId="12">#REF!</definedName>
    <definedName name="Excel_BuiltIn_Print_Area_2_6" localSheetId="13">#REF!</definedName>
    <definedName name="Excel_BuiltIn_Print_Area_2_6" localSheetId="14">#REF!</definedName>
    <definedName name="Excel_BuiltIn_Print_Area_2_6" localSheetId="15">#REF!</definedName>
    <definedName name="Excel_BuiltIn_Print_Area_2_6" localSheetId="16">#REF!</definedName>
    <definedName name="Excel_BuiltIn_Print_Area_2_6" localSheetId="1">#REF!</definedName>
    <definedName name="Excel_BuiltIn_Print_Area_2_6" localSheetId="2">#REF!</definedName>
    <definedName name="Excel_BuiltIn_Print_Area_2_6" localSheetId="3">#REF!</definedName>
    <definedName name="Excel_BuiltIn_Print_Area_2_6" localSheetId="4">#REF!</definedName>
    <definedName name="Excel_BuiltIn_Print_Area_2_6" localSheetId="5">#REF!</definedName>
    <definedName name="Excel_BuiltIn_Print_Area_2_6" localSheetId="6">#REF!</definedName>
    <definedName name="Excel_BuiltIn_Print_Area_2_6" localSheetId="7">#REF!</definedName>
    <definedName name="Excel_BuiltIn_Print_Area_2_6" localSheetId="8">#REF!</definedName>
    <definedName name="Excel_BuiltIn_Print_Area_2_6" localSheetId="9">#REF!</definedName>
    <definedName name="Excel_BuiltIn_Print_Area_2_6" localSheetId="10">#REF!</definedName>
    <definedName name="Excel_BuiltIn_Print_Area_2_6" localSheetId="11">#REF!</definedName>
    <definedName name="Excel_BuiltIn_Print_Area_2_6">#REF!</definedName>
    <definedName name="Excel_BuiltIn_Print_Titles_6" localSheetId="8">'[11]4.B-C. sz. melléklet'!#REF!</definedName>
    <definedName name="Excel_BuiltIn_Print_Titles_6" localSheetId="9">'[3]4.B-C. sz. melléklet'!#REF!</definedName>
    <definedName name="Excel_BuiltIn_Print_Titles_6">'[3]4.B-C. sz. melléklet'!#REF!</definedName>
    <definedName name="fff" localSheetId="8">#REF!</definedName>
    <definedName name="fff">#REF!</definedName>
    <definedName name="_xlnm.Print_Titles" localSheetId="4">'5.1. sz. melléklet'!$6:$8</definedName>
    <definedName name="_xlnm.Print_Titles" localSheetId="5">'5.2. sz. melléklet'!$7:$9</definedName>
    <definedName name="_xlnm.Print_Titles" localSheetId="8">'6.sz. melléklet'!$2:$3</definedName>
    <definedName name="_xlnm.Print_Titles" localSheetId="10">'8. sz. melléklet'!$98:$99</definedName>
    <definedName name="_xlnm.Print_Area" localSheetId="12">'10. sz. melléklet'!$A$1:$G$78</definedName>
    <definedName name="_xlnm.Print_Area" localSheetId="13">'11. sz. melléklet'!$A$1:$D$109</definedName>
    <definedName name="_xlnm.Print_Area" localSheetId="14">'12. sz. melléklet'!$A$1:$D$126</definedName>
    <definedName name="_xlnm.Print_Area" localSheetId="15">'13. sz. melléklet'!$A$1:$D$48</definedName>
    <definedName name="_xlnm.Print_Area" localSheetId="1">'2. sz. melléklet'!$A$1:$H$62</definedName>
    <definedName name="_xlnm.Print_Area" localSheetId="2">'3. sz. melléklet'!$A$1:$U$58</definedName>
    <definedName name="_xlnm.Print_Area" localSheetId="3">'4.sz. melléklet'!$A$1:$W$42</definedName>
    <definedName name="_xlnm.Print_Area" localSheetId="4">'5.1. sz. melléklet'!$A$1:$P$275</definedName>
    <definedName name="_xlnm.Print_Area" localSheetId="5">'5.2. sz. melléklet'!$A$1:$O$78</definedName>
    <definedName name="_xlnm.Print_Area" localSheetId="6">'5.2. sz. melléklet (2)'!$A$1:$O$20</definedName>
    <definedName name="_xlnm.Print_Area" localSheetId="7">'5.3. sz. melléklet (2)'!$A$1:$O$122</definedName>
    <definedName name="_xlnm.Print_Area" localSheetId="9">'7. sz.  melléklet'!$A$1:$O$48</definedName>
    <definedName name="_xlnm.Print_Area" localSheetId="10">'8. sz. melléklet'!$A$1:$D$125</definedName>
    <definedName name="_xlnm.Print_Area" localSheetId="11">'9. sz. melléklet'!$A$1:$D$66</definedName>
    <definedName name="SHARED_FORMULA_1_10_1_10_2" localSheetId="16">SUM(#REF!,#REF!,#REF!,#REF!,#REF!,#REF!)</definedName>
    <definedName name="SHARED_FORMULA_1_10_1_10_2" localSheetId="8">SUM(#REF!,#REF!,#REF!,#REF!,#REF!,#REF!)</definedName>
    <definedName name="SHARED_FORMULA_1_10_1_10_2" localSheetId="10">SUM(#REF!,#REF!,#REF!,#REF!,#REF!,#REF!)</definedName>
    <definedName name="SHARED_FORMULA_1_10_1_10_2" localSheetId="11">SUM(#REF!,#REF!,#REF!,#REF!,#REF!,#REF!)</definedName>
    <definedName name="SHARED_FORMULA_1_10_1_10_2">SUM(#REF!,#REF!,#REF!,#REF!,#REF!,#REF!)</definedName>
    <definedName name="SHARED_FORMULA_1_26_1_26_2" localSheetId="16">SUM(#REF!,#REF!,#REF!)</definedName>
    <definedName name="SHARED_FORMULA_1_26_1_26_2" localSheetId="8">SUM(#REF!,#REF!,#REF!)</definedName>
    <definedName name="SHARED_FORMULA_1_26_1_26_2" localSheetId="10">SUM(#REF!,#REF!,#REF!)</definedName>
    <definedName name="SHARED_FORMULA_1_26_1_26_2" localSheetId="11">SUM(#REF!,#REF!,#REF!)</definedName>
    <definedName name="SHARED_FORMULA_1_26_1_26_2">SUM(#REF!,#REF!,#REF!)</definedName>
    <definedName name="SHARED_FORMULA_1_38_1_38_8" localSheetId="16">SUM(#REF!)</definedName>
    <definedName name="SHARED_FORMULA_1_38_1_38_8" localSheetId="8">SUM(#REF!)</definedName>
    <definedName name="SHARED_FORMULA_1_38_1_38_8" localSheetId="10">SUM(#REF!)</definedName>
    <definedName name="SHARED_FORMULA_1_38_1_38_8" localSheetId="11">SUM(#REF!)</definedName>
    <definedName name="SHARED_FORMULA_1_38_1_38_8">SUM(#REF!)</definedName>
    <definedName name="SHARED_FORMULA_1_42_1_42_8" localSheetId="16">SUM(#REF!,#REF!)</definedName>
    <definedName name="SHARED_FORMULA_1_42_1_42_8" localSheetId="8">SUM(#REF!,#REF!)</definedName>
    <definedName name="SHARED_FORMULA_1_42_1_42_8" localSheetId="10">SUM(#REF!,#REF!)</definedName>
    <definedName name="SHARED_FORMULA_1_42_1_42_8" localSheetId="11">SUM(#REF!,#REF!)</definedName>
    <definedName name="SHARED_FORMULA_1_42_1_42_8">SUM(#REF!,#REF!)</definedName>
    <definedName name="SHARED_FORMULA_10_41_10_41_2" localSheetId="16">SUM(#REF!+#REF!+#REF!)</definedName>
    <definedName name="SHARED_FORMULA_10_41_10_41_2" localSheetId="8">SUM(#REF!+#REF!+#REF!)</definedName>
    <definedName name="SHARED_FORMULA_10_41_10_41_2" localSheetId="10">SUM(#REF!+#REF!+#REF!)</definedName>
    <definedName name="SHARED_FORMULA_10_41_10_41_2" localSheetId="11">SUM(#REF!+#REF!+#REF!)</definedName>
    <definedName name="SHARED_FORMULA_10_41_10_41_2">SUM(#REF!+#REF!+#REF!)</definedName>
    <definedName name="SHARED_FORMULA_10_5_10_5_2" localSheetId="16">SUM(#REF!+#REF!+#REF!)</definedName>
    <definedName name="SHARED_FORMULA_10_5_10_5_2" localSheetId="8">SUM(#REF!+#REF!+#REF!)</definedName>
    <definedName name="SHARED_FORMULA_10_5_10_5_2" localSheetId="10">SUM(#REF!+#REF!+#REF!)</definedName>
    <definedName name="SHARED_FORMULA_10_5_10_5_2" localSheetId="11">SUM(#REF!+#REF!+#REF!)</definedName>
    <definedName name="SHARED_FORMULA_10_5_10_5_2">SUM(#REF!+#REF!+#REF!)</definedName>
    <definedName name="SHARED_FORMULA_11_40_11_40_2" localSheetId="16">SUM(#REF!+#REF!+#REF!)</definedName>
    <definedName name="SHARED_FORMULA_11_40_11_40_2" localSheetId="8">SUM(#REF!+#REF!+#REF!)</definedName>
    <definedName name="SHARED_FORMULA_11_40_11_40_2" localSheetId="10">SUM(#REF!+#REF!+#REF!)</definedName>
    <definedName name="SHARED_FORMULA_11_40_11_40_2" localSheetId="11">SUM(#REF!+#REF!+#REF!)</definedName>
    <definedName name="SHARED_FORMULA_11_40_11_40_2">SUM(#REF!+#REF!+#REF!)</definedName>
    <definedName name="SHARED_FORMULA_11_5_11_5_2" localSheetId="16">SUM(#REF!+#REF!+#REF!)</definedName>
    <definedName name="SHARED_FORMULA_11_5_11_5_2" localSheetId="8">SUM(#REF!+#REF!+#REF!)</definedName>
    <definedName name="SHARED_FORMULA_11_5_11_5_2" localSheetId="10">SUM(#REF!+#REF!+#REF!)</definedName>
    <definedName name="SHARED_FORMULA_11_5_11_5_2" localSheetId="11">SUM(#REF!+#REF!+#REF!)</definedName>
    <definedName name="SHARED_FORMULA_11_5_11_5_2">SUM(#REF!+#REF!+#REF!)</definedName>
    <definedName name="SHARED_FORMULA_12_13_12_13_3" localSheetId="16">SUM(#REF!+#REF!+#REF!)</definedName>
    <definedName name="SHARED_FORMULA_12_13_12_13_3" localSheetId="8">SUM(#REF!+#REF!+#REF!)</definedName>
    <definedName name="SHARED_FORMULA_12_13_12_13_3" localSheetId="10">SUM(#REF!+#REF!+#REF!)</definedName>
    <definedName name="SHARED_FORMULA_12_13_12_13_3" localSheetId="11">SUM(#REF!+#REF!+#REF!)</definedName>
    <definedName name="SHARED_FORMULA_12_13_12_13_3">SUM(#REF!+#REF!+#REF!)</definedName>
    <definedName name="SHARED_FORMULA_12_133_12_133_5" localSheetId="16">SUM(#REF!)-#REF!-#REF!-#REF!</definedName>
    <definedName name="SHARED_FORMULA_12_133_12_133_5" localSheetId="8">SUM(#REF!)-#REF!-#REF!-#REF!</definedName>
    <definedName name="SHARED_FORMULA_12_133_12_133_5" localSheetId="10">SUM(#REF!)-#REF!-#REF!-#REF!</definedName>
    <definedName name="SHARED_FORMULA_12_133_12_133_5" localSheetId="11">SUM(#REF!)-#REF!-#REF!-#REF!</definedName>
    <definedName name="SHARED_FORMULA_12_133_12_133_5">SUM(#REF!)-#REF!-#REF!-#REF!</definedName>
    <definedName name="SHARED_FORMULA_12_40_12_40_2" localSheetId="16">SUM(#REF!+#REF!+#REF!)</definedName>
    <definedName name="SHARED_FORMULA_12_40_12_40_2" localSheetId="8">SUM(#REF!+#REF!+#REF!)</definedName>
    <definedName name="SHARED_FORMULA_12_40_12_40_2" localSheetId="10">SUM(#REF!+#REF!+#REF!)</definedName>
    <definedName name="SHARED_FORMULA_12_40_12_40_2" localSheetId="11">SUM(#REF!+#REF!+#REF!)</definedName>
    <definedName name="SHARED_FORMULA_12_40_12_40_2">SUM(#REF!+#REF!+#REF!)</definedName>
    <definedName name="SHARED_FORMULA_12_5_12_5_2" localSheetId="16">SUM(#REF!+#REF!+#REF!)</definedName>
    <definedName name="SHARED_FORMULA_12_5_12_5_2" localSheetId="8">SUM(#REF!+#REF!+#REF!)</definedName>
    <definedName name="SHARED_FORMULA_12_5_12_5_2" localSheetId="10">SUM(#REF!+#REF!+#REF!)</definedName>
    <definedName name="SHARED_FORMULA_12_5_12_5_2" localSheetId="11">SUM(#REF!+#REF!+#REF!)</definedName>
    <definedName name="SHARED_FORMULA_12_5_12_5_2">SUM(#REF!+#REF!+#REF!)</definedName>
    <definedName name="SHARED_FORMULA_12_5_12_5_3" localSheetId="16">SUM(#REF!+#REF!+#REF!)</definedName>
    <definedName name="SHARED_FORMULA_12_5_12_5_3" localSheetId="8">SUM(#REF!+#REF!+#REF!)</definedName>
    <definedName name="SHARED_FORMULA_12_5_12_5_3" localSheetId="10">SUM(#REF!+#REF!+#REF!)</definedName>
    <definedName name="SHARED_FORMULA_12_5_12_5_3" localSheetId="11">SUM(#REF!+#REF!+#REF!)</definedName>
    <definedName name="SHARED_FORMULA_12_5_12_5_3">SUM(#REF!+#REF!+#REF!)</definedName>
    <definedName name="SHARED_FORMULA_12_6_12_6_0" localSheetId="16">#REF!/#REF!*100</definedName>
    <definedName name="SHARED_FORMULA_12_6_12_6_0" localSheetId="8">#REF!/#REF!*100</definedName>
    <definedName name="SHARED_FORMULA_12_6_12_6_0" localSheetId="10">#REF!/#REF!*100</definedName>
    <definedName name="SHARED_FORMULA_12_6_12_6_0" localSheetId="11">#REF!/#REF!*100</definedName>
    <definedName name="SHARED_FORMULA_12_6_12_6_0">#REF!/#REF!*100</definedName>
    <definedName name="SHARED_FORMULA_13_105_13_105_5" localSheetId="16">SUM(#REF!)-#REF!</definedName>
    <definedName name="SHARED_FORMULA_13_105_13_105_5" localSheetId="8">SUM(#REF!)-#REF!</definedName>
    <definedName name="SHARED_FORMULA_13_105_13_105_5" localSheetId="10">SUM(#REF!)-#REF!</definedName>
    <definedName name="SHARED_FORMULA_13_105_13_105_5" localSheetId="11">SUM(#REF!)-#REF!</definedName>
    <definedName name="SHARED_FORMULA_13_105_13_105_5">SUM(#REF!)-#REF!</definedName>
    <definedName name="SHARED_FORMULA_13_3_13_3_5" localSheetId="16">SUM(#REF!)-#REF!</definedName>
    <definedName name="SHARED_FORMULA_13_3_13_3_5" localSheetId="8">SUM(#REF!)-#REF!</definedName>
    <definedName name="SHARED_FORMULA_13_3_13_3_5" localSheetId="10">SUM(#REF!)-#REF!</definedName>
    <definedName name="SHARED_FORMULA_13_3_13_3_5" localSheetId="11">SUM(#REF!)-#REF!</definedName>
    <definedName name="SHARED_FORMULA_13_3_13_3_5">SUM(#REF!)-#REF!</definedName>
    <definedName name="SHARED_FORMULA_13_41_13_41_5" localSheetId="16">SUM(#REF!)-#REF!</definedName>
    <definedName name="SHARED_FORMULA_13_41_13_41_5" localSheetId="8">SUM(#REF!)-#REF!</definedName>
    <definedName name="SHARED_FORMULA_13_41_13_41_5" localSheetId="10">SUM(#REF!)-#REF!</definedName>
    <definedName name="SHARED_FORMULA_13_41_13_41_5" localSheetId="11">SUM(#REF!)-#REF!</definedName>
    <definedName name="SHARED_FORMULA_13_41_13_41_5">SUM(#REF!)-#REF!</definedName>
    <definedName name="SHARED_FORMULA_13_73_13_73_5" localSheetId="16">SUM(#REF!)-#REF!</definedName>
    <definedName name="SHARED_FORMULA_13_73_13_73_5" localSheetId="8">SUM(#REF!)-#REF!</definedName>
    <definedName name="SHARED_FORMULA_13_73_13_73_5" localSheetId="10">SUM(#REF!)-#REF!</definedName>
    <definedName name="SHARED_FORMULA_13_73_13_73_5" localSheetId="11">SUM(#REF!)-#REF!</definedName>
    <definedName name="SHARED_FORMULA_13_73_13_73_5">SUM(#REF!)-#REF!</definedName>
    <definedName name="SHARED_FORMULA_13_9_13_9_3" localSheetId="16">SUM(#REF!+#REF!+#REF!)</definedName>
    <definedName name="SHARED_FORMULA_13_9_13_9_3" localSheetId="8">SUM(#REF!+#REF!+#REF!)</definedName>
    <definedName name="SHARED_FORMULA_13_9_13_9_3" localSheetId="10">SUM(#REF!+#REF!+#REF!)</definedName>
    <definedName name="SHARED_FORMULA_13_9_13_9_3" localSheetId="11">SUM(#REF!+#REF!+#REF!)</definedName>
    <definedName name="SHARED_FORMULA_13_9_13_9_3">SUM(#REF!+#REF!+#REF!)</definedName>
    <definedName name="SHARED_FORMULA_14_102_14_102_5" localSheetId="16">#REF!</definedName>
    <definedName name="SHARED_FORMULA_14_102_14_102_5" localSheetId="8">#REF!</definedName>
    <definedName name="SHARED_FORMULA_14_102_14_102_5" localSheetId="10">#REF!</definedName>
    <definedName name="SHARED_FORMULA_14_102_14_102_5" localSheetId="11">#REF!</definedName>
    <definedName name="SHARED_FORMULA_14_102_14_102_5">#REF!</definedName>
    <definedName name="SHARED_FORMULA_14_121_14_121_5" localSheetId="16">#REF!+#REF!+#REF!+#REF!</definedName>
    <definedName name="SHARED_FORMULA_14_121_14_121_5" localSheetId="8">#REF!+#REF!+#REF!+#REF!</definedName>
    <definedName name="SHARED_FORMULA_14_121_14_121_5" localSheetId="10">#REF!+#REF!+#REF!+#REF!</definedName>
    <definedName name="SHARED_FORMULA_14_121_14_121_5" localSheetId="11">#REF!+#REF!+#REF!+#REF!</definedName>
    <definedName name="SHARED_FORMULA_14_121_14_121_5">#REF!+#REF!+#REF!+#REF!</definedName>
    <definedName name="SHARED_FORMULA_14_131_14_131_5" localSheetId="16">#REF!+#REF!+#REF!+#REF!+#REF!+#REF!+#REF!+#REF!+#REF!+#REF!+#REF!+#REF!+#REF!+#REF!+#REF!+#REF!+#REF!+#REF!+#REF!+#REF!+#REF!+#REF!+#REF!</definedName>
    <definedName name="SHARED_FORMULA_14_131_14_131_5" localSheetId="8">#REF!+#REF!+#REF!+#REF!+#REF!+#REF!+#REF!+#REF!+#REF!+#REF!+#REF!+#REF!+#REF!+#REF!+#REF!+#REF!+#REF!+#REF!+#REF!+#REF!+#REF!+#REF!+#REF!</definedName>
    <definedName name="SHARED_FORMULA_14_131_14_131_5" localSheetId="10">#REF!+#REF!+#REF!+#REF!+#REF!+#REF!+#REF!+#REF!+#REF!+#REF!+#REF!+#REF!+#REF!+#REF!+#REF!+#REF!+#REF!+#REF!+#REF!+#REF!+#REF!+#REF!+#REF!</definedName>
    <definedName name="SHARED_FORMULA_14_131_14_131_5" localSheetId="11">#REF!+#REF!+#REF!+#REF!+#REF!+#REF!+#REF!+#REF!+#REF!+#REF!+#REF!+#REF!+#REF!+#REF!+#REF!+#REF!+#REF!+#REF!+#REF!+#REF!+#REF!+#REF!+#REF!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 localSheetId="16">#REF!+#REF!</definedName>
    <definedName name="SHARED_FORMULA_14_150_14_150_5" localSheetId="8">#REF!+#REF!</definedName>
    <definedName name="SHARED_FORMULA_14_150_14_150_5" localSheetId="10">#REF!+#REF!</definedName>
    <definedName name="SHARED_FORMULA_14_150_14_150_5" localSheetId="11">#REF!+#REF!</definedName>
    <definedName name="SHARED_FORMULA_14_150_14_150_5">#REF!+#REF!</definedName>
    <definedName name="SHARED_FORMULA_14_151_14_151_5" localSheetId="16">#REF!-#REF!</definedName>
    <definedName name="SHARED_FORMULA_14_151_14_151_5" localSheetId="8">#REF!-#REF!</definedName>
    <definedName name="SHARED_FORMULA_14_151_14_151_5" localSheetId="10">#REF!-#REF!</definedName>
    <definedName name="SHARED_FORMULA_14_151_14_151_5" localSheetId="11">#REF!-#REF!</definedName>
    <definedName name="SHARED_FORMULA_14_151_14_151_5">#REF!-#REF!</definedName>
    <definedName name="SHARED_FORMULA_14_71_14_71_5" localSheetId="16">#REF!+#REF!+#REF!+#REF!</definedName>
    <definedName name="SHARED_FORMULA_14_71_14_71_5" localSheetId="8">#REF!+#REF!+#REF!+#REF!</definedName>
    <definedName name="SHARED_FORMULA_14_71_14_71_5" localSheetId="10">#REF!+#REF!+#REF!+#REF!</definedName>
    <definedName name="SHARED_FORMULA_14_71_14_71_5" localSheetId="11">#REF!+#REF!+#REF!+#REF!</definedName>
    <definedName name="SHARED_FORMULA_14_71_14_71_5">#REF!+#REF!+#REF!+#REF!</definedName>
    <definedName name="SHARED_FORMULA_14_72_14_72_5" localSheetId="16">#REF!+#REF!+#REF!+#REF!</definedName>
    <definedName name="SHARED_FORMULA_14_72_14_72_5" localSheetId="8">#REF!+#REF!+#REF!+#REF!</definedName>
    <definedName name="SHARED_FORMULA_14_72_14_72_5" localSheetId="10">#REF!+#REF!+#REF!+#REF!</definedName>
    <definedName name="SHARED_FORMULA_14_72_14_72_5" localSheetId="11">#REF!+#REF!+#REF!+#REF!</definedName>
    <definedName name="SHARED_FORMULA_14_72_14_72_5">#REF!+#REF!+#REF!+#REF!</definedName>
    <definedName name="SHARED_FORMULA_14_73_14_73_5" localSheetId="16">#REF!+#REF!+#REF!+#REF!</definedName>
    <definedName name="SHARED_FORMULA_14_73_14_73_5" localSheetId="8">#REF!+#REF!+#REF!+#REF!</definedName>
    <definedName name="SHARED_FORMULA_14_73_14_73_5" localSheetId="10">#REF!+#REF!+#REF!+#REF!</definedName>
    <definedName name="SHARED_FORMULA_14_73_14_73_5" localSheetId="11">#REF!+#REF!+#REF!+#REF!</definedName>
    <definedName name="SHARED_FORMULA_14_73_14_73_5">#REF!+#REF!+#REF!+#REF!</definedName>
    <definedName name="SHARED_FORMULA_14_74_14_74_5" localSheetId="16">#REF!+#REF!+#REF!+#REF!</definedName>
    <definedName name="SHARED_FORMULA_14_74_14_74_5" localSheetId="8">#REF!+#REF!+#REF!+#REF!</definedName>
    <definedName name="SHARED_FORMULA_14_74_14_74_5" localSheetId="10">#REF!+#REF!+#REF!+#REF!</definedName>
    <definedName name="SHARED_FORMULA_14_74_14_74_5" localSheetId="11">#REF!+#REF!+#REF!+#REF!</definedName>
    <definedName name="SHARED_FORMULA_14_74_14_74_5">#REF!+#REF!+#REF!+#REF!</definedName>
    <definedName name="SHARED_FORMULA_14_75_14_75_5" localSheetId="16">#REF!+#REF!+#REF!+#REF!</definedName>
    <definedName name="SHARED_FORMULA_14_75_14_75_5" localSheetId="8">#REF!+#REF!+#REF!+#REF!</definedName>
    <definedName name="SHARED_FORMULA_14_75_14_75_5" localSheetId="10">#REF!+#REF!+#REF!+#REF!</definedName>
    <definedName name="SHARED_FORMULA_14_75_14_75_5" localSheetId="11">#REF!+#REF!+#REF!+#REF!</definedName>
    <definedName name="SHARED_FORMULA_14_75_14_75_5">#REF!+#REF!+#REF!+#REF!</definedName>
    <definedName name="SHARED_FORMULA_14_86_14_86_5" localSheetId="16">#REF!+#REF!</definedName>
    <definedName name="SHARED_FORMULA_14_86_14_86_5" localSheetId="8">#REF!+#REF!</definedName>
    <definedName name="SHARED_FORMULA_14_86_14_86_5" localSheetId="10">#REF!+#REF!</definedName>
    <definedName name="SHARED_FORMULA_14_86_14_86_5" localSheetId="11">#REF!+#REF!</definedName>
    <definedName name="SHARED_FORMULA_14_86_14_86_5">#REF!+#REF!</definedName>
    <definedName name="SHARED_FORMULA_14_9_14_9_3" localSheetId="16">SUM(#REF!+#REF!+#REF!)</definedName>
    <definedName name="SHARED_FORMULA_14_9_14_9_3" localSheetId="8">SUM(#REF!+#REF!+#REF!)</definedName>
    <definedName name="SHARED_FORMULA_14_9_14_9_3" localSheetId="10">SUM(#REF!+#REF!+#REF!)</definedName>
    <definedName name="SHARED_FORMULA_14_9_14_9_3" localSheetId="11">SUM(#REF!+#REF!+#REF!)</definedName>
    <definedName name="SHARED_FORMULA_14_9_14_9_3">SUM(#REF!+#REF!+#REF!)</definedName>
    <definedName name="SHARED_FORMULA_16_112_16_112_5" localSheetId="16">#REF!</definedName>
    <definedName name="SHARED_FORMULA_16_112_16_112_5" localSheetId="8">#REF!</definedName>
    <definedName name="SHARED_FORMULA_16_112_16_112_5" localSheetId="10">#REF!</definedName>
    <definedName name="SHARED_FORMULA_16_112_16_112_5" localSheetId="11">#REF!</definedName>
    <definedName name="SHARED_FORMULA_16_112_16_112_5">#REF!</definedName>
    <definedName name="SHARED_FORMULA_17_108_17_108_5" localSheetId="16">#REF!</definedName>
    <definedName name="SHARED_FORMULA_17_108_17_108_5" localSheetId="8">#REF!</definedName>
    <definedName name="SHARED_FORMULA_17_108_17_108_5" localSheetId="10">#REF!</definedName>
    <definedName name="SHARED_FORMULA_17_108_17_108_5" localSheetId="11">#REF!</definedName>
    <definedName name="SHARED_FORMULA_17_108_17_108_5">#REF!</definedName>
    <definedName name="SHARED_FORMULA_17_117_17_117_5" localSheetId="16">#REF!</definedName>
    <definedName name="SHARED_FORMULA_17_117_17_117_5" localSheetId="8">#REF!</definedName>
    <definedName name="SHARED_FORMULA_17_117_17_117_5" localSheetId="10">#REF!</definedName>
    <definedName name="SHARED_FORMULA_17_117_17_117_5" localSheetId="11">#REF!</definedName>
    <definedName name="SHARED_FORMULA_17_117_17_117_5">#REF!</definedName>
    <definedName name="SHARED_FORMULA_17_127_17_127_5" localSheetId="16">#REF!</definedName>
    <definedName name="SHARED_FORMULA_17_127_17_127_5" localSheetId="8">#REF!</definedName>
    <definedName name="SHARED_FORMULA_17_127_17_127_5" localSheetId="10">#REF!</definedName>
    <definedName name="SHARED_FORMULA_17_127_17_127_5" localSheetId="11">#REF!</definedName>
    <definedName name="SHARED_FORMULA_17_127_17_127_5">#REF!</definedName>
    <definedName name="SHARED_FORMULA_17_22_17_22_5" localSheetId="16">#REF!</definedName>
    <definedName name="SHARED_FORMULA_17_22_17_22_5" localSheetId="8">#REF!</definedName>
    <definedName name="SHARED_FORMULA_17_22_17_22_5" localSheetId="10">#REF!</definedName>
    <definedName name="SHARED_FORMULA_17_22_17_22_5" localSheetId="11">#REF!</definedName>
    <definedName name="SHARED_FORMULA_17_22_17_22_5">#REF!</definedName>
    <definedName name="SHARED_FORMULA_17_27_17_27_5" localSheetId="16">#REF!</definedName>
    <definedName name="SHARED_FORMULA_17_27_17_27_5" localSheetId="8">#REF!</definedName>
    <definedName name="SHARED_FORMULA_17_27_17_27_5" localSheetId="10">#REF!</definedName>
    <definedName name="SHARED_FORMULA_17_27_17_27_5" localSheetId="11">#REF!</definedName>
    <definedName name="SHARED_FORMULA_17_27_17_27_5">#REF!</definedName>
    <definedName name="SHARED_FORMULA_17_32_17_32_5" localSheetId="16">#REF!</definedName>
    <definedName name="SHARED_FORMULA_17_32_17_32_5" localSheetId="8">#REF!</definedName>
    <definedName name="SHARED_FORMULA_17_32_17_32_5" localSheetId="10">#REF!</definedName>
    <definedName name="SHARED_FORMULA_17_32_17_32_5" localSheetId="11">#REF!</definedName>
    <definedName name="SHARED_FORMULA_17_32_17_32_5">#REF!</definedName>
    <definedName name="SHARED_FORMULA_17_37_17_37_5" localSheetId="16">#REF!</definedName>
    <definedName name="SHARED_FORMULA_17_37_17_37_5" localSheetId="8">#REF!</definedName>
    <definedName name="SHARED_FORMULA_17_37_17_37_5" localSheetId="10">#REF!</definedName>
    <definedName name="SHARED_FORMULA_17_37_17_37_5" localSheetId="11">#REF!</definedName>
    <definedName name="SHARED_FORMULA_17_37_17_37_5">#REF!</definedName>
    <definedName name="SHARED_FORMULA_17_4_17_4_5" localSheetId="16">#REF!</definedName>
    <definedName name="SHARED_FORMULA_17_4_17_4_5" localSheetId="8">#REF!</definedName>
    <definedName name="SHARED_FORMULA_17_4_17_4_5" localSheetId="10">#REF!</definedName>
    <definedName name="SHARED_FORMULA_17_4_17_4_5" localSheetId="11">#REF!</definedName>
    <definedName name="SHARED_FORMULA_17_4_17_4_5">#REF!</definedName>
    <definedName name="SHARED_FORMULA_17_43_17_43_5" localSheetId="16">#REF!</definedName>
    <definedName name="SHARED_FORMULA_17_43_17_43_5" localSheetId="8">#REF!</definedName>
    <definedName name="SHARED_FORMULA_17_43_17_43_5" localSheetId="10">#REF!</definedName>
    <definedName name="SHARED_FORMULA_17_43_17_43_5" localSheetId="11">#REF!</definedName>
    <definedName name="SHARED_FORMULA_17_43_17_43_5">#REF!</definedName>
    <definedName name="SHARED_FORMULA_17_47_17_47_5" localSheetId="16">#REF!</definedName>
    <definedName name="SHARED_FORMULA_17_47_17_47_5" localSheetId="8">#REF!</definedName>
    <definedName name="SHARED_FORMULA_17_47_17_47_5" localSheetId="10">#REF!</definedName>
    <definedName name="SHARED_FORMULA_17_47_17_47_5" localSheetId="11">#REF!</definedName>
    <definedName name="SHARED_FORMULA_17_47_17_47_5">#REF!</definedName>
    <definedName name="SHARED_FORMULA_17_52_17_52_5" localSheetId="16">#REF!</definedName>
    <definedName name="SHARED_FORMULA_17_52_17_52_5" localSheetId="8">#REF!</definedName>
    <definedName name="SHARED_FORMULA_17_52_17_52_5" localSheetId="10">#REF!</definedName>
    <definedName name="SHARED_FORMULA_17_52_17_52_5" localSheetId="11">#REF!</definedName>
    <definedName name="SHARED_FORMULA_17_52_17_52_5">#REF!</definedName>
    <definedName name="SHARED_FORMULA_17_57_17_57_5" localSheetId="16">#REF!</definedName>
    <definedName name="SHARED_FORMULA_17_57_17_57_5" localSheetId="8">#REF!</definedName>
    <definedName name="SHARED_FORMULA_17_57_17_57_5" localSheetId="10">#REF!</definedName>
    <definedName name="SHARED_FORMULA_17_57_17_57_5" localSheetId="11">#REF!</definedName>
    <definedName name="SHARED_FORMULA_17_57_17_57_5">#REF!</definedName>
    <definedName name="SHARED_FORMULA_17_62_17_62_5" localSheetId="16">#REF!</definedName>
    <definedName name="SHARED_FORMULA_17_62_17_62_5" localSheetId="8">#REF!</definedName>
    <definedName name="SHARED_FORMULA_17_62_17_62_5" localSheetId="10">#REF!</definedName>
    <definedName name="SHARED_FORMULA_17_62_17_62_5" localSheetId="11">#REF!</definedName>
    <definedName name="SHARED_FORMULA_17_62_17_62_5">#REF!</definedName>
    <definedName name="SHARED_FORMULA_17_67_17_67_5" localSheetId="16">#REF!</definedName>
    <definedName name="SHARED_FORMULA_17_67_17_67_5" localSheetId="8">#REF!</definedName>
    <definedName name="SHARED_FORMULA_17_67_17_67_5" localSheetId="10">#REF!</definedName>
    <definedName name="SHARED_FORMULA_17_67_17_67_5" localSheetId="11">#REF!</definedName>
    <definedName name="SHARED_FORMULA_17_67_17_67_5">#REF!</definedName>
    <definedName name="SHARED_FORMULA_17_77_17_77_5" localSheetId="16">#REF!</definedName>
    <definedName name="SHARED_FORMULA_17_77_17_77_5" localSheetId="8">#REF!</definedName>
    <definedName name="SHARED_FORMULA_17_77_17_77_5" localSheetId="10">#REF!</definedName>
    <definedName name="SHARED_FORMULA_17_77_17_77_5" localSheetId="11">#REF!</definedName>
    <definedName name="SHARED_FORMULA_17_77_17_77_5">#REF!</definedName>
    <definedName name="SHARED_FORMULA_17_82_17_82_5" localSheetId="16">#REF!</definedName>
    <definedName name="SHARED_FORMULA_17_82_17_82_5" localSheetId="8">#REF!</definedName>
    <definedName name="SHARED_FORMULA_17_82_17_82_5" localSheetId="10">#REF!</definedName>
    <definedName name="SHARED_FORMULA_17_82_17_82_5" localSheetId="11">#REF!</definedName>
    <definedName name="SHARED_FORMULA_17_82_17_82_5">#REF!</definedName>
    <definedName name="SHARED_FORMULA_17_9_17_9_5" localSheetId="16">#REF!</definedName>
    <definedName name="SHARED_FORMULA_17_9_17_9_5" localSheetId="8">#REF!</definedName>
    <definedName name="SHARED_FORMULA_17_9_17_9_5" localSheetId="10">#REF!</definedName>
    <definedName name="SHARED_FORMULA_17_9_17_9_5" localSheetId="11">#REF!</definedName>
    <definedName name="SHARED_FORMULA_17_9_17_9_5">#REF!</definedName>
    <definedName name="SHARED_FORMULA_17_92_17_92_5" localSheetId="16">#REF!</definedName>
    <definedName name="SHARED_FORMULA_17_92_17_92_5" localSheetId="8">#REF!</definedName>
    <definedName name="SHARED_FORMULA_17_92_17_92_5" localSheetId="10">#REF!</definedName>
    <definedName name="SHARED_FORMULA_17_92_17_92_5" localSheetId="11">#REF!</definedName>
    <definedName name="SHARED_FORMULA_17_92_17_92_5">#REF!</definedName>
    <definedName name="SHARED_FORMULA_17_97_17_97_5" localSheetId="16">#REF!</definedName>
    <definedName name="SHARED_FORMULA_17_97_17_97_5" localSheetId="8">#REF!</definedName>
    <definedName name="SHARED_FORMULA_17_97_17_97_5" localSheetId="10">#REF!</definedName>
    <definedName name="SHARED_FORMULA_17_97_17_97_5" localSheetId="11">#REF!</definedName>
    <definedName name="SHARED_FORMULA_17_97_17_97_5">#REF!</definedName>
    <definedName name="SHARED_FORMULA_2_102_2_102_5" localSheetId="16">#REF!</definedName>
    <definedName name="SHARED_FORMULA_2_102_2_102_5" localSheetId="8">#REF!</definedName>
    <definedName name="SHARED_FORMULA_2_102_2_102_5" localSheetId="10">#REF!</definedName>
    <definedName name="SHARED_FORMULA_2_102_2_102_5" localSheetId="11">#REF!</definedName>
    <definedName name="SHARED_FORMULA_2_102_2_102_5">#REF!</definedName>
    <definedName name="SHARED_FORMULA_2_107_2_107_5" localSheetId="16">#REF!</definedName>
    <definedName name="SHARED_FORMULA_2_107_2_107_5" localSheetId="8">#REF!</definedName>
    <definedName name="SHARED_FORMULA_2_107_2_107_5" localSheetId="10">#REF!</definedName>
    <definedName name="SHARED_FORMULA_2_107_2_107_5" localSheetId="11">#REF!</definedName>
    <definedName name="SHARED_FORMULA_2_107_2_107_5">#REF!</definedName>
    <definedName name="SHARED_FORMULA_2_112_2_112_5" localSheetId="16">#REF!</definedName>
    <definedName name="SHARED_FORMULA_2_112_2_112_5" localSheetId="8">#REF!</definedName>
    <definedName name="SHARED_FORMULA_2_112_2_112_5" localSheetId="10">#REF!</definedName>
    <definedName name="SHARED_FORMULA_2_112_2_112_5" localSheetId="11">#REF!</definedName>
    <definedName name="SHARED_FORMULA_2_112_2_112_5">#REF!</definedName>
    <definedName name="SHARED_FORMULA_2_121_2_121_5" localSheetId="16">#REF!+#REF!+#REF!+#REF!</definedName>
    <definedName name="SHARED_FORMULA_2_121_2_121_5" localSheetId="8">#REF!+#REF!+#REF!+#REF!</definedName>
    <definedName name="SHARED_FORMULA_2_121_2_121_5" localSheetId="10">#REF!+#REF!+#REF!+#REF!</definedName>
    <definedName name="SHARED_FORMULA_2_121_2_121_5" localSheetId="11">#REF!+#REF!+#REF!+#REF!</definedName>
    <definedName name="SHARED_FORMULA_2_121_2_121_5">#REF!+#REF!+#REF!+#REF!</definedName>
    <definedName name="SHARED_FORMULA_2_122_2_122_5" localSheetId="16">#REF!+#REF!+#REF!+#REF!</definedName>
    <definedName name="SHARED_FORMULA_2_122_2_122_5" localSheetId="8">#REF!+#REF!+#REF!+#REF!</definedName>
    <definedName name="SHARED_FORMULA_2_122_2_122_5" localSheetId="10">#REF!+#REF!+#REF!+#REF!</definedName>
    <definedName name="SHARED_FORMULA_2_122_2_122_5" localSheetId="11">#REF!+#REF!+#REF!+#REF!</definedName>
    <definedName name="SHARED_FORMULA_2_122_2_122_5">#REF!+#REF!+#REF!+#REF!</definedName>
    <definedName name="SHARED_FORMULA_2_123_2_123_5" localSheetId="16">#REF!+#REF!+#REF!+#REF!</definedName>
    <definedName name="SHARED_FORMULA_2_123_2_123_5" localSheetId="8">#REF!+#REF!+#REF!+#REF!</definedName>
    <definedName name="SHARED_FORMULA_2_123_2_123_5" localSheetId="10">#REF!+#REF!+#REF!+#REF!</definedName>
    <definedName name="SHARED_FORMULA_2_123_2_123_5" localSheetId="11">#REF!+#REF!+#REF!+#REF!</definedName>
    <definedName name="SHARED_FORMULA_2_123_2_123_5">#REF!+#REF!+#REF!+#REF!</definedName>
    <definedName name="SHARED_FORMULA_2_124_2_124_5" localSheetId="16">#REF!+#REF!+#REF!+#REF!</definedName>
    <definedName name="SHARED_FORMULA_2_124_2_124_5" localSheetId="8">#REF!+#REF!+#REF!+#REF!</definedName>
    <definedName name="SHARED_FORMULA_2_124_2_124_5" localSheetId="10">#REF!+#REF!+#REF!+#REF!</definedName>
    <definedName name="SHARED_FORMULA_2_124_2_124_5" localSheetId="11">#REF!+#REF!+#REF!+#REF!</definedName>
    <definedName name="SHARED_FORMULA_2_124_2_124_5">#REF!+#REF!+#REF!+#REF!</definedName>
    <definedName name="SHARED_FORMULA_2_125_2_125_5" localSheetId="16">#REF!+#REF!+#REF!+#REF!</definedName>
    <definedName name="SHARED_FORMULA_2_125_2_125_5" localSheetId="8">#REF!+#REF!+#REF!+#REF!</definedName>
    <definedName name="SHARED_FORMULA_2_125_2_125_5" localSheetId="10">#REF!+#REF!+#REF!+#REF!</definedName>
    <definedName name="SHARED_FORMULA_2_125_2_125_5" localSheetId="11">#REF!+#REF!+#REF!+#REF!</definedName>
    <definedName name="SHARED_FORMULA_2_125_2_125_5">#REF!+#REF!+#REF!+#REF!</definedName>
    <definedName name="SHARED_FORMULA_2_127_2_127_5" localSheetId="16">#REF!</definedName>
    <definedName name="SHARED_FORMULA_2_127_2_127_5" localSheetId="8">#REF!</definedName>
    <definedName name="SHARED_FORMULA_2_127_2_127_5" localSheetId="10">#REF!</definedName>
    <definedName name="SHARED_FORMULA_2_127_2_127_5" localSheetId="11">#REF!</definedName>
    <definedName name="SHARED_FORMULA_2_127_2_127_5">#REF!</definedName>
    <definedName name="SHARED_FORMULA_2_131_2_131_5" localSheetId="16">#REF!+#REF!+#REF!+#REF!+#REF!+#REF!+#REF!+#REF!+#REF!+#REF!+#REF!+#REF!+#REF!+#REF!+#REF!+#REF!+#REF!+#REF!+#REF!+#REF!+#REF!+#REF!+#REF!</definedName>
    <definedName name="SHARED_FORMULA_2_131_2_131_5" localSheetId="8">#REF!+#REF!+#REF!+#REF!+#REF!+#REF!+#REF!+#REF!+#REF!+#REF!+#REF!+#REF!+#REF!+#REF!+#REF!+#REF!+#REF!+#REF!+#REF!+#REF!+#REF!+#REF!+#REF!</definedName>
    <definedName name="SHARED_FORMULA_2_131_2_131_5" localSheetId="10">#REF!+#REF!+#REF!+#REF!+#REF!+#REF!+#REF!+#REF!+#REF!+#REF!+#REF!+#REF!+#REF!+#REF!+#REF!+#REF!+#REF!+#REF!+#REF!+#REF!+#REF!+#REF!+#REF!</definedName>
    <definedName name="SHARED_FORMULA_2_131_2_131_5" localSheetId="11">#REF!+#REF!+#REF!+#REF!+#REF!+#REF!+#REF!+#REF!+#REF!+#REF!+#REF!+#REF!+#REF!+#REF!+#REF!+#REF!+#REF!+#REF!+#REF!+#REF!+#REF!+#REF!+#REF!</definedName>
    <definedName name="SHARED_FORMULA_2_131_2_131_5">#REF!+#REF!+#REF!+#REF!+#REF!+#REF!+#REF!+#REF!+#REF!+#REF!+#REF!+#REF!+#REF!+#REF!+#REF!+#REF!+#REF!+#REF!+#REF!+#REF!+#REF!+#REF!+#REF!</definedName>
    <definedName name="SHARED_FORMULA_2_132_2_132_5" localSheetId="16">#REF!+#REF!+#REF!+#REF!+#REF!+#REF!+#REF!+#REF!+#REF!+#REF!+#REF!+#REF!+#REF!+#REF!+#REF!+#REF!+#REF!+#REF!+#REF!+#REF!+#REF!+#REF!+#REF!</definedName>
    <definedName name="SHARED_FORMULA_2_132_2_132_5" localSheetId="8">#REF!+#REF!+#REF!+#REF!+#REF!+#REF!+#REF!+#REF!+#REF!+#REF!+#REF!+#REF!+#REF!+#REF!+#REF!+#REF!+#REF!+#REF!+#REF!+#REF!+#REF!+#REF!+#REF!</definedName>
    <definedName name="SHARED_FORMULA_2_132_2_132_5" localSheetId="10">#REF!+#REF!+#REF!+#REF!+#REF!+#REF!+#REF!+#REF!+#REF!+#REF!+#REF!+#REF!+#REF!+#REF!+#REF!+#REF!+#REF!+#REF!+#REF!+#REF!+#REF!+#REF!+#REF!</definedName>
    <definedName name="SHARED_FORMULA_2_132_2_132_5" localSheetId="11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 localSheetId="16">#REF!+#REF!+#REF!+#REF!+#REF!+#REF!+#REF!+#REF!+#REF!+#REF!+#REF!+#REF!+#REF!+#REF!+#REF!+#REF!+#REF!+#REF!+#REF!+#REF!+#REF!+#REF!+#REF!</definedName>
    <definedName name="SHARED_FORMULA_2_134_2_134_5" localSheetId="8">#REF!+#REF!+#REF!+#REF!+#REF!+#REF!+#REF!+#REF!+#REF!+#REF!+#REF!+#REF!+#REF!+#REF!+#REF!+#REF!+#REF!+#REF!+#REF!+#REF!+#REF!+#REF!+#REF!</definedName>
    <definedName name="SHARED_FORMULA_2_134_2_134_5" localSheetId="10">#REF!+#REF!+#REF!+#REF!+#REF!+#REF!+#REF!+#REF!+#REF!+#REF!+#REF!+#REF!+#REF!+#REF!+#REF!+#REF!+#REF!+#REF!+#REF!+#REF!+#REF!+#REF!+#REF!</definedName>
    <definedName name="SHARED_FORMULA_2_134_2_134_5" localSheetId="11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 localSheetId="16">#REF!+#REF!+#REF!+#REF!+#REF!+#REF!+#REF!+#REF!+#REF!+#REF!+#REF!+#REF!+#REF!+#REF!+#REF!+#REF!+#REF!+#REF!+#REF!+#REF!+#REF!+#REF!+#REF!</definedName>
    <definedName name="SHARED_FORMULA_2_137_2_137_5" localSheetId="8">#REF!+#REF!+#REF!+#REF!+#REF!+#REF!+#REF!+#REF!+#REF!+#REF!+#REF!+#REF!+#REF!+#REF!+#REF!+#REF!+#REF!+#REF!+#REF!+#REF!+#REF!+#REF!+#REF!</definedName>
    <definedName name="SHARED_FORMULA_2_137_2_137_5" localSheetId="10">#REF!+#REF!+#REF!+#REF!+#REF!+#REF!+#REF!+#REF!+#REF!+#REF!+#REF!+#REF!+#REF!+#REF!+#REF!+#REF!+#REF!+#REF!+#REF!+#REF!+#REF!+#REF!+#REF!</definedName>
    <definedName name="SHARED_FORMULA_2_137_2_137_5" localSheetId="11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 localSheetId="16">#REF!</definedName>
    <definedName name="SHARED_FORMULA_2_14_2_14_5" localSheetId="8">#REF!</definedName>
    <definedName name="SHARED_FORMULA_2_14_2_14_5" localSheetId="10">#REF!</definedName>
    <definedName name="SHARED_FORMULA_2_14_2_14_5" localSheetId="11">#REF!</definedName>
    <definedName name="SHARED_FORMULA_2_14_2_14_5">#REF!</definedName>
    <definedName name="SHARED_FORMULA_2_140_2_140_5" localSheetId="16">#REF!+#REF!+#REF!+#REF!+#REF!+#REF!+#REF!+#REF!+#REF!+#REF!+#REF!+#REF!+#REF!+#REF!+#REF!+#REF!+#REF!+#REF!+#REF!+#REF!+#REF!+#REF!</definedName>
    <definedName name="SHARED_FORMULA_2_140_2_140_5" localSheetId="8">#REF!+#REF!+#REF!+#REF!+#REF!+#REF!+#REF!+#REF!+#REF!+#REF!+#REF!+#REF!+#REF!+#REF!+#REF!+#REF!+#REF!+#REF!+#REF!+#REF!+#REF!+#REF!</definedName>
    <definedName name="SHARED_FORMULA_2_140_2_140_5" localSheetId="10">#REF!+#REF!+#REF!+#REF!+#REF!+#REF!+#REF!+#REF!+#REF!+#REF!+#REF!+#REF!+#REF!+#REF!+#REF!+#REF!+#REF!+#REF!+#REF!+#REF!+#REF!+#REF!</definedName>
    <definedName name="SHARED_FORMULA_2_140_2_140_5" localSheetId="11">#REF!+#REF!+#REF!+#REF!+#REF!+#REF!+#REF!+#REF!+#REF!+#REF!+#REF!+#REF!+#REF!+#REF!+#REF!+#REF!+#REF!+#REF!+#REF!+#REF!+#REF!+#REF!</definedName>
    <definedName name="SHARED_FORMULA_2_140_2_140_5">#REF!+#REF!+#REF!+#REF!+#REF!+#REF!+#REF!+#REF!+#REF!+#REF!+#REF!+#REF!+#REF!+#REF!+#REF!+#REF!+#REF!+#REF!+#REF!+#REF!+#REF!+#REF!</definedName>
    <definedName name="SHARED_FORMULA_2_141_2_141_5" localSheetId="16">#REF!+#REF!+#REF!+#REF!+#REF!+#REF!+#REF!+#REF!+#REF!+#REF!+#REF!+#REF!+#REF!+#REF!+#REF!+#REF!+#REF!+#REF!+#REF!+#REF!+#REF!+#REF!</definedName>
    <definedName name="SHARED_FORMULA_2_141_2_141_5" localSheetId="8">#REF!+#REF!+#REF!+#REF!+#REF!+#REF!+#REF!+#REF!+#REF!+#REF!+#REF!+#REF!+#REF!+#REF!+#REF!+#REF!+#REF!+#REF!+#REF!+#REF!+#REF!+#REF!</definedName>
    <definedName name="SHARED_FORMULA_2_141_2_141_5" localSheetId="10">#REF!+#REF!+#REF!+#REF!+#REF!+#REF!+#REF!+#REF!+#REF!+#REF!+#REF!+#REF!+#REF!+#REF!+#REF!+#REF!+#REF!+#REF!+#REF!+#REF!+#REF!+#REF!</definedName>
    <definedName name="SHARED_FORMULA_2_141_2_141_5" localSheetId="11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 localSheetId="16">#REF!+#REF!+#REF!+#REF!+#REF!+#REF!+#REF!+#REF!+#REF!+#REF!+#REF!+#REF!+#REF!+#REF!+#REF!+#REF!+#REF!+#REF!+#REF!+#REF!+#REF!+#REF!</definedName>
    <definedName name="SHARED_FORMULA_2_142_2_142_5" localSheetId="8">#REF!+#REF!+#REF!+#REF!+#REF!+#REF!+#REF!+#REF!+#REF!+#REF!+#REF!+#REF!+#REF!+#REF!+#REF!+#REF!+#REF!+#REF!+#REF!+#REF!+#REF!+#REF!</definedName>
    <definedName name="SHARED_FORMULA_2_142_2_142_5" localSheetId="10">#REF!+#REF!+#REF!+#REF!+#REF!+#REF!+#REF!+#REF!+#REF!+#REF!+#REF!+#REF!+#REF!+#REF!+#REF!+#REF!+#REF!+#REF!+#REF!+#REF!+#REF!+#REF!</definedName>
    <definedName name="SHARED_FORMULA_2_142_2_142_5" localSheetId="11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 localSheetId="16">#REF!+#REF!+#REF!+#REF!+#REF!+#REF!+#REF!+#REF!+#REF!+#REF!+#REF!+#REF!+#REF!+#REF!+#REF!+#REF!+#REF!+#REF!+#REF!+#REF!+#REF!+#REF!</definedName>
    <definedName name="SHARED_FORMULA_2_143_2_143_5" localSheetId="8">#REF!+#REF!+#REF!+#REF!+#REF!+#REF!+#REF!+#REF!+#REF!+#REF!+#REF!+#REF!+#REF!+#REF!+#REF!+#REF!+#REF!+#REF!+#REF!+#REF!+#REF!+#REF!</definedName>
    <definedName name="SHARED_FORMULA_2_143_2_143_5" localSheetId="10">#REF!+#REF!+#REF!+#REF!+#REF!+#REF!+#REF!+#REF!+#REF!+#REF!+#REF!+#REF!+#REF!+#REF!+#REF!+#REF!+#REF!+#REF!+#REF!+#REF!+#REF!+#REF!</definedName>
    <definedName name="SHARED_FORMULA_2_143_2_143_5" localSheetId="11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 localSheetId="16">#REF!+#REF!+#REF!+#REF!+#REF!+#REF!+#REF!+#REF!+#REF!+#REF!+#REF!+#REF!+#REF!+#REF!+#REF!+#REF!+#REF!+#REF!+#REF!+#REF!+#REF!+#REF!</definedName>
    <definedName name="SHARED_FORMULA_2_144_2_144_5" localSheetId="8">#REF!+#REF!+#REF!+#REF!+#REF!+#REF!+#REF!+#REF!+#REF!+#REF!+#REF!+#REF!+#REF!+#REF!+#REF!+#REF!+#REF!+#REF!+#REF!+#REF!+#REF!+#REF!</definedName>
    <definedName name="SHARED_FORMULA_2_144_2_144_5" localSheetId="10">#REF!+#REF!+#REF!+#REF!+#REF!+#REF!+#REF!+#REF!+#REF!+#REF!+#REF!+#REF!+#REF!+#REF!+#REF!+#REF!+#REF!+#REF!+#REF!+#REF!+#REF!+#REF!</definedName>
    <definedName name="SHARED_FORMULA_2_144_2_144_5" localSheetId="11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 localSheetId="16">#REF!+#REF!+#REF!+#REF!+#REF!+#REF!+#REF!+#REF!+#REF!+#REF!+#REF!+#REF!+#REF!+#REF!+#REF!+#REF!+#REF!+#REF!+#REF!+#REF!+#REF!+#REF!</definedName>
    <definedName name="SHARED_FORMULA_2_145_2_145_5" localSheetId="8">#REF!+#REF!+#REF!+#REF!+#REF!+#REF!+#REF!+#REF!+#REF!+#REF!+#REF!+#REF!+#REF!+#REF!+#REF!+#REF!+#REF!+#REF!+#REF!+#REF!+#REF!+#REF!</definedName>
    <definedName name="SHARED_FORMULA_2_145_2_145_5" localSheetId="10">#REF!+#REF!+#REF!+#REF!+#REF!+#REF!+#REF!+#REF!+#REF!+#REF!+#REF!+#REF!+#REF!+#REF!+#REF!+#REF!+#REF!+#REF!+#REF!+#REF!+#REF!+#REF!</definedName>
    <definedName name="SHARED_FORMULA_2_145_2_145_5" localSheetId="11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 localSheetId="16">#REF!-#REF!</definedName>
    <definedName name="SHARED_FORMULA_2_146_2_146_5" localSheetId="8">#REF!-#REF!</definedName>
    <definedName name="SHARED_FORMULA_2_146_2_146_5" localSheetId="10">#REF!-#REF!</definedName>
    <definedName name="SHARED_FORMULA_2_146_2_146_5" localSheetId="11">#REF!-#REF!</definedName>
    <definedName name="SHARED_FORMULA_2_146_2_146_5">#REF!-#REF!</definedName>
    <definedName name="SHARED_FORMULA_2_22_2_22_5" localSheetId="16">#REF!</definedName>
    <definedName name="SHARED_FORMULA_2_22_2_22_5" localSheetId="8">#REF!</definedName>
    <definedName name="SHARED_FORMULA_2_22_2_22_5" localSheetId="10">#REF!</definedName>
    <definedName name="SHARED_FORMULA_2_22_2_22_5" localSheetId="11">#REF!</definedName>
    <definedName name="SHARED_FORMULA_2_22_2_22_5">#REF!</definedName>
    <definedName name="SHARED_FORMULA_2_27_2_27_5" localSheetId="16">#REF!</definedName>
    <definedName name="SHARED_FORMULA_2_27_2_27_5" localSheetId="8">#REF!</definedName>
    <definedName name="SHARED_FORMULA_2_27_2_27_5" localSheetId="10">#REF!</definedName>
    <definedName name="SHARED_FORMULA_2_27_2_27_5" localSheetId="11">#REF!</definedName>
    <definedName name="SHARED_FORMULA_2_27_2_27_5">#REF!</definedName>
    <definedName name="SHARED_FORMULA_2_32_2_32_5" localSheetId="16">#REF!</definedName>
    <definedName name="SHARED_FORMULA_2_32_2_32_5" localSheetId="8">#REF!</definedName>
    <definedName name="SHARED_FORMULA_2_32_2_32_5" localSheetId="10">#REF!</definedName>
    <definedName name="SHARED_FORMULA_2_32_2_32_5" localSheetId="11">#REF!</definedName>
    <definedName name="SHARED_FORMULA_2_32_2_32_5">#REF!</definedName>
    <definedName name="SHARED_FORMULA_2_37_2_37_5" localSheetId="16">#REF!</definedName>
    <definedName name="SHARED_FORMULA_2_37_2_37_5" localSheetId="8">#REF!</definedName>
    <definedName name="SHARED_FORMULA_2_37_2_37_5" localSheetId="10">#REF!</definedName>
    <definedName name="SHARED_FORMULA_2_37_2_37_5" localSheetId="11">#REF!</definedName>
    <definedName name="SHARED_FORMULA_2_37_2_37_5">#REF!</definedName>
    <definedName name="SHARED_FORMULA_2_4_2_4_5" localSheetId="16">#REF!</definedName>
    <definedName name="SHARED_FORMULA_2_4_2_4_5" localSheetId="8">#REF!</definedName>
    <definedName name="SHARED_FORMULA_2_4_2_4_5" localSheetId="10">#REF!</definedName>
    <definedName name="SHARED_FORMULA_2_4_2_4_5" localSheetId="11">#REF!</definedName>
    <definedName name="SHARED_FORMULA_2_4_2_4_5">#REF!</definedName>
    <definedName name="SHARED_FORMULA_2_42_2_42_5" localSheetId="16">#REF!</definedName>
    <definedName name="SHARED_FORMULA_2_42_2_42_5" localSheetId="8">#REF!</definedName>
    <definedName name="SHARED_FORMULA_2_42_2_42_5" localSheetId="10">#REF!</definedName>
    <definedName name="SHARED_FORMULA_2_42_2_42_5" localSheetId="11">#REF!</definedName>
    <definedName name="SHARED_FORMULA_2_42_2_42_5">#REF!</definedName>
    <definedName name="SHARED_FORMULA_2_44_2_44_5" localSheetId="16">#REF!</definedName>
    <definedName name="SHARED_FORMULA_2_44_2_44_5" localSheetId="8">#REF!</definedName>
    <definedName name="SHARED_FORMULA_2_44_2_44_5" localSheetId="10">#REF!</definedName>
    <definedName name="SHARED_FORMULA_2_44_2_44_5" localSheetId="11">#REF!</definedName>
    <definedName name="SHARED_FORMULA_2_44_2_44_5">#REF!</definedName>
    <definedName name="SHARED_FORMULA_2_47_2_47_5" localSheetId="16">#REF!</definedName>
    <definedName name="SHARED_FORMULA_2_47_2_47_5" localSheetId="8">#REF!</definedName>
    <definedName name="SHARED_FORMULA_2_47_2_47_5" localSheetId="10">#REF!</definedName>
    <definedName name="SHARED_FORMULA_2_47_2_47_5" localSheetId="11">#REF!</definedName>
    <definedName name="SHARED_FORMULA_2_47_2_47_5">#REF!</definedName>
    <definedName name="SHARED_FORMULA_2_48_2_48_5" localSheetId="16">#REF!</definedName>
    <definedName name="SHARED_FORMULA_2_48_2_48_5" localSheetId="8">#REF!</definedName>
    <definedName name="SHARED_FORMULA_2_48_2_48_5" localSheetId="10">#REF!</definedName>
    <definedName name="SHARED_FORMULA_2_48_2_48_5" localSheetId="11">#REF!</definedName>
    <definedName name="SHARED_FORMULA_2_48_2_48_5">#REF!</definedName>
    <definedName name="SHARED_FORMULA_2_52_2_52_5" localSheetId="16">#REF!</definedName>
    <definedName name="SHARED_FORMULA_2_52_2_52_5" localSheetId="8">#REF!</definedName>
    <definedName name="SHARED_FORMULA_2_52_2_52_5" localSheetId="10">#REF!</definedName>
    <definedName name="SHARED_FORMULA_2_52_2_52_5" localSheetId="11">#REF!</definedName>
    <definedName name="SHARED_FORMULA_2_52_2_52_5">#REF!</definedName>
    <definedName name="SHARED_FORMULA_2_57_2_57_5" localSheetId="16">#REF!</definedName>
    <definedName name="SHARED_FORMULA_2_57_2_57_5" localSheetId="8">#REF!</definedName>
    <definedName name="SHARED_FORMULA_2_57_2_57_5" localSheetId="10">#REF!</definedName>
    <definedName name="SHARED_FORMULA_2_57_2_57_5" localSheetId="11">#REF!</definedName>
    <definedName name="SHARED_FORMULA_2_57_2_57_5">#REF!</definedName>
    <definedName name="SHARED_FORMULA_2_67_2_67_5" localSheetId="16">#REF!</definedName>
    <definedName name="SHARED_FORMULA_2_67_2_67_5" localSheetId="8">#REF!</definedName>
    <definedName name="SHARED_FORMULA_2_67_2_67_5" localSheetId="10">#REF!</definedName>
    <definedName name="SHARED_FORMULA_2_67_2_67_5" localSheetId="11">#REF!</definedName>
    <definedName name="SHARED_FORMULA_2_67_2_67_5">#REF!</definedName>
    <definedName name="SHARED_FORMULA_2_71_2_71_5" localSheetId="16">#REF!+#REF!+#REF!+#REF!</definedName>
    <definedName name="SHARED_FORMULA_2_71_2_71_5" localSheetId="8">#REF!+#REF!+#REF!+#REF!</definedName>
    <definedName name="SHARED_FORMULA_2_71_2_71_5" localSheetId="10">#REF!+#REF!+#REF!+#REF!</definedName>
    <definedName name="SHARED_FORMULA_2_71_2_71_5" localSheetId="11">#REF!+#REF!+#REF!+#REF!</definedName>
    <definedName name="SHARED_FORMULA_2_71_2_71_5">#REF!+#REF!+#REF!+#REF!</definedName>
    <definedName name="SHARED_FORMULA_2_72_2_72_5" localSheetId="16">#REF!+#REF!+#REF!+#REF!</definedName>
    <definedName name="SHARED_FORMULA_2_72_2_72_5" localSheetId="8">#REF!+#REF!+#REF!+#REF!</definedName>
    <definedName name="SHARED_FORMULA_2_72_2_72_5" localSheetId="10">#REF!+#REF!+#REF!+#REF!</definedName>
    <definedName name="SHARED_FORMULA_2_72_2_72_5" localSheetId="11">#REF!+#REF!+#REF!+#REF!</definedName>
    <definedName name="SHARED_FORMULA_2_72_2_72_5">#REF!+#REF!+#REF!+#REF!</definedName>
    <definedName name="SHARED_FORMULA_2_73_2_73_5" localSheetId="16">#REF!+#REF!+#REF!+#REF!</definedName>
    <definedName name="SHARED_FORMULA_2_73_2_73_5" localSheetId="8">#REF!+#REF!+#REF!+#REF!</definedName>
    <definedName name="SHARED_FORMULA_2_73_2_73_5" localSheetId="10">#REF!+#REF!+#REF!+#REF!</definedName>
    <definedName name="SHARED_FORMULA_2_73_2_73_5" localSheetId="11">#REF!+#REF!+#REF!+#REF!</definedName>
    <definedName name="SHARED_FORMULA_2_73_2_73_5">#REF!+#REF!+#REF!+#REF!</definedName>
    <definedName name="SHARED_FORMULA_2_74_2_74_5" localSheetId="16">#REF!+#REF!+#REF!+#REF!</definedName>
    <definedName name="SHARED_FORMULA_2_74_2_74_5" localSheetId="8">#REF!+#REF!+#REF!+#REF!</definedName>
    <definedName name="SHARED_FORMULA_2_74_2_74_5" localSheetId="10">#REF!+#REF!+#REF!+#REF!</definedName>
    <definedName name="SHARED_FORMULA_2_74_2_74_5" localSheetId="11">#REF!+#REF!+#REF!+#REF!</definedName>
    <definedName name="SHARED_FORMULA_2_74_2_74_5">#REF!+#REF!+#REF!+#REF!</definedName>
    <definedName name="SHARED_FORMULA_2_75_2_75_5" localSheetId="16">#REF!+#REF!+#REF!+#REF!</definedName>
    <definedName name="SHARED_FORMULA_2_75_2_75_5" localSheetId="8">#REF!+#REF!+#REF!+#REF!</definedName>
    <definedName name="SHARED_FORMULA_2_75_2_75_5" localSheetId="10">#REF!+#REF!+#REF!+#REF!</definedName>
    <definedName name="SHARED_FORMULA_2_75_2_75_5" localSheetId="11">#REF!+#REF!+#REF!+#REF!</definedName>
    <definedName name="SHARED_FORMULA_2_75_2_75_5">#REF!+#REF!+#REF!+#REF!</definedName>
    <definedName name="SHARED_FORMULA_2_82_2_82_5" localSheetId="16">#REF!</definedName>
    <definedName name="SHARED_FORMULA_2_82_2_82_5" localSheetId="8">#REF!</definedName>
    <definedName name="SHARED_FORMULA_2_82_2_82_5" localSheetId="10">#REF!</definedName>
    <definedName name="SHARED_FORMULA_2_82_2_82_5" localSheetId="11">#REF!</definedName>
    <definedName name="SHARED_FORMULA_2_82_2_82_5">#REF!</definedName>
    <definedName name="SHARED_FORMULA_2_86_2_86_5" localSheetId="16">#REF!+#REF!</definedName>
    <definedName name="SHARED_FORMULA_2_86_2_86_5" localSheetId="8">#REF!+#REF!</definedName>
    <definedName name="SHARED_FORMULA_2_86_2_86_5" localSheetId="10">#REF!+#REF!</definedName>
    <definedName name="SHARED_FORMULA_2_86_2_86_5" localSheetId="11">#REF!+#REF!</definedName>
    <definedName name="SHARED_FORMULA_2_86_2_86_5">#REF!+#REF!</definedName>
    <definedName name="SHARED_FORMULA_2_87_2_87_5" localSheetId="16">#REF!+#REF!</definedName>
    <definedName name="SHARED_FORMULA_2_87_2_87_5" localSheetId="8">#REF!+#REF!</definedName>
    <definedName name="SHARED_FORMULA_2_87_2_87_5" localSheetId="10">#REF!+#REF!</definedName>
    <definedName name="SHARED_FORMULA_2_87_2_87_5" localSheetId="11">#REF!+#REF!</definedName>
    <definedName name="SHARED_FORMULA_2_87_2_87_5">#REF!+#REF!</definedName>
    <definedName name="SHARED_FORMULA_2_88_2_88_5" localSheetId="16">#REF!+#REF!</definedName>
    <definedName name="SHARED_FORMULA_2_88_2_88_5" localSheetId="8">#REF!+#REF!</definedName>
    <definedName name="SHARED_FORMULA_2_88_2_88_5" localSheetId="10">#REF!+#REF!</definedName>
    <definedName name="SHARED_FORMULA_2_88_2_88_5" localSheetId="11">#REF!+#REF!</definedName>
    <definedName name="SHARED_FORMULA_2_88_2_88_5">#REF!+#REF!</definedName>
    <definedName name="SHARED_FORMULA_2_89_2_89_5" localSheetId="16">#REF!+#REF!</definedName>
    <definedName name="SHARED_FORMULA_2_89_2_89_5" localSheetId="8">#REF!+#REF!</definedName>
    <definedName name="SHARED_FORMULA_2_89_2_89_5" localSheetId="10">#REF!+#REF!</definedName>
    <definedName name="SHARED_FORMULA_2_89_2_89_5" localSheetId="11">#REF!+#REF!</definedName>
    <definedName name="SHARED_FORMULA_2_89_2_89_5">#REF!+#REF!</definedName>
    <definedName name="SHARED_FORMULA_2_9_2_9_5" localSheetId="16">#REF!</definedName>
    <definedName name="SHARED_FORMULA_2_9_2_9_5" localSheetId="8">#REF!</definedName>
    <definedName name="SHARED_FORMULA_2_9_2_9_5" localSheetId="10">#REF!</definedName>
    <definedName name="SHARED_FORMULA_2_9_2_9_5" localSheetId="11">#REF!</definedName>
    <definedName name="SHARED_FORMULA_2_9_2_9_5">#REF!</definedName>
    <definedName name="SHARED_FORMULA_2_90_2_90_5" localSheetId="16">#REF!+#REF!</definedName>
    <definedName name="SHARED_FORMULA_2_90_2_90_5" localSheetId="8">#REF!+#REF!</definedName>
    <definedName name="SHARED_FORMULA_2_90_2_90_5" localSheetId="10">#REF!+#REF!</definedName>
    <definedName name="SHARED_FORMULA_2_90_2_90_5" localSheetId="11">#REF!+#REF!</definedName>
    <definedName name="SHARED_FORMULA_2_90_2_90_5">#REF!+#REF!</definedName>
    <definedName name="SHARED_FORMULA_2_92_2_92_5" localSheetId="16">#REF!</definedName>
    <definedName name="SHARED_FORMULA_2_92_2_92_5" localSheetId="8">#REF!</definedName>
    <definedName name="SHARED_FORMULA_2_92_2_92_5" localSheetId="10">#REF!</definedName>
    <definedName name="SHARED_FORMULA_2_92_2_92_5" localSheetId="11">#REF!</definedName>
    <definedName name="SHARED_FORMULA_2_92_2_92_5">#REF!</definedName>
    <definedName name="SHARED_FORMULA_2_97_2_97_5" localSheetId="16">#REF!</definedName>
    <definedName name="SHARED_FORMULA_2_97_2_97_5" localSheetId="8">#REF!</definedName>
    <definedName name="SHARED_FORMULA_2_97_2_97_5" localSheetId="10">#REF!</definedName>
    <definedName name="SHARED_FORMULA_2_97_2_97_5" localSheetId="11">#REF!</definedName>
    <definedName name="SHARED_FORMULA_2_97_2_97_5">#REF!</definedName>
    <definedName name="SHARED_FORMULA_20_10_20_10_5" localSheetId="16">#REF!</definedName>
    <definedName name="SHARED_FORMULA_20_10_20_10_5" localSheetId="8">#REF!</definedName>
    <definedName name="SHARED_FORMULA_20_10_20_10_5" localSheetId="10">#REF!</definedName>
    <definedName name="SHARED_FORMULA_20_10_20_10_5" localSheetId="11">#REF!</definedName>
    <definedName name="SHARED_FORMULA_20_10_20_10_5">#REF!</definedName>
    <definedName name="SHARED_FORMULA_20_102_20_102_5" localSheetId="16">#REF!</definedName>
    <definedName name="SHARED_FORMULA_20_102_20_102_5" localSheetId="8">#REF!</definedName>
    <definedName name="SHARED_FORMULA_20_102_20_102_5" localSheetId="10">#REF!</definedName>
    <definedName name="SHARED_FORMULA_20_102_20_102_5" localSheetId="11">#REF!</definedName>
    <definedName name="SHARED_FORMULA_20_102_20_102_5">#REF!</definedName>
    <definedName name="SHARED_FORMULA_20_112_20_112_5" localSheetId="16">#REF!</definedName>
    <definedName name="SHARED_FORMULA_20_112_20_112_5" localSheetId="8">#REF!</definedName>
    <definedName name="SHARED_FORMULA_20_112_20_112_5" localSheetId="10">#REF!</definedName>
    <definedName name="SHARED_FORMULA_20_112_20_112_5" localSheetId="11">#REF!</definedName>
    <definedName name="SHARED_FORMULA_20_112_20_112_5">#REF!</definedName>
    <definedName name="SHARED_FORMULA_20_117_20_117_5" localSheetId="16">#REF!</definedName>
    <definedName name="SHARED_FORMULA_20_117_20_117_5" localSheetId="8">#REF!</definedName>
    <definedName name="SHARED_FORMULA_20_117_20_117_5" localSheetId="10">#REF!</definedName>
    <definedName name="SHARED_FORMULA_20_117_20_117_5" localSheetId="11">#REF!</definedName>
    <definedName name="SHARED_FORMULA_20_117_20_117_5">#REF!</definedName>
    <definedName name="SHARED_FORMULA_20_121_20_121_5" localSheetId="16">#REF!+#REF!+#REF!+#REF!</definedName>
    <definedName name="SHARED_FORMULA_20_121_20_121_5" localSheetId="8">#REF!+#REF!+#REF!+#REF!</definedName>
    <definedName name="SHARED_FORMULA_20_121_20_121_5" localSheetId="10">#REF!+#REF!+#REF!+#REF!</definedName>
    <definedName name="SHARED_FORMULA_20_121_20_121_5" localSheetId="11">#REF!+#REF!+#REF!+#REF!</definedName>
    <definedName name="SHARED_FORMULA_20_121_20_121_5">#REF!+#REF!+#REF!+#REF!</definedName>
    <definedName name="SHARED_FORMULA_20_127_20_127_5" localSheetId="16">#REF!</definedName>
    <definedName name="SHARED_FORMULA_20_127_20_127_5" localSheetId="8">#REF!</definedName>
    <definedName name="SHARED_FORMULA_20_127_20_127_5" localSheetId="10">#REF!</definedName>
    <definedName name="SHARED_FORMULA_20_127_20_127_5" localSheetId="11">#REF!</definedName>
    <definedName name="SHARED_FORMULA_20_127_20_127_5">#REF!</definedName>
    <definedName name="SHARED_FORMULA_20_131_20_131_5" localSheetId="16">#REF!+#REF!+#REF!+#REF!+#REF!+#REF!+#REF!+#REF!+#REF!+#REF!+#REF!+#REF!+#REF!+#REF!+#REF!+#REF!+#REF!+#REF!+#REF!+#REF!+#REF!+#REF!+#REF!</definedName>
    <definedName name="SHARED_FORMULA_20_131_20_131_5" localSheetId="8">#REF!+#REF!+#REF!+#REF!+#REF!+#REF!+#REF!+#REF!+#REF!+#REF!+#REF!+#REF!+#REF!+#REF!+#REF!+#REF!+#REF!+#REF!+#REF!+#REF!+#REF!+#REF!+#REF!</definedName>
    <definedName name="SHARED_FORMULA_20_131_20_131_5" localSheetId="10">#REF!+#REF!+#REF!+#REF!+#REF!+#REF!+#REF!+#REF!+#REF!+#REF!+#REF!+#REF!+#REF!+#REF!+#REF!+#REF!+#REF!+#REF!+#REF!+#REF!+#REF!+#REF!+#REF!</definedName>
    <definedName name="SHARED_FORMULA_20_131_20_131_5" localSheetId="11">#REF!+#REF!+#REF!+#REF!+#REF!+#REF!+#REF!+#REF!+#REF!+#REF!+#REF!+#REF!+#REF!+#REF!+#REF!+#REF!+#REF!+#REF!+#REF!+#REF!+#REF!+#REF!+#REF!</definedName>
    <definedName name="SHARED_FORMULA_20_131_20_131_5">#REF!+#REF!+#REF!+#REF!+#REF!+#REF!+#REF!+#REF!+#REF!+#REF!+#REF!+#REF!+#REF!+#REF!+#REF!+#REF!+#REF!+#REF!+#REF!+#REF!+#REF!+#REF!+#REF!</definedName>
    <definedName name="SHARED_FORMULA_20_14_20_14_5" localSheetId="16">#REF!</definedName>
    <definedName name="SHARED_FORMULA_20_14_20_14_5" localSheetId="8">#REF!</definedName>
    <definedName name="SHARED_FORMULA_20_14_20_14_5" localSheetId="10">#REF!</definedName>
    <definedName name="SHARED_FORMULA_20_14_20_14_5" localSheetId="11">#REF!</definedName>
    <definedName name="SHARED_FORMULA_20_14_20_14_5">#REF!</definedName>
    <definedName name="SHARED_FORMULA_20_141_20_141_5" localSheetId="16">#REF!+#REF!+#REF!+#REF!+#REF!+#REF!+#REF!+#REF!+#REF!+#REF!+#REF!+#REF!+#REF!+#REF!+#REF!+#REF!+#REF!+#REF!+#REF!+#REF!+#REF!+#REF!</definedName>
    <definedName name="SHARED_FORMULA_20_141_20_141_5" localSheetId="8">#REF!+#REF!+#REF!+#REF!+#REF!+#REF!+#REF!+#REF!+#REF!+#REF!+#REF!+#REF!+#REF!+#REF!+#REF!+#REF!+#REF!+#REF!+#REF!+#REF!+#REF!+#REF!</definedName>
    <definedName name="SHARED_FORMULA_20_141_20_141_5" localSheetId="10">#REF!+#REF!+#REF!+#REF!+#REF!+#REF!+#REF!+#REF!+#REF!+#REF!+#REF!+#REF!+#REF!+#REF!+#REF!+#REF!+#REF!+#REF!+#REF!+#REF!+#REF!+#REF!</definedName>
    <definedName name="SHARED_FORMULA_20_141_20_141_5" localSheetId="11">#REF!+#REF!+#REF!+#REF!+#REF!+#REF!+#REF!+#REF!+#REF!+#REF!+#REF!+#REF!+#REF!+#REF!+#REF!+#REF!+#REF!+#REF!+#REF!+#REF!+#REF!+#REF!</definedName>
    <definedName name="SHARED_FORMULA_20_141_20_141_5">#REF!+#REF!+#REF!+#REF!+#REF!+#REF!+#REF!+#REF!+#REF!+#REF!+#REF!+#REF!+#REF!+#REF!+#REF!+#REF!+#REF!+#REF!+#REF!+#REF!+#REF!+#REF!</definedName>
    <definedName name="SHARED_FORMULA_20_19_20_19_5" localSheetId="16">#REF!</definedName>
    <definedName name="SHARED_FORMULA_20_19_20_19_5" localSheetId="8">#REF!</definedName>
    <definedName name="SHARED_FORMULA_20_19_20_19_5" localSheetId="10">#REF!</definedName>
    <definedName name="SHARED_FORMULA_20_19_20_19_5" localSheetId="11">#REF!</definedName>
    <definedName name="SHARED_FORMULA_20_19_20_19_5">#REF!</definedName>
    <definedName name="SHARED_FORMULA_20_22_20_22_5" localSheetId="16">#REF!</definedName>
    <definedName name="SHARED_FORMULA_20_22_20_22_5" localSheetId="8">#REF!</definedName>
    <definedName name="SHARED_FORMULA_20_22_20_22_5" localSheetId="10">#REF!</definedName>
    <definedName name="SHARED_FORMULA_20_22_20_22_5" localSheetId="11">#REF!</definedName>
    <definedName name="SHARED_FORMULA_20_22_20_22_5">#REF!</definedName>
    <definedName name="SHARED_FORMULA_20_27_20_27_5" localSheetId="16">#REF!</definedName>
    <definedName name="SHARED_FORMULA_20_27_20_27_5" localSheetId="8">#REF!</definedName>
    <definedName name="SHARED_FORMULA_20_27_20_27_5" localSheetId="10">#REF!</definedName>
    <definedName name="SHARED_FORMULA_20_27_20_27_5" localSheetId="11">#REF!</definedName>
    <definedName name="SHARED_FORMULA_20_27_20_27_5">#REF!</definedName>
    <definedName name="SHARED_FORMULA_20_33_20_33_5" localSheetId="16">#REF!</definedName>
    <definedName name="SHARED_FORMULA_20_33_20_33_5" localSheetId="8">#REF!</definedName>
    <definedName name="SHARED_FORMULA_20_33_20_33_5" localSheetId="10">#REF!</definedName>
    <definedName name="SHARED_FORMULA_20_33_20_33_5" localSheetId="11">#REF!</definedName>
    <definedName name="SHARED_FORMULA_20_33_20_33_5">#REF!</definedName>
    <definedName name="SHARED_FORMULA_20_37_20_37_5" localSheetId="16">#REF!</definedName>
    <definedName name="SHARED_FORMULA_20_37_20_37_5" localSheetId="8">#REF!</definedName>
    <definedName name="SHARED_FORMULA_20_37_20_37_5" localSheetId="10">#REF!</definedName>
    <definedName name="SHARED_FORMULA_20_37_20_37_5" localSheetId="11">#REF!</definedName>
    <definedName name="SHARED_FORMULA_20_37_20_37_5">#REF!</definedName>
    <definedName name="SHARED_FORMULA_20_42_20_42_5" localSheetId="16">#REF!</definedName>
    <definedName name="SHARED_FORMULA_20_42_20_42_5" localSheetId="8">#REF!</definedName>
    <definedName name="SHARED_FORMULA_20_42_20_42_5" localSheetId="10">#REF!</definedName>
    <definedName name="SHARED_FORMULA_20_42_20_42_5" localSheetId="11">#REF!</definedName>
    <definedName name="SHARED_FORMULA_20_42_20_42_5">#REF!</definedName>
    <definedName name="SHARED_FORMULA_20_57_20_57_5" localSheetId="16">#REF!</definedName>
    <definedName name="SHARED_FORMULA_20_57_20_57_5" localSheetId="8">#REF!</definedName>
    <definedName name="SHARED_FORMULA_20_57_20_57_5" localSheetId="10">#REF!</definedName>
    <definedName name="SHARED_FORMULA_20_57_20_57_5" localSheetId="11">#REF!</definedName>
    <definedName name="SHARED_FORMULA_20_57_20_57_5">#REF!</definedName>
    <definedName name="SHARED_FORMULA_20_63_20_63_5" localSheetId="16">#REF!</definedName>
    <definedName name="SHARED_FORMULA_20_63_20_63_5" localSheetId="8">#REF!</definedName>
    <definedName name="SHARED_FORMULA_20_63_20_63_5" localSheetId="10">#REF!</definedName>
    <definedName name="SHARED_FORMULA_20_63_20_63_5" localSheetId="11">#REF!</definedName>
    <definedName name="SHARED_FORMULA_20_63_20_63_5">#REF!</definedName>
    <definedName name="SHARED_FORMULA_20_67_20_67_5" localSheetId="16">#REF!</definedName>
    <definedName name="SHARED_FORMULA_20_67_20_67_5" localSheetId="8">#REF!</definedName>
    <definedName name="SHARED_FORMULA_20_67_20_67_5" localSheetId="10">#REF!</definedName>
    <definedName name="SHARED_FORMULA_20_67_20_67_5" localSheetId="11">#REF!</definedName>
    <definedName name="SHARED_FORMULA_20_67_20_67_5">#REF!</definedName>
    <definedName name="SHARED_FORMULA_20_78_20_78_5" localSheetId="16">#REF!</definedName>
    <definedName name="SHARED_FORMULA_20_78_20_78_5" localSheetId="8">#REF!</definedName>
    <definedName name="SHARED_FORMULA_20_78_20_78_5" localSheetId="10">#REF!</definedName>
    <definedName name="SHARED_FORMULA_20_78_20_78_5" localSheetId="11">#REF!</definedName>
    <definedName name="SHARED_FORMULA_20_78_20_78_5">#REF!</definedName>
    <definedName name="SHARED_FORMULA_20_82_20_82_5" localSheetId="16">#REF!</definedName>
    <definedName name="SHARED_FORMULA_20_82_20_82_5" localSheetId="8">#REF!</definedName>
    <definedName name="SHARED_FORMULA_20_82_20_82_5" localSheetId="10">#REF!</definedName>
    <definedName name="SHARED_FORMULA_20_82_20_82_5" localSheetId="11">#REF!</definedName>
    <definedName name="SHARED_FORMULA_20_82_20_82_5">#REF!</definedName>
    <definedName name="SHARED_FORMULA_20_86_20_86_5" localSheetId="16">#REF!+#REF!</definedName>
    <definedName name="SHARED_FORMULA_20_86_20_86_5" localSheetId="8">#REF!+#REF!</definedName>
    <definedName name="SHARED_FORMULA_20_86_20_86_5" localSheetId="10">#REF!+#REF!</definedName>
    <definedName name="SHARED_FORMULA_20_86_20_86_5" localSheetId="11">#REF!+#REF!</definedName>
    <definedName name="SHARED_FORMULA_20_86_20_86_5">#REF!+#REF!</definedName>
    <definedName name="SHARED_FORMULA_20_92_20_92_5" localSheetId="16">#REF!</definedName>
    <definedName name="SHARED_FORMULA_20_92_20_92_5" localSheetId="8">#REF!</definedName>
    <definedName name="SHARED_FORMULA_20_92_20_92_5" localSheetId="10">#REF!</definedName>
    <definedName name="SHARED_FORMULA_20_92_20_92_5" localSheetId="11">#REF!</definedName>
    <definedName name="SHARED_FORMULA_20_92_20_92_5">#REF!</definedName>
    <definedName name="SHARED_FORMULA_23_3_23_3_5" localSheetId="16">SUM(#REF!)-#REF!</definedName>
    <definedName name="SHARED_FORMULA_23_3_23_3_5" localSheetId="8">SUM(#REF!)-#REF!</definedName>
    <definedName name="SHARED_FORMULA_23_3_23_3_5" localSheetId="10">SUM(#REF!)-#REF!</definedName>
    <definedName name="SHARED_FORMULA_23_3_23_3_5" localSheetId="11">SUM(#REF!)-#REF!</definedName>
    <definedName name="SHARED_FORMULA_23_3_23_3_5">SUM(#REF!)-#REF!</definedName>
    <definedName name="SHARED_FORMULA_23_32_23_32_5" localSheetId="16">SUM(#REF!)-#REF!</definedName>
    <definedName name="SHARED_FORMULA_23_32_23_32_5" localSheetId="8">SUM(#REF!)-#REF!</definedName>
    <definedName name="SHARED_FORMULA_23_32_23_32_5" localSheetId="10">SUM(#REF!)-#REF!</definedName>
    <definedName name="SHARED_FORMULA_23_32_23_32_5" localSheetId="11">SUM(#REF!)-#REF!</definedName>
    <definedName name="SHARED_FORMULA_23_32_23_32_5">SUM(#REF!)-#REF!</definedName>
    <definedName name="SHARED_FORMULA_23_64_23_64_5" localSheetId="16">SUM(#REF!)-#REF!</definedName>
    <definedName name="SHARED_FORMULA_23_64_23_64_5" localSheetId="8">SUM(#REF!)-#REF!</definedName>
    <definedName name="SHARED_FORMULA_23_64_23_64_5" localSheetId="10">SUM(#REF!)-#REF!</definedName>
    <definedName name="SHARED_FORMULA_23_64_23_64_5" localSheetId="11">SUM(#REF!)-#REF!</definedName>
    <definedName name="SHARED_FORMULA_23_64_23_64_5">SUM(#REF!)-#REF!</definedName>
    <definedName name="SHARED_FORMULA_23_96_23_96_5" localSheetId="16">SUM(#REF!)-#REF!</definedName>
    <definedName name="SHARED_FORMULA_23_96_23_96_5" localSheetId="8">SUM(#REF!)-#REF!</definedName>
    <definedName name="SHARED_FORMULA_23_96_23_96_5" localSheetId="10">SUM(#REF!)-#REF!</definedName>
    <definedName name="SHARED_FORMULA_23_96_23_96_5" localSheetId="11">SUM(#REF!)-#REF!</definedName>
    <definedName name="SHARED_FORMULA_23_96_23_96_5">SUM(#REF!)-#REF!</definedName>
    <definedName name="SHARED_FORMULA_25_131_25_131_5" localSheetId="16">SUM(#REF!)-#REF!</definedName>
    <definedName name="SHARED_FORMULA_25_131_25_131_5" localSheetId="8">SUM(#REF!)-#REF!</definedName>
    <definedName name="SHARED_FORMULA_25_131_25_131_5" localSheetId="10">SUM(#REF!)-#REF!</definedName>
    <definedName name="SHARED_FORMULA_25_131_25_131_5" localSheetId="11">SUM(#REF!)-#REF!</definedName>
    <definedName name="SHARED_FORMULA_25_131_25_131_5">SUM(#REF!)-#REF!</definedName>
    <definedName name="SHARED_FORMULA_3_10_3_10_3" localSheetId="16">SUM(#REF!)</definedName>
    <definedName name="SHARED_FORMULA_3_10_3_10_3" localSheetId="8">SUM(#REF!)</definedName>
    <definedName name="SHARED_FORMULA_3_10_3_10_3" localSheetId="10">SUM(#REF!)</definedName>
    <definedName name="SHARED_FORMULA_3_10_3_10_3" localSheetId="11">SUM(#REF!)</definedName>
    <definedName name="SHARED_FORMULA_3_10_3_10_3">SUM(#REF!)</definedName>
    <definedName name="SHARED_FORMULA_3_308_3_308_4" localSheetId="16">SUM(#REF!+#REF!+#REF!)</definedName>
    <definedName name="SHARED_FORMULA_3_308_3_308_4" localSheetId="8">SUM(#REF!+#REF!+#REF!)</definedName>
    <definedName name="SHARED_FORMULA_3_308_3_308_4" localSheetId="10">SUM(#REF!+#REF!+#REF!)</definedName>
    <definedName name="SHARED_FORMULA_3_308_3_308_4" localSheetId="11">SUM(#REF!+#REF!+#REF!)</definedName>
    <definedName name="SHARED_FORMULA_3_308_3_308_4">SUM(#REF!+#REF!+#REF!)</definedName>
    <definedName name="SHARED_FORMULA_3_309_3_309_4" localSheetId="16">#REF!+#REF!+#REF!</definedName>
    <definedName name="SHARED_FORMULA_3_309_3_309_4" localSheetId="8">#REF!+#REF!+#REF!</definedName>
    <definedName name="SHARED_FORMULA_3_309_3_309_4" localSheetId="10">#REF!+#REF!+#REF!</definedName>
    <definedName name="SHARED_FORMULA_3_309_3_309_4" localSheetId="11">#REF!+#REF!+#REF!</definedName>
    <definedName name="SHARED_FORMULA_3_309_3_309_4">#REF!+#REF!+#REF!</definedName>
    <definedName name="SHARED_FORMULA_3_312_3_312_4" localSheetId="16">SUM(#REF!+#REF!+#REF!)</definedName>
    <definedName name="SHARED_FORMULA_3_312_3_312_4" localSheetId="8">SUM(#REF!+#REF!+#REF!)</definedName>
    <definedName name="SHARED_FORMULA_3_312_3_312_4" localSheetId="10">SUM(#REF!+#REF!+#REF!)</definedName>
    <definedName name="SHARED_FORMULA_3_312_3_312_4" localSheetId="11">SUM(#REF!+#REF!+#REF!)</definedName>
    <definedName name="SHARED_FORMULA_3_312_3_312_4">SUM(#REF!+#REF!+#REF!)</definedName>
    <definedName name="SHARED_FORMULA_3_32_3_32_2" localSheetId="16">SUM(#REF!)</definedName>
    <definedName name="SHARED_FORMULA_3_32_3_32_2" localSheetId="8">SUM(#REF!)</definedName>
    <definedName name="SHARED_FORMULA_3_32_3_32_2" localSheetId="10">SUM(#REF!)</definedName>
    <definedName name="SHARED_FORMULA_3_32_3_32_2" localSheetId="11">SUM(#REF!)</definedName>
    <definedName name="SHARED_FORMULA_3_32_3_32_2">SUM(#REF!)</definedName>
    <definedName name="SHARED_FORMULA_3_320_3_320_4" localSheetId="16">SUM(#REF!+#REF!+#REF!+#REF!)</definedName>
    <definedName name="SHARED_FORMULA_3_320_3_320_4" localSheetId="8">SUM(#REF!+#REF!+#REF!+#REF!)</definedName>
    <definedName name="SHARED_FORMULA_3_320_3_320_4" localSheetId="10">SUM(#REF!+#REF!+#REF!+#REF!)</definedName>
    <definedName name="SHARED_FORMULA_3_320_3_320_4" localSheetId="11">SUM(#REF!+#REF!+#REF!+#REF!)</definedName>
    <definedName name="SHARED_FORMULA_3_320_3_320_4">SUM(#REF!+#REF!+#REF!+#REF!)</definedName>
    <definedName name="SHARED_FORMULA_3_321_3_321_4" localSheetId="16">SUM(#REF!+#REF!+#REF!+#REF!)</definedName>
    <definedName name="SHARED_FORMULA_3_321_3_321_4" localSheetId="8">SUM(#REF!+#REF!+#REF!+#REF!)</definedName>
    <definedName name="SHARED_FORMULA_3_321_3_321_4" localSheetId="10">SUM(#REF!+#REF!+#REF!+#REF!)</definedName>
    <definedName name="SHARED_FORMULA_3_321_3_321_4" localSheetId="11">SUM(#REF!+#REF!+#REF!+#REF!)</definedName>
    <definedName name="SHARED_FORMULA_3_321_3_321_4">SUM(#REF!+#REF!+#REF!+#REF!)</definedName>
    <definedName name="SHARED_FORMULA_3_37_3_37_2" localSheetId="16">SUM(#REF!)</definedName>
    <definedName name="SHARED_FORMULA_3_37_3_37_2" localSheetId="8">SUM(#REF!)</definedName>
    <definedName name="SHARED_FORMULA_3_37_3_37_2" localSheetId="10">SUM(#REF!)</definedName>
    <definedName name="SHARED_FORMULA_3_37_3_37_2" localSheetId="11">SUM(#REF!)</definedName>
    <definedName name="SHARED_FORMULA_3_37_3_37_2">SUM(#REF!)</definedName>
    <definedName name="SHARED_FORMULA_3_47_3_47_2" localSheetId="16">SUM(#REF!)</definedName>
    <definedName name="SHARED_FORMULA_3_47_3_47_2" localSheetId="8">SUM(#REF!)</definedName>
    <definedName name="SHARED_FORMULA_3_47_3_47_2" localSheetId="10">SUM(#REF!)</definedName>
    <definedName name="SHARED_FORMULA_3_47_3_47_2" localSheetId="11">SUM(#REF!)</definedName>
    <definedName name="SHARED_FORMULA_3_47_3_47_2">SUM(#REF!)</definedName>
    <definedName name="SHARED_FORMULA_3_59_3_59_5" localSheetId="16">#REF!</definedName>
    <definedName name="SHARED_FORMULA_3_59_3_59_5" localSheetId="8">#REF!</definedName>
    <definedName name="SHARED_FORMULA_3_59_3_59_5" localSheetId="10">#REF!</definedName>
    <definedName name="SHARED_FORMULA_3_59_3_59_5" localSheetId="11">#REF!</definedName>
    <definedName name="SHARED_FORMULA_3_59_3_59_5">#REF!</definedName>
    <definedName name="SHARED_FORMULA_3_77_3_77_5" localSheetId="16">#REF!</definedName>
    <definedName name="SHARED_FORMULA_3_77_3_77_5" localSheetId="8">#REF!</definedName>
    <definedName name="SHARED_FORMULA_3_77_3_77_5" localSheetId="10">#REF!</definedName>
    <definedName name="SHARED_FORMULA_3_77_3_77_5" localSheetId="11">#REF!</definedName>
    <definedName name="SHARED_FORMULA_3_77_3_77_5">#REF!</definedName>
    <definedName name="SHARED_FORMULA_3_94_3_94_5" localSheetId="16">#REF!</definedName>
    <definedName name="SHARED_FORMULA_3_94_3_94_5" localSheetId="8">#REF!</definedName>
    <definedName name="SHARED_FORMULA_3_94_3_94_5" localSheetId="10">#REF!</definedName>
    <definedName name="SHARED_FORMULA_3_94_3_94_5" localSheetId="11">#REF!</definedName>
    <definedName name="SHARED_FORMULA_3_94_3_94_5">#REF!</definedName>
    <definedName name="SHARED_FORMULA_4_133_4_133_5" localSheetId="16">SUM(#REF!)-#REF!-#REF!-#REF!</definedName>
    <definedName name="SHARED_FORMULA_4_133_4_133_5" localSheetId="8">SUM(#REF!)-#REF!-#REF!-#REF!</definedName>
    <definedName name="SHARED_FORMULA_4_133_4_133_5" localSheetId="10">SUM(#REF!)-#REF!-#REF!-#REF!</definedName>
    <definedName name="SHARED_FORMULA_4_133_4_133_5" localSheetId="11">SUM(#REF!)-#REF!-#REF!-#REF!</definedName>
    <definedName name="SHARED_FORMULA_4_133_4_133_5">SUM(#REF!)-#REF!-#REF!-#REF!</definedName>
    <definedName name="SHARED_FORMULA_4_136_4_136_4" localSheetId="16">SUM(#REF!)</definedName>
    <definedName name="SHARED_FORMULA_4_136_4_136_4" localSheetId="8">SUM(#REF!)</definedName>
    <definedName name="SHARED_FORMULA_4_136_4_136_4" localSheetId="10">SUM(#REF!)</definedName>
    <definedName name="SHARED_FORMULA_4_136_4_136_4" localSheetId="11">SUM(#REF!)</definedName>
    <definedName name="SHARED_FORMULA_4_136_4_136_4">SUM(#REF!)</definedName>
    <definedName name="SHARED_FORMULA_4_200_4_200_4" localSheetId="16">SUM(#REF!)</definedName>
    <definedName name="SHARED_FORMULA_4_200_4_200_4" localSheetId="8">SUM(#REF!)</definedName>
    <definedName name="SHARED_FORMULA_4_200_4_200_4" localSheetId="10">SUM(#REF!)</definedName>
    <definedName name="SHARED_FORMULA_4_200_4_200_4" localSheetId="11">SUM(#REF!)</definedName>
    <definedName name="SHARED_FORMULA_4_200_4_200_4">SUM(#REF!)</definedName>
    <definedName name="SHARED_FORMULA_4_264_4_264_4" localSheetId="16">SUM(#REF!)</definedName>
    <definedName name="SHARED_FORMULA_4_264_4_264_4" localSheetId="8">SUM(#REF!)</definedName>
    <definedName name="SHARED_FORMULA_4_264_4_264_4" localSheetId="10">SUM(#REF!)</definedName>
    <definedName name="SHARED_FORMULA_4_264_4_264_4" localSheetId="11">SUM(#REF!)</definedName>
    <definedName name="SHARED_FORMULA_4_264_4_264_4">SUM(#REF!)</definedName>
    <definedName name="SHARED_FORMULA_4_322_4_322_4" localSheetId="16">SUM(#REF!,#REF!,#REF!)</definedName>
    <definedName name="SHARED_FORMULA_4_322_4_322_4" localSheetId="8">SUM(#REF!,#REF!,#REF!)</definedName>
    <definedName name="SHARED_FORMULA_4_322_4_322_4" localSheetId="10">SUM(#REF!,#REF!,#REF!)</definedName>
    <definedName name="SHARED_FORMULA_4_322_4_322_4" localSheetId="11">SUM(#REF!,#REF!,#REF!)</definedName>
    <definedName name="SHARED_FORMULA_4_322_4_322_4">SUM(#REF!,#REF!,#REF!)</definedName>
    <definedName name="SHARED_FORMULA_4_43_4_43_3" localSheetId="16">SUM(#REF!,#REF!,#REF!,#REF!,#REF!,#REF!,#REF!,#REF!,#REF!,#REF!,#REF!,#REF!,#REF!,#REF!)</definedName>
    <definedName name="SHARED_FORMULA_4_43_4_43_3" localSheetId="8">SUM(#REF!,#REF!,#REF!,#REF!,#REF!,#REF!,#REF!,#REF!,#REF!,#REF!,#REF!,#REF!,#REF!,#REF!)</definedName>
    <definedName name="SHARED_FORMULA_4_43_4_43_3" localSheetId="10">SUM(#REF!,#REF!,#REF!,#REF!,#REF!,#REF!,#REF!,#REF!,#REF!,#REF!,#REF!,#REF!,#REF!,#REF!)</definedName>
    <definedName name="SHARED_FORMULA_4_43_4_43_3" localSheetId="11">SUM(#REF!,#REF!,#REF!,#REF!,#REF!,#REF!,#REF!,#REF!,#REF!,#REF!,#REF!,#REF!,#REF!,#REF!)</definedName>
    <definedName name="SHARED_FORMULA_4_43_4_43_3">SUM(#REF!,#REF!,#REF!,#REF!,#REF!,#REF!,#REF!,#REF!,#REF!,#REF!,#REF!,#REF!,#REF!,#REF!)</definedName>
    <definedName name="SHARED_FORMULA_4_58_4_58_2" localSheetId="16">SUM(#REF!,#REF!,#REF!,#REF!,#REF!,#REF!,#REF!,#REF!,#REF!,#REF!,#REF!)</definedName>
    <definedName name="SHARED_FORMULA_4_58_4_58_2" localSheetId="8">SUM(#REF!,#REF!,#REF!,#REF!,#REF!,#REF!,#REF!,#REF!,#REF!,#REF!,#REF!)</definedName>
    <definedName name="SHARED_FORMULA_4_58_4_58_2" localSheetId="10">SUM(#REF!,#REF!,#REF!,#REF!,#REF!,#REF!,#REF!,#REF!,#REF!,#REF!,#REF!)</definedName>
    <definedName name="SHARED_FORMULA_4_58_4_58_2" localSheetId="11">SUM(#REF!,#REF!,#REF!,#REF!,#REF!,#REF!,#REF!,#REF!,#REF!,#REF!,#REF!)</definedName>
    <definedName name="SHARED_FORMULA_4_58_4_58_2">SUM(#REF!,#REF!,#REF!,#REF!,#REF!,#REF!,#REF!,#REF!,#REF!,#REF!,#REF!)</definedName>
    <definedName name="SHARED_FORMULA_4_73_4_73_4" localSheetId="16">SUM(#REF!)</definedName>
    <definedName name="SHARED_FORMULA_4_73_4_73_4" localSheetId="8">SUM(#REF!)</definedName>
    <definedName name="SHARED_FORMULA_4_73_4_73_4" localSheetId="10">SUM(#REF!)</definedName>
    <definedName name="SHARED_FORMULA_4_73_4_73_4" localSheetId="11">SUM(#REF!)</definedName>
    <definedName name="SHARED_FORMULA_4_73_4_73_4">SUM(#REF!)</definedName>
    <definedName name="SHARED_FORMULA_4_8_4_8_4" localSheetId="16">SUM(#REF!)</definedName>
    <definedName name="SHARED_FORMULA_4_8_4_8_4" localSheetId="8">SUM(#REF!)</definedName>
    <definedName name="SHARED_FORMULA_4_8_4_8_4" localSheetId="10">SUM(#REF!)</definedName>
    <definedName name="SHARED_FORMULA_4_8_4_8_4" localSheetId="11">SUM(#REF!)</definedName>
    <definedName name="SHARED_FORMULA_4_8_4_8_4">SUM(#REF!)</definedName>
    <definedName name="SHARED_FORMULA_4_9_4_9_3" localSheetId="16">SUM(#REF!)</definedName>
    <definedName name="SHARED_FORMULA_4_9_4_9_3" localSheetId="8">SUM(#REF!)</definedName>
    <definedName name="SHARED_FORMULA_4_9_4_9_3" localSheetId="10">SUM(#REF!)</definedName>
    <definedName name="SHARED_FORMULA_4_9_4_9_3" localSheetId="11">SUM(#REF!)</definedName>
    <definedName name="SHARED_FORMULA_4_9_4_9_3">SUM(#REF!)</definedName>
    <definedName name="SHARED_FORMULA_5_108_5_108_5" localSheetId="16">#REF!</definedName>
    <definedName name="SHARED_FORMULA_5_108_5_108_5" localSheetId="8">#REF!</definedName>
    <definedName name="SHARED_FORMULA_5_108_5_108_5" localSheetId="10">#REF!</definedName>
    <definedName name="SHARED_FORMULA_5_108_5_108_5" localSheetId="11">#REF!</definedName>
    <definedName name="SHARED_FORMULA_5_108_5_108_5">#REF!</definedName>
    <definedName name="SHARED_FORMULA_5_109_5_109_5" localSheetId="16">#REF!</definedName>
    <definedName name="SHARED_FORMULA_5_109_5_109_5" localSheetId="8">#REF!</definedName>
    <definedName name="SHARED_FORMULA_5_109_5_109_5" localSheetId="10">#REF!</definedName>
    <definedName name="SHARED_FORMULA_5_109_5_109_5" localSheetId="11">#REF!</definedName>
    <definedName name="SHARED_FORMULA_5_109_5_109_5">#REF!</definedName>
    <definedName name="SHARED_FORMULA_5_129_5_129_5" localSheetId="16">#REF!</definedName>
    <definedName name="SHARED_FORMULA_5_129_5_129_5" localSheetId="8">#REF!</definedName>
    <definedName name="SHARED_FORMULA_5_129_5_129_5" localSheetId="10">#REF!</definedName>
    <definedName name="SHARED_FORMULA_5_129_5_129_5" localSheetId="11">#REF!</definedName>
    <definedName name="SHARED_FORMULA_5_129_5_129_5">#REF!</definedName>
    <definedName name="SHARED_FORMULA_5_19_5_19_5" localSheetId="16">#REF!</definedName>
    <definedName name="SHARED_FORMULA_5_19_5_19_5" localSheetId="8">#REF!</definedName>
    <definedName name="SHARED_FORMULA_5_19_5_19_5" localSheetId="10">#REF!</definedName>
    <definedName name="SHARED_FORMULA_5_19_5_19_5" localSheetId="11">#REF!</definedName>
    <definedName name="SHARED_FORMULA_5_19_5_19_5">#REF!</definedName>
    <definedName name="SHARED_FORMULA_5_28_5_28_5" localSheetId="16">#REF!</definedName>
    <definedName name="SHARED_FORMULA_5_28_5_28_5" localSheetId="8">#REF!</definedName>
    <definedName name="SHARED_FORMULA_5_28_5_28_5" localSheetId="10">#REF!</definedName>
    <definedName name="SHARED_FORMULA_5_28_5_28_5" localSheetId="11">#REF!</definedName>
    <definedName name="SHARED_FORMULA_5_28_5_28_5">#REF!</definedName>
    <definedName name="SHARED_FORMULA_5_288_5_288_4" localSheetId="16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8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0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1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 localSheetId="16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8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0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1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 localSheetId="16">#REF!</definedName>
    <definedName name="SHARED_FORMULA_5_35_5_35_5" localSheetId="8">#REF!</definedName>
    <definedName name="SHARED_FORMULA_5_35_5_35_5" localSheetId="10">#REF!</definedName>
    <definedName name="SHARED_FORMULA_5_35_5_35_5" localSheetId="11">#REF!</definedName>
    <definedName name="SHARED_FORMULA_5_35_5_35_5">#REF!</definedName>
    <definedName name="SHARED_FORMULA_5_69_5_69_5" localSheetId="16">#REF!</definedName>
    <definedName name="SHARED_FORMULA_5_69_5_69_5" localSheetId="8">#REF!</definedName>
    <definedName name="SHARED_FORMULA_5_69_5_69_5" localSheetId="10">#REF!</definedName>
    <definedName name="SHARED_FORMULA_5_69_5_69_5" localSheetId="11">#REF!</definedName>
    <definedName name="SHARED_FORMULA_5_69_5_69_5">#REF!</definedName>
    <definedName name="SHARED_FORMULA_5_7_5_7_5" localSheetId="16">#REF!</definedName>
    <definedName name="SHARED_FORMULA_5_7_5_7_5" localSheetId="8">#REF!</definedName>
    <definedName name="SHARED_FORMULA_5_7_5_7_5" localSheetId="10">#REF!</definedName>
    <definedName name="SHARED_FORMULA_5_7_5_7_5" localSheetId="11">#REF!</definedName>
    <definedName name="SHARED_FORMULA_5_7_5_7_5">#REF!</definedName>
    <definedName name="SHARED_FORMULA_6_5_6_5_0" localSheetId="16">#REF!/#REF!*100</definedName>
    <definedName name="SHARED_FORMULA_6_5_6_5_0" localSheetId="8">#REF!/#REF!*100</definedName>
    <definedName name="SHARED_FORMULA_6_5_6_5_0" localSheetId="10">#REF!/#REF!*100</definedName>
    <definedName name="SHARED_FORMULA_6_5_6_5_0" localSheetId="11">#REF!/#REF!*100</definedName>
    <definedName name="SHARED_FORMULA_6_5_6_5_0">#REF!/#REF!*100</definedName>
    <definedName name="SHARED_FORMULA_7_62_7_62_5" localSheetId="16">#REF!</definedName>
    <definedName name="SHARED_FORMULA_7_62_7_62_5" localSheetId="8">#REF!</definedName>
    <definedName name="SHARED_FORMULA_7_62_7_62_5" localSheetId="10">#REF!</definedName>
    <definedName name="SHARED_FORMULA_7_62_7_62_5" localSheetId="11">#REF!</definedName>
    <definedName name="SHARED_FORMULA_7_62_7_62_5">#REF!</definedName>
    <definedName name="SHARED_FORMULA_7_82_7_82_5" localSheetId="16">#REF!</definedName>
    <definedName name="SHARED_FORMULA_7_82_7_82_5" localSheetId="8">#REF!</definedName>
    <definedName name="SHARED_FORMULA_7_82_7_82_5" localSheetId="10">#REF!</definedName>
    <definedName name="SHARED_FORMULA_7_82_7_82_5" localSheetId="11">#REF!</definedName>
    <definedName name="SHARED_FORMULA_7_82_7_82_5">#REF!</definedName>
    <definedName name="SHARED_FORMULA_7_93_7_93_5" localSheetId="16">#REF!</definedName>
    <definedName name="SHARED_FORMULA_7_93_7_93_5" localSheetId="8">#REF!</definedName>
    <definedName name="SHARED_FORMULA_7_93_7_93_5" localSheetId="10">#REF!</definedName>
    <definedName name="SHARED_FORMULA_7_93_7_93_5" localSheetId="11">#REF!</definedName>
    <definedName name="SHARED_FORMULA_7_93_7_93_5">#REF!</definedName>
    <definedName name="SHARED_FORMULA_8_48_8_48_5" localSheetId="16">#REF!</definedName>
    <definedName name="SHARED_FORMULA_8_48_8_48_5" localSheetId="8">#REF!</definedName>
    <definedName name="SHARED_FORMULA_8_48_8_48_5" localSheetId="10">#REF!</definedName>
    <definedName name="SHARED_FORMULA_8_48_8_48_5" localSheetId="11">#REF!</definedName>
    <definedName name="SHARED_FORMULA_8_48_8_48_5">#REF!</definedName>
    <definedName name="SHARED_FORMULA_9_112_9_112_5" localSheetId="16">#REF!</definedName>
    <definedName name="SHARED_FORMULA_9_112_9_112_5" localSheetId="8">#REF!</definedName>
    <definedName name="SHARED_FORMULA_9_112_9_112_5" localSheetId="10">#REF!</definedName>
    <definedName name="SHARED_FORMULA_9_112_9_112_5" localSheetId="11">#REF!</definedName>
    <definedName name="SHARED_FORMULA_9_112_9_112_5">#REF!</definedName>
    <definedName name="SHARED_FORMULA_9_118_9_118_5" localSheetId="16">#REF!</definedName>
    <definedName name="SHARED_FORMULA_9_118_9_118_5" localSheetId="8">#REF!</definedName>
    <definedName name="SHARED_FORMULA_9_118_9_118_5" localSheetId="10">#REF!</definedName>
    <definedName name="SHARED_FORMULA_9_118_9_118_5" localSheetId="11">#REF!</definedName>
    <definedName name="SHARED_FORMULA_9_118_9_118_5">#REF!</definedName>
    <definedName name="SHARED_FORMULA_9_44_9_44_5" localSheetId="16">#REF!</definedName>
    <definedName name="SHARED_FORMULA_9_44_9_44_5" localSheetId="8">#REF!</definedName>
    <definedName name="SHARED_FORMULA_9_44_9_44_5" localSheetId="10">#REF!</definedName>
    <definedName name="SHARED_FORMULA_9_44_9_44_5" localSheetId="11">#REF!</definedName>
    <definedName name="SHARED_FORMULA_9_44_9_44_5">#REF!</definedName>
    <definedName name="SHARED_FORMULA_9_53_9_53_5" localSheetId="16">#REF!</definedName>
    <definedName name="SHARED_FORMULA_9_53_9_53_5" localSheetId="8">#REF!</definedName>
    <definedName name="SHARED_FORMULA_9_53_9_53_5" localSheetId="10">#REF!</definedName>
    <definedName name="SHARED_FORMULA_9_53_9_53_5" localSheetId="11">#REF!</definedName>
    <definedName name="SHARED_FORMULA_9_53_9_53_5">#REF!</definedName>
    <definedName name="SHARED_FORMULA_9_77_9_77_5" localSheetId="16">#REF!</definedName>
    <definedName name="SHARED_FORMULA_9_77_9_77_5" localSheetId="8">#REF!</definedName>
    <definedName name="SHARED_FORMULA_9_77_9_77_5" localSheetId="10">#REF!</definedName>
    <definedName name="SHARED_FORMULA_9_77_9_77_5" localSheetId="11">#REF!</definedName>
    <definedName name="SHARED_FORMULA_9_77_9_77_5">#REF!</definedName>
    <definedName name="SHARED_FORMULA_9_98_9_98_5" localSheetId="16">#REF!</definedName>
    <definedName name="SHARED_FORMULA_9_98_9_98_5" localSheetId="8">#REF!</definedName>
    <definedName name="SHARED_FORMULA_9_98_9_98_5" localSheetId="10">#REF!</definedName>
    <definedName name="SHARED_FORMULA_9_98_9_98_5" localSheetId="11">#REF!</definedName>
    <definedName name="SHARED_FORMULA_9_98_9_98_5">#REF!</definedName>
    <definedName name="x" localSheetId="8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<sst xmlns="http://schemas.openxmlformats.org/spreadsheetml/2006/main" count="2400" uniqueCount="867">
  <si>
    <t>- 267/2013. (V.30.) Tata Kt.határozata alapján Tata Távhő Kft és egyéb humán feladatokra</t>
  </si>
  <si>
    <t>- Szociális Alapellátó Intézmény Tatai Többcélú Kistérségi Társulába történő átkerülése miatt</t>
  </si>
  <si>
    <t>- 314/2013. (VI.28.)Tata Kt. határozat Tatai Távhő Kft-nek tagi kölcsön megtérüléséből</t>
  </si>
  <si>
    <t>Balatonvilágosi üdülő energiatakarékossági felújítása</t>
  </si>
  <si>
    <t>Önkormányzati nem lakáscélú helyiségek feújítása</t>
  </si>
  <si>
    <t>Rákóczi u. 9. utcai homlokzat felújítás</t>
  </si>
  <si>
    <t>Eötvös J. Gimnázium új épületének tetőjavítása</t>
  </si>
  <si>
    <t>Járda felújítás</t>
  </si>
  <si>
    <t>Út felújítás</t>
  </si>
  <si>
    <t xml:space="preserve">Játszóterek felújítása, bekerítése és bővítése új eszközökkel </t>
  </si>
  <si>
    <t>Fenyő téri (Baj úti), Bartók B.u.3, Május1 út 5×18lakás kerítés építés, Bacsó B. úti, Levendula ltp ivókút létesítése, Építők parkjai, Kazincbarcikai úti fejlesztés további játszóeszközökkel,mászókákkal, focipálya</t>
  </si>
  <si>
    <t>Kültéri kihelyezett eszközök cseréje, felújítása</t>
  </si>
  <si>
    <t>Szerver helység portalanná tétele</t>
  </si>
  <si>
    <t>Vaszary J. Általános Iskola - mosdók felújítása</t>
  </si>
  <si>
    <t>Kőkúti Általános Iskola - mosdók felújítása</t>
  </si>
  <si>
    <t>Vár - bejárati ajtó, bejárati falfelület és mosdó, lovagterem szigetelése, földszinti mosdó (akadálymentesítés és pelenkázó), mosdó, udvar oszlopok</t>
  </si>
  <si>
    <t>Német Nemzetiségi Múzeum - vízvezeték, bejárati ajtó, raktártető</t>
  </si>
  <si>
    <t>2013. évi tartalékolt felújítási kiadások feladatonként (ÁFA-val)</t>
  </si>
  <si>
    <t>Vaszary Villa felújítás</t>
  </si>
  <si>
    <t>Tata Város Önkormányzata által folyósított 2013. évi ellátások alakulásának részletezése</t>
  </si>
  <si>
    <t>(E Ft-ban)</t>
  </si>
  <si>
    <t>Lehívható központi támogatás Eredeti</t>
  </si>
  <si>
    <t>Foglalkoztatást helyettesítő támogatás</t>
  </si>
  <si>
    <t>Tartósan munkanélküliek rendszeres szociális segélye</t>
  </si>
  <si>
    <t>Időskorúak járadéka</t>
  </si>
  <si>
    <t>Lakásfenntartási támogatás (normatív)</t>
  </si>
  <si>
    <t>Adósságkezelési szolgáltatás</t>
  </si>
  <si>
    <t>Ápolási díj (normatív)</t>
  </si>
  <si>
    <t>Ápolási díj (helyi megállapítás)</t>
  </si>
  <si>
    <t>Átmeneti segély</t>
  </si>
  <si>
    <t>Temetési segély</t>
  </si>
  <si>
    <t>Rendkívüli gyermekvédelmi támogatás (helyi megállapítás)</t>
  </si>
  <si>
    <t>Tatai fiatalok életkezdési támogatásához</t>
  </si>
  <si>
    <t>Közlekedési támogatás tanulóknak</t>
  </si>
  <si>
    <t>Óvodáztatási támogatás</t>
  </si>
  <si>
    <t>Rászorultságtól függő pénzbeli szociális, gyermekvédelmi ellátások összesen</t>
  </si>
  <si>
    <t>Önkormányzati saját hatáskörben adott természetbeni ellátás (HPV védőoltás)</t>
  </si>
  <si>
    <t>Köztemetés</t>
  </si>
  <si>
    <t>Közgyógyellátás</t>
  </si>
  <si>
    <t>Természetben nyújtott átmeneti segély</t>
  </si>
  <si>
    <t>Természetben nyújtott ellátások összesen</t>
  </si>
  <si>
    <t>Szociális, Egészségvédelmi és Sport Alap</t>
  </si>
  <si>
    <t>Kulturális és Oktatási Alap</t>
  </si>
  <si>
    <t>Önkormányzatok által folyósított szociális, gyermekvédelmi ellátások összesen:</t>
  </si>
  <si>
    <t>Tatai Polgármesteri Hivatal által folyósított 2013. évi ellátások alakulásának részletezése</t>
  </si>
  <si>
    <t>Rendszeres szociális segély (egészségkárosodottak részére)</t>
  </si>
  <si>
    <t>Adósságkezelési szolgáltatással kapcsolatos támogatás</t>
  </si>
  <si>
    <t>Ápolási díj (emelt összegű)</t>
  </si>
  <si>
    <t>Tatai Közös Önkormányzati Hivatal által folyósított 2013. évi ellátások alakulásának részletezése</t>
  </si>
  <si>
    <t>Tata</t>
  </si>
  <si>
    <t>Tata összesen</t>
  </si>
  <si>
    <t>Neszmély</t>
  </si>
  <si>
    <t>Aktív korúak ellátása</t>
  </si>
  <si>
    <t>Neszmély összesen</t>
  </si>
  <si>
    <t>Dunaalmás</t>
  </si>
  <si>
    <t>Ápolási díj alanyi jogon</t>
  </si>
  <si>
    <t>Dunaalmás összesen</t>
  </si>
  <si>
    <t>Dunaszentmiklós</t>
  </si>
  <si>
    <t>Dunaszentmiklós összesen</t>
  </si>
  <si>
    <t>Tata Város Önkormányzatának pénzeszközátadásainak és támogatásainak 2013. évi előirányzata (E Ft-ban)</t>
  </si>
  <si>
    <t>Működési célú pénzeszközátadások és támogatások:</t>
  </si>
  <si>
    <t>Tatai Városgazda Nonprofit Kft. bér és működési támogatása</t>
  </si>
  <si>
    <t>Tatai Városkapu Zrt. támogatása</t>
  </si>
  <si>
    <t>Tata Város Önkormányzatnak vissza (pénzmaradvány átadás)</t>
  </si>
  <si>
    <t>Környezetvédelmi Alap („Legszebb konyhakertek” pályázat is a 564/2012.(XII.20.) Tata Kt. határozata alapján)</t>
  </si>
  <si>
    <t>Juniorka Alapítványi Bölcsőde támogatása</t>
  </si>
  <si>
    <t>Juniorka Alapítványi Óvoda támogatása</t>
  </si>
  <si>
    <t>Tatai Televízió Közalapítvány</t>
  </si>
  <si>
    <t>Have Your Say" pályázati támogatás visszafizetése</t>
  </si>
  <si>
    <t>Bursa Hungarica ösztöndíjakra</t>
  </si>
  <si>
    <t>TAC kézilabda szakosztály támogatása</t>
  </si>
  <si>
    <t>Hódy SE támogatása</t>
  </si>
  <si>
    <t>Klapka Focisuli</t>
  </si>
  <si>
    <t>Vívó Sport Egyesület</t>
  </si>
  <si>
    <t>Tatai Sport Egyesület</t>
  </si>
  <si>
    <t>Sportiskola - Kőkúti Sasok</t>
  </si>
  <si>
    <t>HUSK 0901 pályázat támogatási előleg egy részének visszafizetése</t>
  </si>
  <si>
    <t>Vértes Volán Zrt. részére veszteségkiegyenlítési igény</t>
  </si>
  <si>
    <t>Kis és középvállalkozások támogatása</t>
  </si>
  <si>
    <t>Közép-Duna Vidéke Önkormányzati Társulás működési hozzájárulása</t>
  </si>
  <si>
    <t>TDM – KDOP-2.2.1/A 270/2009. /VIII.12./</t>
  </si>
  <si>
    <t>Átadott pénzeszk.</t>
  </si>
  <si>
    <t>TDM-nek KDOP-2.2.1/A-12 pályázathoz önrész</t>
  </si>
  <si>
    <t>TDM-nek KDOP-2.2.1/A-12 térségi TDM pályázathoz önrész</t>
  </si>
  <si>
    <t>Háziorvosok támogatása (263 E Ft x 21 praxis)</t>
  </si>
  <si>
    <t>5. sz. felnőtt háziorvosi körzett helyettesítésére</t>
  </si>
  <si>
    <t>Magyar Máltai Szeretetszolgálat tatai csoportjának</t>
  </si>
  <si>
    <t>Magyar Vöröskereszt tatai szervezetének</t>
  </si>
  <si>
    <t>Bliss Alapítványnak</t>
  </si>
  <si>
    <t>Kenderke Alapfokú Művészeti Iskola</t>
  </si>
  <si>
    <t>TIT KEM Egyesület</t>
  </si>
  <si>
    <t>Pötörke Népművészeti Egyesület</t>
  </si>
  <si>
    <t>Concerto Kft. - nemzetközi zenei mesterkurzus</t>
  </si>
  <si>
    <t>Concerto Kft. - Tatai Barokk Fesztivál</t>
  </si>
  <si>
    <t>Polgárőrség támogatása</t>
  </si>
  <si>
    <t>Rendőrség támogatása</t>
  </si>
  <si>
    <t>Összesen:</t>
  </si>
  <si>
    <t>Felhalmozási célú pénzeszközátadások és támogatások:</t>
  </si>
  <si>
    <t>Értékvédelmi alap 19/2011 (V.30.) ÖR</t>
  </si>
  <si>
    <t>Panel Program</t>
  </si>
  <si>
    <t>Öko Program</t>
  </si>
  <si>
    <t>NEP</t>
  </si>
  <si>
    <t>ZBR</t>
  </si>
  <si>
    <t>Panel Program - ÚSZT fűtéskorszerűsítés (2013. évi igények)</t>
  </si>
  <si>
    <t>Közlekedésbiztonsági pályázat – tervezések önrész útpénztárnak</t>
  </si>
  <si>
    <t xml:space="preserve">Vértes Volán Zrt. részére szerződés alapján   (353/2010.(XI.24.) </t>
  </si>
  <si>
    <t>Tatai Városgazda Nonprofit Kft. részére szociális bolt kialakítására 538/2012. (XII.20.) Tata Kt. határozat</t>
  </si>
  <si>
    <t>Tatai Távhőszolgáltató Kft-nek a csőprojektre pénzmaradvány terhére</t>
  </si>
  <si>
    <t>Tatai Polgármesteri Hivatal pénzeszközátadásainak és támogatásainak 2013. évi előirányzata (E Ft-ban)</t>
  </si>
  <si>
    <t>Tatai Kistérségi Többcélú Társulás tagdíja</t>
  </si>
  <si>
    <t>Tatai Közös Hivatal részére függő, átfutó</t>
  </si>
  <si>
    <t>Tatai Közös Önkormányzati Hivatal pénzeszközátadásainak és támogatásainak 2013. évi előirányzata (E Ft-ban)</t>
  </si>
  <si>
    <t>Tata Város Önkormányzat</t>
  </si>
  <si>
    <t>támogatásértékű bevételei és államháztartáson kívülről átvett pénzeszközeinek</t>
  </si>
  <si>
    <t>2013. évi alakulása (E Ft-ban)</t>
  </si>
  <si>
    <t>Közfoglalkoztatás támogatása</t>
  </si>
  <si>
    <t>Wesselényi alaptól SPO-SE-10 pályázatra</t>
  </si>
  <si>
    <t xml:space="preserve">Interaktív Generációk pályázatra </t>
  </si>
  <si>
    <t>Jelzőrendszeres házi segítségnyújtása</t>
  </si>
  <si>
    <t>Támogató szolgálat</t>
  </si>
  <si>
    <t>Közösségi ellátás</t>
  </si>
  <si>
    <t>Támogatás értékű felhalmozási célú bevételek</t>
  </si>
  <si>
    <t>Tatai Angolpark rehabilitációja KDOP -2.1.1/B-2f-2009-0002 önerő alap támogatás</t>
  </si>
  <si>
    <t>Öreg-tavi Ökoturisztikai Központ kialakítása a csatlakozó kerékpárutak felújításával Tatán és a tematikus aktív turisztikai fejlesztések a kistérségben KDOP–2.1.1/B–09-2010-0002 önerő alap támogatás</t>
  </si>
  <si>
    <t>Eötvös József Gimnázium felújítása és Magyary Zoltán Művelődési Központ felújítása KEOP-2012- 5.5.0/b</t>
  </si>
  <si>
    <t>Komplex energiaracionalizálás Tata általános iskoláiban és óvodáiban KEOP -5.1.0-2008-0037</t>
  </si>
  <si>
    <t>Tata, Kossuth tér városközpont értékmegőrző rehabilitációja KDOP–3.1.1/A–09-1f-2010-0001 önerő alap támogatás</t>
  </si>
  <si>
    <t>Működési célra átvett pénzeszközök államháztartáson kívülről</t>
  </si>
  <si>
    <t>Pons Danubii EGTC-től átvett</t>
  </si>
  <si>
    <t>Talentum iskolától</t>
  </si>
  <si>
    <t>Felhalmozási célra átvett pénzeszközök államháztartáson kívülről</t>
  </si>
  <si>
    <t>Befejezett viziközmű társulatoktól</t>
  </si>
  <si>
    <t>tartalékolt felhalmozási kiadásokhoz kapcsolódó támogatásértékű bevételeinek</t>
  </si>
  <si>
    <t>Költségvetési szerveknek nyújtott tám. (intézményfinanszírozás)</t>
  </si>
  <si>
    <t>Tatai Kistérségi Többcélú Társulástól</t>
  </si>
  <si>
    <t xml:space="preserve">Tata </t>
  </si>
  <si>
    <t>Megszűnt Tatai Polgármesteri Hivatal pénzkészlete és aktív, passzív pénzügyi elszámolások átadása</t>
  </si>
  <si>
    <t xml:space="preserve">Dunaalmás </t>
  </si>
  <si>
    <t>Szociális feladatok támogatás (Kincstári visszaigénylések)</t>
  </si>
  <si>
    <t xml:space="preserve">OEP-től 5. sz. felnőtt háziorvosi körzet finanszírozására </t>
  </si>
  <si>
    <t>Nemzeti Család és Szociálpolitikai Intézettől Fiatalok Lendületben Program támogatása</t>
  </si>
  <si>
    <t>Informatikai támogatás visszautalása MÁK-on keresztül</t>
  </si>
  <si>
    <t>Vértes Volántól Minimaraton támogatása</t>
  </si>
  <si>
    <t>Tata és Környéke Turisztikai Egyesülettől átvétel</t>
  </si>
  <si>
    <t>Magnum Hungária Beta Kft-től városfejlesztési megállapodás alapján</t>
  </si>
  <si>
    <t>Megelőlegezett személyi juttatás kifizetéséhez Dunaalmástól</t>
  </si>
  <si>
    <t>Közös Hivatal fenntartásához Dunaszentmiklós önkormányzatától</t>
  </si>
  <si>
    <t>Közös Hivatal fenntartásához Dunaalmás önkormányzatától</t>
  </si>
  <si>
    <t>Közös Hivatal fenntartásához vis majortámogatásból Neszmély önkormányzatától</t>
  </si>
  <si>
    <t>Közös Hivatal fenntartásához Neszmély önkormányzatától</t>
  </si>
  <si>
    <t>Személyi juttatáshoz hozzájárulás Neszmély önkormányzatától</t>
  </si>
  <si>
    <t>Munkaügyi Központtól Első munkahely garancia programra</t>
  </si>
  <si>
    <t>Önkormányzat támogatása</t>
  </si>
  <si>
    <t>Önkormányzati költségvetési szervek engedélyezett létszáma</t>
  </si>
  <si>
    <t>Költségvetési szervek megnevezése</t>
  </si>
  <si>
    <t>Engedélyezett létszám (fő)</t>
  </si>
  <si>
    <t>Bartók B. úti Óvoda</t>
  </si>
  <si>
    <t>Csillagsziget Bölcsőde</t>
  </si>
  <si>
    <t>Vaszary János Általános Iskola</t>
  </si>
  <si>
    <t>Vaszary János Általános Iskola - Jázmin tagintézmény</t>
  </si>
  <si>
    <t>Vaszary János Általános Iskola - Tardos tagintézmény</t>
  </si>
  <si>
    <t>Menner B. Zeneiskola</t>
  </si>
  <si>
    <t>Móricz Zsigmond Könyvtár</t>
  </si>
  <si>
    <t>Kuny Domokos Múzeum</t>
  </si>
  <si>
    <t xml:space="preserve"> - Normatíva felülvizsgálatig</t>
  </si>
  <si>
    <t xml:space="preserve">Pénzmaradvány átadás </t>
  </si>
  <si>
    <t xml:space="preserve"> - Tatai Távhőszolgáltató Kft.</t>
  </si>
  <si>
    <t xml:space="preserve">Felhalmozási céltartalék </t>
  </si>
  <si>
    <t xml:space="preserve"> - Tatai Fényes Fürdő Kft. kölcsön visszafizetéséből elkülönítve</t>
  </si>
  <si>
    <t xml:space="preserve"> - Árfolyamveszteségre</t>
  </si>
  <si>
    <t>Városi Önkormányzat Intézmények összesen:</t>
  </si>
  <si>
    <t>Önkormányzati közfoglalkoztatottak éves létszám-erőirányzata</t>
  </si>
  <si>
    <t>Eredeti átlag létszám</t>
  </si>
  <si>
    <t>Rövid időtartamú közfoglalkoztatás</t>
  </si>
  <si>
    <t>- Dunaalmási Kirendeltésg</t>
  </si>
  <si>
    <t>- Dunaszentmiklósi Kirendeltésg</t>
  </si>
  <si>
    <t>- Neszmélyi Kirendeltség</t>
  </si>
  <si>
    <t>Tata Város Önkormányzat 2013. évi költségvetési terve (szakfeladatok és kiemelt előirányzatok szerinti bontásban) ( E Ft-ban)</t>
  </si>
  <si>
    <t>E. Ft-ban</t>
  </si>
  <si>
    <t>Bevétel</t>
  </si>
  <si>
    <t>Kiadás</t>
  </si>
  <si>
    <t>Hiteltörl. Kölcsön</t>
  </si>
  <si>
    <t>Tartalékok</t>
  </si>
  <si>
    <t>Költségvetési szerveknek folyósított támogtás</t>
  </si>
  <si>
    <t xml:space="preserve">Személyi juttatások </t>
  </si>
  <si>
    <t>M.adókat terh. jár.</t>
  </si>
  <si>
    <t xml:space="preserve">Dologi egyéb folyó </t>
  </si>
  <si>
    <t>Pénzeszk. Átadás</t>
  </si>
  <si>
    <t>Önk.által foly. ellátás</t>
  </si>
  <si>
    <t>Kötelező</t>
  </si>
  <si>
    <t>020000</t>
  </si>
  <si>
    <t>Erdőgazdálkodás</t>
  </si>
  <si>
    <t>Víztermelés-kezelés ellátás</t>
  </si>
  <si>
    <t>Szennyvíz gyűjtése, tisztítása, elhelyezése</t>
  </si>
  <si>
    <t>Települési hulladék gyűjtése, szállítása</t>
  </si>
  <si>
    <t>Nem kötelező</t>
  </si>
  <si>
    <t>Lakó- és nem lakóépület építése</t>
  </si>
  <si>
    <t>Út, autópálya építése</t>
  </si>
  <si>
    <t>Városi közúti személyszállítás</t>
  </si>
  <si>
    <t>Helyi utak fenntartása</t>
  </si>
  <si>
    <t>Könyvkiadás</t>
  </si>
  <si>
    <t>Egyéb kiadói tevékenység (lapkiadás)</t>
  </si>
  <si>
    <t>Lakóingatlan bérbeadása</t>
  </si>
  <si>
    <t>Nem lakóingatlan bérbeadása</t>
  </si>
  <si>
    <t>Állategészségügyi ellátás</t>
  </si>
  <si>
    <t>Zöldterület kezelés (parkfenntartás)</t>
  </si>
  <si>
    <t>Zöldterület kezelés (játszótér)</t>
  </si>
  <si>
    <t>Állam (igazgatás)</t>
  </si>
  <si>
    <t>Önkormányzati jogalkotás</t>
  </si>
  <si>
    <t>Önkormányzati jogalkotás (Pénzmaradvány)</t>
  </si>
  <si>
    <t>Adó, illeték kiszabása, beszedése, adóellenőrzés</t>
  </si>
  <si>
    <t>Önkormányzati vagyonnal való gazdálkodással kapcsolatos feladatok</t>
  </si>
  <si>
    <t>Nemzeti ünnepek programjai</t>
  </si>
  <si>
    <t>Kiemelt önkormányzati rendezvények (Minimarathon)</t>
  </si>
  <si>
    <t>Kiemelt önkormányzati rendezvények (Városi ünnepek)</t>
  </si>
  <si>
    <t xml:space="preserve">Kiemelt önkormányzati rendezvények </t>
  </si>
  <si>
    <t>Környezet- és természetvédelem helyi igazgatása és szabályozása</t>
  </si>
  <si>
    <t>Kis- és középvállalkozások támogatása</t>
  </si>
  <si>
    <t>Közvilágítás</t>
  </si>
  <si>
    <t>Város- és községgazdálkodás (Közbeszerzés)</t>
  </si>
  <si>
    <t>Város- és községgazdálkodás (VKG)</t>
  </si>
  <si>
    <t>Város- és községgazdálkodás (Építés- és területfejlesztés)</t>
  </si>
  <si>
    <t>Önkormányzatok elszámolása (normatíva)</t>
  </si>
  <si>
    <t>Központi költségvetési befizetések</t>
  </si>
  <si>
    <t>Finanszírozási műveletek</t>
  </si>
  <si>
    <t>Önkormányzatok elszámolása költségvetési szerveikkel</t>
  </si>
  <si>
    <t>Működési- és felhalmozási tartalék</t>
  </si>
  <si>
    <t>Önkormányzatok nemzetközi kapcsolatai "HUSK"</t>
  </si>
  <si>
    <t>Önkormányzatok nemzetközi kapcsolatai (Testvérvárosi feladatok)</t>
  </si>
  <si>
    <t>Önkormányzatok nemzetközi kapcsolatai (Intraktív generációk)</t>
  </si>
  <si>
    <t>Önkormányzatok nemzetközi kapcsolatai (Pons Danubi)</t>
  </si>
  <si>
    <t>Közterület rendjének fenntartása (Polgárőrség, Rendőrség)</t>
  </si>
  <si>
    <t>Tűzoltás, műszaki mentés, katasztrófa elhárítás (Polgári védelem)</t>
  </si>
  <si>
    <t>Lakosság felkészítése, tájékoztatás, riasztás</t>
  </si>
  <si>
    <t>Óvodai nevelés, ellátás</t>
  </si>
  <si>
    <t>Alapfokú oktatás intézményeinek támogatása</t>
  </si>
  <si>
    <t>Alapfokú oktatás (Tanulmányi ösztöndíjak)</t>
  </si>
  <si>
    <t>Középfokú oktatás int. program támogatása</t>
  </si>
  <si>
    <t>Sport, szabadidős képzés (Tanuszoda)</t>
  </si>
  <si>
    <t>Pedagógiai szakmai szolgáltatás</t>
  </si>
  <si>
    <t>Megújuló energia rendszerek fejlesztése pályázat HUSK/1301/2.1-1 268/2013.(V.30.) Tata Kt. határozat (Kőkúti Iskola, Kincseskert Óvoda és a Közös Önkormányzati Hivatal épületeének napelemes rendszerrel való felszerelése)</t>
  </si>
  <si>
    <t>Gombkötő u. 2/b. ingatlan vételára 288/2013.(V.30.) Tata Kt. határozat</t>
  </si>
  <si>
    <t>Gesztenye-fasor 47/a. 1/2. szám alatti, 1988/4/A/10 hrsz.-ú, 36 m2 nagyságú komfortos társasházi lakás 305/2013.(V.30.) Tata Kt. határozat</t>
  </si>
  <si>
    <t>Jázmin u. 40. szám alatti, 2006/41/A/1 hrsz.-ú, 41 m2 nagyságú komfortos társasházi lakás 305/2013.(V.30.) Tata Kt. határozat</t>
  </si>
  <si>
    <t>Távhő Kft. által végrehajtott beruházások átvétele 314/2013.(VI.28.) Tata Kt. határozat</t>
  </si>
  <si>
    <t>A tatai 15374/11 és 15374/12 hrsz.-ú ingatlanokból a 118 m2 nagyságú terület megvételére 377/2013.(VII.12.) Tata Kt. határozat</t>
  </si>
  <si>
    <t>Fényképezőgép beszerzésére (egyéb kiadói tevékenységgel összefüggésben)</t>
  </si>
  <si>
    <t>Tatai Városgazda Nonprofit Kft. jegyzett tőke emelése - általános tartalékból</t>
  </si>
  <si>
    <t>Intézmények Gazdasági Hivatala önként vállalt feladat - új Egészségügyi Alapellátó Intézmény részére eszköz beszerzésre</t>
  </si>
  <si>
    <t>Kincseskert Óvoda cirkulációs vezeték 260/2013. (V.30.) Tata Kt. határozat</t>
  </si>
  <si>
    <t>Magyary Zoltán Művelődési Központ: nyílászáró csere 266/2013.(V.30.) Tata Kt. határozat</t>
  </si>
  <si>
    <t>Kálvária u. 5. ingatlan felújítására 376/2013.(VII.12.) Tata Kt. határozat</t>
  </si>
  <si>
    <t>A tatai Angolpark rehabilitációja című projekthez kapcsolódó együttműködési megállapodás - 11135. számú országos közút felújításához 957 E Ft önerő 383/2013.(VII.12.) Tata Kt. határozat</t>
  </si>
  <si>
    <t>Katonai tó lépcsője és partfala, valamint a zuhanyzó felújítása</t>
  </si>
  <si>
    <t>Szivárvány Óvoda felújítási tervei</t>
  </si>
  <si>
    <t>Egészségügyi intézmények programjainak támogatása</t>
  </si>
  <si>
    <t>Járóbeteg ellátás, fogorvosi ellátás támogatása</t>
  </si>
  <si>
    <t>Bentlakásos szociális ellátások intézményi programjainak támogatása</t>
  </si>
  <si>
    <t>Bentlakás nélküli szociális ellátás támogatása</t>
  </si>
  <si>
    <t>Aktívkorúak ellátása</t>
  </si>
  <si>
    <t>Lakásfenntartási támogatás (helyi)</t>
  </si>
  <si>
    <t>Ápolási díj (alanyi jogon)</t>
  </si>
  <si>
    <t>Ápolási díj (méltányossági alapon)</t>
  </si>
  <si>
    <t>Rendkívüli gyermekvédelmi ellátás</t>
  </si>
  <si>
    <t>Egyéb önkormányzati eseti ellátás (szociális ösztöndíj)</t>
  </si>
  <si>
    <t>Egyéb önkormányzati eseti pénbeni ellátások (életkezdési támogatás)</t>
  </si>
  <si>
    <t>Bölcsődei ellátás</t>
  </si>
  <si>
    <t>Jelzőrendszeres házi segítségnyújtás</t>
  </si>
  <si>
    <t>Támogató szolgáltatás</t>
  </si>
  <si>
    <t>Központi költségvetésből származó támogatások</t>
  </si>
  <si>
    <t>Fejlesztési célú támogatások - Központi költségvetésből</t>
  </si>
  <si>
    <t>Otthonteremtési támogatás</t>
  </si>
  <si>
    <t>közös hivatal miatt éves összeg áprilisi módosítással</t>
  </si>
  <si>
    <t>2013 .07. 01-től</t>
  </si>
  <si>
    <t>Bláthy Ottó Szakközép Iskola, Szakiskola és Kollégium - Szakmai Képzésért Közalapítvány</t>
  </si>
  <si>
    <t>Tatai Református Egyházközség Hajnalcsillag Tatai Református Óvoda támogatása</t>
  </si>
  <si>
    <t>Önkormányzati Szövetségnek árvíz elleni védekezésre</t>
  </si>
  <si>
    <t>Vértes Volán Zrt. helyi közösségi közlekedés támogatása</t>
  </si>
  <si>
    <t>Magyar Máltai Szeretetszolgálat Csilla von Boeselager Gondviselés Háza Támogató Szolgálat és Idősek Napközisotthon támogatása</t>
  </si>
  <si>
    <t>Komárom-Esztergom Megyei 104 Mentőalapítvány támogatása</t>
  </si>
  <si>
    <t>Kőkúti Sasok DSE</t>
  </si>
  <si>
    <t>Szociális Háló Közalapítvány</t>
  </si>
  <si>
    <t>Tatai Kistérségi Többcélú Társulás</t>
  </si>
  <si>
    <t>- Vakok és Gyengénlátók KEM Egyesülete - eszközbeszerzés támogatása</t>
  </si>
  <si>
    <t>- "Kéz a Kézben Alapítvány - országos strandröplabda bajnokság</t>
  </si>
  <si>
    <t>- Tatai Shotokan Karate SE - Tóth Krisztián eb, ob diákolimpiai részvételre</t>
  </si>
  <si>
    <t>- Eötvös József Gimnázium - nyári tehetséggondozó tábor</t>
  </si>
  <si>
    <t>- Magyar Vöröskereszt tatai szervezete - 2013. évi egészgégkárosodott és hátrányos helyzetű gyermektábor támogatása</t>
  </si>
  <si>
    <t>- Tatai Városi Nyugdíjas Klub - rendezvények terembérleti díja, klubtalálkozón való részvétel, Gútai cserekapcsolat</t>
  </si>
  <si>
    <t>Felújításhoz kapcsolódó ÁFA visszatérülés</t>
  </si>
  <si>
    <t>- Tatai Mecénás Közalapítvány - Fiatal Művészek támogatása</t>
  </si>
  <si>
    <t>- Tatai Kenderke Alapítvány - fellépések, tanulmányutak, utazási költség</t>
  </si>
  <si>
    <t>- Magyar Máltai Szeretetszolgálat - akadálymentesített feljáró, felvonó befedése</t>
  </si>
  <si>
    <t>Kistérségi Időskorúak Otthona feladatmutatóinak időarányos átvétele</t>
  </si>
  <si>
    <t>Közösségi szolgáltatás</t>
  </si>
  <si>
    <t>Önkormányzat által nyújtott lakástámogatás</t>
  </si>
  <si>
    <t>Önkormányzat ifjúsági kezdeményezések és programok (Gyermekbarát város)</t>
  </si>
  <si>
    <t>Bérpótló juttatásra jogosultak hosszabb időtartamú közfoglalkoztatása</t>
  </si>
  <si>
    <t>Közművelődési tevékenységek és támogatásuk</t>
  </si>
  <si>
    <t>Utánpótlás-nevelési tevékenység támogatása (Sportiskola)</t>
  </si>
  <si>
    <t>Máshová nem sorolható egyéb sporttámogatás</t>
  </si>
  <si>
    <t>Szabadidős park, fürdő és strandszolgáltatás</t>
  </si>
  <si>
    <t>Közösségi társadalmi tevékenység (TDM)</t>
  </si>
  <si>
    <t>Köztemető fenntartás és működtetés</t>
  </si>
  <si>
    <t xml:space="preserve"> Kötelező összesen:</t>
  </si>
  <si>
    <t>Nem kötelező összesen:</t>
  </si>
  <si>
    <t>Állam (igazgatás) összesen:</t>
  </si>
  <si>
    <t>Tatai Polgármesteri Hivatal 2013. évi költségvetési terve (szakfeladatok és kiemelt előirányzatok szerinti bontásban) ( E Ft-ban)</t>
  </si>
  <si>
    <t>Út, autópálya építés</t>
  </si>
  <si>
    <t>552001</t>
  </si>
  <si>
    <t>Üdülői szálláshely szolgáltatás</t>
  </si>
  <si>
    <t>Önkormányzatok és társulások általános végrehajtó tevékenysége</t>
  </si>
  <si>
    <t>Város- és községgazdálkodás</t>
  </si>
  <si>
    <t>Önkormányzat elszámolása költségvetési szerveikkel</t>
  </si>
  <si>
    <t xml:space="preserve">Egyéb önk. Eseti ellátások </t>
  </si>
  <si>
    <t>Munkáltatók által nyújtott lakástámogatások</t>
  </si>
  <si>
    <t>Ápolási díj (méltányossági)</t>
  </si>
  <si>
    <t>Máshova nem sorolható személyi szolgáltatás (Anyakönyv)</t>
  </si>
  <si>
    <t>Kötelező összesen:</t>
  </si>
  <si>
    <t>Nem kötelező összesen</t>
  </si>
  <si>
    <t>770000</t>
  </si>
  <si>
    <t>Kölcsönzés, lízing</t>
  </si>
  <si>
    <t>821000</t>
  </si>
  <si>
    <t>Adminisztratív szolgáltatás</t>
  </si>
  <si>
    <t>841112</t>
  </si>
  <si>
    <t>Tatai Közös Önkormányzati Hivatal Tatai szervezeti egység 2013. évi költségvetési terve (szakfeladatok és kiemelt előirányzatok szerinti bontásban) ( E Ft-ban)</t>
  </si>
  <si>
    <t>- Közös Hivatal székhely szerinti szervezeti egysége</t>
  </si>
  <si>
    <t>Neszmélyi kirendeltség</t>
  </si>
  <si>
    <t>Önkormányzatok és társulások általános végrehajtó és igazgatási tevékenysége</t>
  </si>
  <si>
    <t>Támogatás értékű működési kiadás:</t>
  </si>
  <si>
    <t xml:space="preserve">Aktív korúak ellátása </t>
  </si>
  <si>
    <t>882113</t>
  </si>
  <si>
    <t>882112</t>
  </si>
  <si>
    <t>Időskorúak ellátása</t>
  </si>
  <si>
    <t>Dunaalmási kirendeltség</t>
  </si>
  <si>
    <t>841126</t>
  </si>
  <si>
    <t>Neszmélyi kirendeltség összesen:</t>
  </si>
  <si>
    <t>Dunaalmási kirendeltség összesen:</t>
  </si>
  <si>
    <t>Dunaszentmiklósi kirendelség</t>
  </si>
  <si>
    <t>Dunaszentmiklósi kirendelség összesen:</t>
  </si>
  <si>
    <t>Tata összesen:</t>
  </si>
  <si>
    <t>Tata Város Közterület-felügyelete 2013. évi költségvetési terve (szakfeladatok és kiemelt előirányzatok szerinti bontásban) ( E Ft-ban)</t>
  </si>
  <si>
    <t>Pénzeszk. átadás és kezesség váll.</t>
  </si>
  <si>
    <t>Közterület rendjének fenntartása (Közterület Felügyelet)</t>
  </si>
  <si>
    <t>Tata Város Önkormányzata 2013. évi költségvetéséhez</t>
  </si>
  <si>
    <t>a helyi önkormányzatok általános működésének és ágazati feladatinak támogatásáról</t>
  </si>
  <si>
    <t>Törvény- javaslat hivatk.sz.</t>
  </si>
  <si>
    <t>Jogcímek megnevezése</t>
  </si>
  <si>
    <t>Bevétel tervezéséhez</t>
  </si>
  <si>
    <t>Mutató</t>
  </si>
  <si>
    <t>Fajlagos összeg Ft/mutató</t>
  </si>
  <si>
    <t>Összeg (Ft)</t>
  </si>
  <si>
    <t>2.mell. I.</t>
  </si>
  <si>
    <t>A HELYI ÖNKORMÁNYZATOK MŰKÖDÉSÉNEK ÁLTALÁNOS TÁMOGATÁSA</t>
  </si>
  <si>
    <t>I.1.a)</t>
  </si>
  <si>
    <t>Önkormányzati Hivatal működésének támogatása</t>
  </si>
  <si>
    <t>fő</t>
  </si>
  <si>
    <t>I.1.b)</t>
  </si>
  <si>
    <t>Település-üzemeltetéshez kapcsolódó feladatellátás támogatása</t>
  </si>
  <si>
    <t>I.1.ba)</t>
  </si>
  <si>
    <t>A zöldterület-gazdálkodással kapcsolatos feladatok ellátásának támogatása</t>
  </si>
  <si>
    <t>ha</t>
  </si>
  <si>
    <t>I.1.bb)</t>
  </si>
  <si>
    <t>Közvilágítás fenntartásának támogatása</t>
  </si>
  <si>
    <t>nettó Ft</t>
  </si>
  <si>
    <t>I.1.bc)</t>
  </si>
  <si>
    <t>Köztemető fenntartással kapcsolatos feladatok támogatása</t>
  </si>
  <si>
    <t>I.1.bd)</t>
  </si>
  <si>
    <t>Közutak fenntartásának támogatása</t>
  </si>
  <si>
    <t>Település-üzemeltetéshez kapcsolódó feladatellátás támogatása összesen</t>
  </si>
  <si>
    <t>1.a) + 1.b) Önk.Hivatal működtet.+Telep.üzemelt.kapcs.felad.támogatása együtt</t>
  </si>
  <si>
    <t>Önkormányzat elvárt bevétele: 2011.ip.űz.adóalap 0,5 %-a</t>
  </si>
  <si>
    <t>0,5 %</t>
  </si>
  <si>
    <t>I.1.c)</t>
  </si>
  <si>
    <t>Beszámítás összege: I.1.a)-b) össz.támog.-ból levonva az elvárt bevételt</t>
  </si>
  <si>
    <t>I.1.d)</t>
  </si>
  <si>
    <t>Központosított támogatások</t>
  </si>
  <si>
    <t>Egyéb kötelező önkormányzati feladat támogatása, de legalább 3 Millió Ft</t>
  </si>
  <si>
    <t>I.1.</t>
  </si>
  <si>
    <t>841907</t>
  </si>
  <si>
    <t>A települési önkormányzatok működésének támogatása</t>
  </si>
  <si>
    <t>II.1.</t>
  </si>
  <si>
    <t>Óvodapedagógusok, és az óvodapedagógusok nevelő munkáját közvetlenül segítők bértámogatása</t>
  </si>
  <si>
    <t>Óvodapedagógusok bértámogatása - 8 hóra</t>
  </si>
  <si>
    <t>Óvodapedagógusok bértámogatása - 4 hóra</t>
  </si>
  <si>
    <t>Óvodapedagógusok munkáját közvetlenül segítők bértámogatása - 8 hóra</t>
  </si>
  <si>
    <t>Tatai Városgazda Kft részvételének támogatása a TÁMOP 1.1.2. jelű programon (2013. évi önerő)</t>
  </si>
  <si>
    <t>Felhalmozási céltartalék</t>
  </si>
  <si>
    <t>Dr. Gárdai Eü. Szolg. Bt-nek helyettesítési feladatok támogatására</t>
  </si>
  <si>
    <t>Általános tartalékból</t>
  </si>
  <si>
    <t>- Kisebbségekért - Pro Minoritate Aapítvány XVI. Csángó Bál programjának támogatása</t>
  </si>
  <si>
    <t>- Tatai Atlétikai Klub helyi autóversenyzés támogatása</t>
  </si>
  <si>
    <t>Lakossági közműfejlesztési támogatás</t>
  </si>
  <si>
    <t>Tata Város Közterület-felügyelete pénzeszközátadásainak és támogatásainak 2013. évi előirányzata (E Ft-ban)</t>
  </si>
  <si>
    <t>Otthonteremtési támogatás 2012. évi kifizetése utáni visszaigénylés</t>
  </si>
  <si>
    <t>Árpád-házi Szent Erzsébet Szakkórház és Rendelőintézet 2012. évi bérkompenzáció</t>
  </si>
  <si>
    <t>Tata Közvilágítás Hálózat korszerűsítése</t>
  </si>
  <si>
    <t>Intermodális közösségi közlekedési központ létrehozása Tatán KÖZOP-5.5.0-09-11-2011-0010</t>
  </si>
  <si>
    <t>Ökoturisztikai tanösvény kialakítása a Tatai Fényes Fürdő területén KDOP-2.1.1/B-10-2012-0046</t>
  </si>
  <si>
    <t>Hosszabb időtartamú közfoglalkoztatás</t>
  </si>
  <si>
    <t>Pénzmaradvány átvétel</t>
  </si>
  <si>
    <t>- Tatai Távhő Kft.</t>
  </si>
  <si>
    <t>Pénzmaradvány átadás</t>
  </si>
  <si>
    <t>Közvilágítás korszerűsítése pályázati dokumentáció és pályázati önerő KEOP-2012-5.5.0/A 23/2013. (I.31.) Tata Kt. határozat</t>
  </si>
  <si>
    <t>Angolkert felújítására KEOP-3.1.2/09-11 pályázat benyújtása 148/2013.(V.2.) Tata Kt. határozat</t>
  </si>
  <si>
    <t>1279 hrsz-ú 1593 m2-es ingatlan vételára 81/2013. (II.27.) Tata Kt. határozat</t>
  </si>
  <si>
    <t>Tata, 0328/8 és 0328/6 hrsz.-ú ingatlanok megvétele 97/2013. (II.27.) Tata Kt. határozat és 174/2013.(V.2.) Tata Kt. határozat</t>
  </si>
  <si>
    <t>Fényes-fürdő területére csúszda beszerzése 154/2013.(V.2.)Tata Kt. határozat</t>
  </si>
  <si>
    <t>Kajak-kenu tároló vételára (4008 hrsz) 173/2013.(V.2.)Tata Kt. határozat</t>
  </si>
  <si>
    <t>Gépkocsi beszerzés 107/2013.(III.28.) Tata Kt. határozat</t>
  </si>
  <si>
    <t>Kincseskert Óvoda - TÁMOP-3.4.2.A-11/2-2012-0004 Befogadó Élet-Tér Tatán pályázat</t>
  </si>
  <si>
    <t>Vaszary Villa felújítás 110/2013. (III.28.) Tata Kt. határozat</t>
  </si>
  <si>
    <t>Tata, Erzsébet téri (Szarka közi) útleszakadáshoz 144/2013. (V.2) Tata Kt. határozat</t>
  </si>
  <si>
    <t>Szivárvány Óvoda felújítására 145/2013.(V.2.) Tata Kt. határozat</t>
  </si>
  <si>
    <t>Önkormányzati bérlakások felújítása 113/2013. (III.28.) Tata Kt. határozat</t>
  </si>
  <si>
    <t>Klímabeszerzés a hivatal épületébe</t>
  </si>
  <si>
    <t>Mód. IX.11.</t>
  </si>
  <si>
    <t xml:space="preserve">Hitel igénybevételének felhalmozási célonkénti részletezése E Ft-ban </t>
  </si>
  <si>
    <t>Kiadás eredeti</t>
  </si>
  <si>
    <t>Kiadás Mód.(V.29.)</t>
  </si>
  <si>
    <t>A felhalmozási kiadások forrásai</t>
  </si>
  <si>
    <t>Hiány finanszírozására hitelfelvétel összege eredeti</t>
  </si>
  <si>
    <t>Hiány finanszírozására hitelfelvétel összege Mód. (V.29.)</t>
  </si>
  <si>
    <t>Támogatás értékű felhalmozási célú bevétel eredeti</t>
  </si>
  <si>
    <t>Támogatás értékű felhalmozási célú bevétel Mód. (V.29.)</t>
  </si>
  <si>
    <t>Pénzmaradvány eredeti</t>
  </si>
  <si>
    <t>Pénzmaradvány Mód.(V.29.)</t>
  </si>
  <si>
    <t>Saját bevétel eredeti</t>
  </si>
  <si>
    <t>Saját bevétel Mód. (V.29.)</t>
  </si>
  <si>
    <t>Hiány eredeti</t>
  </si>
  <si>
    <t>Hiány Mód. (V.29.)</t>
  </si>
  <si>
    <t>2012. évi jóváhagyott kérelem eredeti</t>
  </si>
  <si>
    <t>2012. évi jóváhagyott kérelem Mód. (V.29.)</t>
  </si>
  <si>
    <t>2013. évi tervezett eredeti</t>
  </si>
  <si>
    <t>2013. évi tervezett Mód. (V.29.)</t>
  </si>
  <si>
    <t>BERUHÁZÁSI FELADATOK ÖSSZESEN</t>
  </si>
  <si>
    <t>FELÚJÍTÁSI FELADATOK ÖSSZESEN</t>
  </si>
  <si>
    <t>MINDÖSSZESEN</t>
  </si>
  <si>
    <t>Óvodapedagógusok munkáját közvetlenül segítők bértámogatása - 4 hóra</t>
  </si>
  <si>
    <t>Óvodapedagógusok, és az óvodapedagógusok nevelő munkáját közvetlenül segítők bértámogatása összesen</t>
  </si>
  <si>
    <t xml:space="preserve">II.2. </t>
  </si>
  <si>
    <t>Óvodaműködtetési támogatás</t>
  </si>
  <si>
    <t>pénzmar átvét</t>
  </si>
  <si>
    <t>Pénzbeli kártérítés</t>
  </si>
  <si>
    <t>Pénzmar átadás</t>
  </si>
  <si>
    <t>Mód. V. hó</t>
  </si>
  <si>
    <t>KEM Jávorka S. Sz.Iskola és Kollégium + KEM Óvoda, Ált.Isk., Spec.Szakisk., Diákotthon és Gyermekotthon</t>
  </si>
  <si>
    <t>V. hó</t>
  </si>
  <si>
    <t>Óvodaműködtetési támogatás 8 hóra</t>
  </si>
  <si>
    <t>Óvodaműködtetési támogatás 4 hóra</t>
  </si>
  <si>
    <t>Óvodaműködtetési támogatás összesen</t>
  </si>
  <si>
    <t xml:space="preserve">II.3. </t>
  </si>
  <si>
    <t>Ingyenes és kedvezményes gyermekétkeztetés támogatása</t>
  </si>
  <si>
    <t>II.3.a)</t>
  </si>
  <si>
    <t>Bölcsődében és a fogyatékos személyek nappali intézményében elhelyezett gyermekek étkeztetésének támogatása</t>
  </si>
  <si>
    <t>fő/év</t>
  </si>
  <si>
    <t>II.3.b)</t>
  </si>
  <si>
    <t>Óvodai, iskolai étkeztetés támogatása</t>
  </si>
  <si>
    <t>Ingyenes és kedvezményes gyermek étkeztetés támogatása összesen</t>
  </si>
  <si>
    <t>2.mell. II.</t>
  </si>
  <si>
    <t>A települési önkormányzatok egyes köznevelési feladatinak támogatása</t>
  </si>
  <si>
    <t>Községek összesen:</t>
  </si>
  <si>
    <t>Eredeti összesen:</t>
  </si>
  <si>
    <t>Módosított összesen:</t>
  </si>
  <si>
    <t>Lehívható központi támogatás  Mód. (V.29.)</t>
  </si>
  <si>
    <t>III.1.</t>
  </si>
  <si>
    <r>
      <t xml:space="preserve">Szeptemberi módosított előirányzat      </t>
    </r>
    <r>
      <rPr>
        <b/>
        <sz val="12"/>
        <rFont val="Times New Roman CE"/>
        <family val="0"/>
      </rPr>
      <t xml:space="preserve"> E Ft-ban</t>
    </r>
  </si>
  <si>
    <t>A települési önkormányzatok kulturáli feladatainak támogatása</t>
  </si>
  <si>
    <t>Egyes jövedelempótló támogatások kiegészítése</t>
  </si>
  <si>
    <t>III.2.</t>
  </si>
  <si>
    <t>Hozzájárulás a pénzbeli szociális ellátásokhoz</t>
  </si>
  <si>
    <t>III.3.</t>
  </si>
  <si>
    <t>Mód. (V.29.)</t>
  </si>
  <si>
    <t>Mód.(V.29.)</t>
  </si>
  <si>
    <t>Egyes szociális és gyermekjóléti feladatok támogatása</t>
  </si>
  <si>
    <t>III.3.ab)</t>
  </si>
  <si>
    <t>Szociális és gyermekjóléti alapszolgáltatások általános feladatai (társult formában)</t>
  </si>
  <si>
    <t>III.3.ae)</t>
  </si>
  <si>
    <t>2*39301</t>
  </si>
  <si>
    <t>III.a)</t>
  </si>
  <si>
    <t>Szociális és gyermekjóléti alapszolgáltatások általános feladatai összesen</t>
  </si>
  <si>
    <t>III.3.c)</t>
  </si>
  <si>
    <t xml:space="preserve">Szociális étkeztetés </t>
  </si>
  <si>
    <t>III.3.d)</t>
  </si>
  <si>
    <t>Házi segítségnyújtás - társult formában, ezért a fajlagos összeg 130 %-a a támogatás</t>
  </si>
  <si>
    <t>III.3.f)</t>
  </si>
  <si>
    <t>Időskorúak nappali intézményi ellátása -társult formában, ezért a fajlagos összeg 150 %-a a támogatás</t>
  </si>
  <si>
    <t>III.3.g)</t>
  </si>
  <si>
    <t>Fogyatékosok személyek nappali intézményi ellátása - társult formában, ezért a fajlagos összeg 110 %-a a támogatás</t>
  </si>
  <si>
    <t>III.3.i)</t>
  </si>
  <si>
    <t>Hajléktalanok nappali intézményi ellátása - társult formában, ezért a fajlagos összeg 120 %-a a támogatás</t>
  </si>
  <si>
    <t>III.3.j)</t>
  </si>
  <si>
    <t>Gyermekek napközbeni ellátása</t>
  </si>
  <si>
    <t>III.3.ja)</t>
  </si>
  <si>
    <t>III.3.k)</t>
  </si>
  <si>
    <t>Hajléktalanok átmeneti intézményei - társult formában, ezért a fajlagos összeg 110 %-a a támogatás</t>
  </si>
  <si>
    <t>fhely</t>
  </si>
  <si>
    <t>Egyes szociális és gyermekjóléti feladatok támogatása összesen</t>
  </si>
  <si>
    <t xml:space="preserve">2.mell. III. </t>
  </si>
  <si>
    <t>A települési önkormányzatok szociális és gyermekjóléti feladatainak támogatása</t>
  </si>
  <si>
    <t>IV.</t>
  </si>
  <si>
    <t>A TELEPÜLÉSI ÖNKORMÁNYZATOK KULTURÁLIS FELADATAINAK TÁMOGATÁSA</t>
  </si>
  <si>
    <t>IV.1.a)</t>
  </si>
  <si>
    <t>Tata Kuny Domokos Múzeum feladatainak támogatása</t>
  </si>
  <si>
    <t>IV.1.d)</t>
  </si>
  <si>
    <t>Települési önk.támog. A nyilvános ktári ellátási és közműv. Feladatokhoz</t>
  </si>
  <si>
    <t>2.mell. IV.</t>
  </si>
  <si>
    <t>ÁLLAMI TÁMOGATÁS MINDÖSSZESEN</t>
  </si>
  <si>
    <r>
      <t>8 hónapra</t>
    </r>
    <r>
      <rPr>
        <sz val="10"/>
        <rFont val="Times New Roman CE"/>
        <family val="1"/>
      </rPr>
      <t xml:space="preserve"> időarányos összeg (Ft)</t>
    </r>
  </si>
  <si>
    <r>
      <t>4 hónapra</t>
    </r>
    <r>
      <rPr>
        <sz val="10"/>
        <rFont val="Times New Roman CE"/>
        <family val="1"/>
      </rPr>
      <t xml:space="preserve"> időarányos összeg (Ft)</t>
    </r>
  </si>
  <si>
    <r>
      <t>Éves</t>
    </r>
    <r>
      <rPr>
        <b/>
        <sz val="12"/>
        <rFont val="Times New Roman CE"/>
        <family val="0"/>
      </rPr>
      <t xml:space="preserve"> közös hivatal miatt  Ft-ban</t>
    </r>
  </si>
  <si>
    <r>
      <t xml:space="preserve">Szoc. és gyermekjóléti alapszolg. általános feladatai - </t>
    </r>
    <r>
      <rPr>
        <b/>
        <sz val="12"/>
        <rFont val="Times New Roman CE"/>
        <family val="0"/>
      </rPr>
      <t>társulási kiegészítés</t>
    </r>
  </si>
  <si>
    <t>Tata Város Önkormányzata és az általa irányított költségvetési szervek 2013. évi bevételei forrásonként ( E Ft-ban)</t>
  </si>
  <si>
    <t>Bevételek</t>
  </si>
  <si>
    <t>Önkormányzat</t>
  </si>
  <si>
    <t>Tata Város Közterület-felügyelete</t>
  </si>
  <si>
    <t>Tatai Polgármesteri Hivatal</t>
  </si>
  <si>
    <t>Tatai Közös Önkormányzati Hivatal</t>
  </si>
  <si>
    <t>Intézmények Gazdasági Hivatala és a hozzá tartozó Intézményei</t>
  </si>
  <si>
    <t xml:space="preserve">Kuny Domokos Múzeum </t>
  </si>
  <si>
    <t>Összesen</t>
  </si>
  <si>
    <t>Eredeti</t>
  </si>
  <si>
    <t xml:space="preserve">Eredeti </t>
  </si>
  <si>
    <t>Önkormányzat működési bevétele</t>
  </si>
  <si>
    <t>Hatósági szolgáltatási díj</t>
  </si>
  <si>
    <t>Intézményi működési bevétel</t>
  </si>
  <si>
    <t>Egyéb működési bevétel (temető fenntartás, rendezvényszervezés, üdülés, intézményi térítési díjak stb.)</t>
  </si>
  <si>
    <t>Áfa bevétel</t>
  </si>
  <si>
    <t>Kamat bevétel</t>
  </si>
  <si>
    <t>Sajátos működési bevétel</t>
  </si>
  <si>
    <t>Helyi adók</t>
  </si>
  <si>
    <t xml:space="preserve"> - Építményadó</t>
  </si>
  <si>
    <t xml:space="preserve"> - Telekadó</t>
  </si>
  <si>
    <t xml:space="preserve"> - Idegenforgalmi adó</t>
  </si>
  <si>
    <t xml:space="preserve"> - Iparűzési adó</t>
  </si>
  <si>
    <t xml:space="preserve"> - Késedelmi pótlék</t>
  </si>
  <si>
    <t xml:space="preserve"> - Egyéb beszedési szla (pénzbírság)</t>
  </si>
  <si>
    <t>Átengedett központi adók</t>
  </si>
  <si>
    <t xml:space="preserve"> - Gépjárműadó</t>
  </si>
  <si>
    <t xml:space="preserve"> - Termőföld bérbeadásból SZJA</t>
  </si>
  <si>
    <t>Közigazgatási és helyszíni bírság</t>
  </si>
  <si>
    <t>Talajterhelési díj</t>
  </si>
  <si>
    <t>Bérleti díj</t>
  </si>
  <si>
    <t>Lakbér</t>
  </si>
  <si>
    <t>Működési támogatások, kiegészítések</t>
  </si>
  <si>
    <t>Általános működés és ágazatai feladatok támogatása</t>
  </si>
  <si>
    <t>Egyes szociális feladatok támogatás</t>
  </si>
  <si>
    <t>Egyéb működési bevételek</t>
  </si>
  <si>
    <t>Támogatás értékű működési bevételek</t>
  </si>
  <si>
    <t>Mód.(IX.11.)</t>
  </si>
  <si>
    <t>Lehívható központi támogatás  Mód. (IX.11.)</t>
  </si>
  <si>
    <t>Kiadás Mód.(IX.11.)</t>
  </si>
  <si>
    <t>Támogatás értékű felhalmozási célú bevétel Mód. (IX.11.)</t>
  </si>
  <si>
    <t>Pénzmaradvány Mód.(IX.11.)</t>
  </si>
  <si>
    <t>Saját bevétel         Mód. (IX.11.)</t>
  </si>
  <si>
    <t>Hiány Mód. (IX.11.)</t>
  </si>
  <si>
    <t>Hiány finanszírozására hitelfelvétel összege Mód. (IX.11.)</t>
  </si>
  <si>
    <t>2012. évi jóváhagyott kérelem Mód. (IX.11.)</t>
  </si>
  <si>
    <t>2013. évi tervezett Mód. (IX.11.)</t>
  </si>
  <si>
    <t>Működési célú pénzeszközátvétel</t>
  </si>
  <si>
    <t>Felhalmozási és tőke jellegű bevétel</t>
  </si>
  <si>
    <t>Tárgyi eszköz értékesítés</t>
  </si>
  <si>
    <t>Földterület értékesítés</t>
  </si>
  <si>
    <t>Egyéb ingatlanértékesítés</t>
  </si>
  <si>
    <t>Üzemeltetés, bérbeadás bevétele</t>
  </si>
  <si>
    <t>Lakásértékesítés (részletek)</t>
  </si>
  <si>
    <t>Felhalmozási kamat bevétel</t>
  </si>
  <si>
    <t>Felhalmozási támogatások</t>
  </si>
  <si>
    <t>Fejlesztési célú támogatások - központosított támogatások</t>
  </si>
  <si>
    <t>Egyéb felhalmozási bevételek</t>
  </si>
  <si>
    <t xml:space="preserve"> - Támogatás értékű felhalmozási bevételek</t>
  </si>
  <si>
    <t xml:space="preserve"> - Tartalékolt felhalmozási kiadásokhoz kapcsolódó támogatás értékű felhalmozási bevétel</t>
  </si>
  <si>
    <t xml:space="preserve"> - Felhalmozási célú pénzeszközátvétel</t>
  </si>
  <si>
    <t>Támogatási kölcsönök visszatérülése, igénybevétele</t>
  </si>
  <si>
    <t>Költségvetési szervek támogatása (intézményfinanszírozás)</t>
  </si>
  <si>
    <t>Előző évi pénzmaradvány</t>
  </si>
  <si>
    <t>Hitelfelvétel</t>
  </si>
  <si>
    <t>BEVÉTELEK MINDÖSSZESEN</t>
  </si>
  <si>
    <t xml:space="preserve">Tata Város Önkormányzata és az általa irányított költségvetési szervek 2013. évi költségvetési kiadásai </t>
  </si>
  <si>
    <t>( kiemelt előirányzatok szerinti részletezésben ) E Ft-ban</t>
  </si>
  <si>
    <t>Kiadások</t>
  </si>
  <si>
    <t xml:space="preserve">Kuny Domokos  Múzeum </t>
  </si>
  <si>
    <t>Személyi juttatások</t>
  </si>
  <si>
    <t>Munkaadót terhelő járulékok és szociális hozzájárulási adó</t>
  </si>
  <si>
    <t>Dologi és dologi jellegű kiadások</t>
  </si>
  <si>
    <t>Ebből kamatkiadások</t>
  </si>
  <si>
    <t>Egyéb működési kiadás</t>
  </si>
  <si>
    <t>Támogatás értékű működési kiadások és működési célú pénzeszköz átadás</t>
  </si>
  <si>
    <t>Önkormányzat által folyósított társadalom- és szociálpolitikai juttatások</t>
  </si>
  <si>
    <t>Ellátottak pénzbeli juttatása</t>
  </si>
  <si>
    <t>Beruházás ( ÁFA-val )</t>
  </si>
  <si>
    <t>Felújítás ( ÁFA-val )</t>
  </si>
  <si>
    <t>Felhalmozási támogatás értékű kiadás és pénzeszközátadás</t>
  </si>
  <si>
    <t>Általános tartalék</t>
  </si>
  <si>
    <t>Általános működési tartalék</t>
  </si>
  <si>
    <t>Működési céltartalék</t>
  </si>
  <si>
    <t>Általános felhalmozási tartalék</t>
  </si>
  <si>
    <t>Tartalékolt felhalmozási kiadások</t>
  </si>
  <si>
    <t>Tartalékolt beruházási kiadások</t>
  </si>
  <si>
    <t>Tartalékolt felújítási kiadások</t>
  </si>
  <si>
    <t>Tartalékolt támogatás értékű felhalmozási kiadások és felhalmozási célú pénzeszköz átadás</t>
  </si>
  <si>
    <t>Támogatási kölcsönök</t>
  </si>
  <si>
    <t>Kölcsön nyújtása lakáscélra:</t>
  </si>
  <si>
    <t xml:space="preserve"> - lakossági</t>
  </si>
  <si>
    <t xml:space="preserve"> - munkáltatói</t>
  </si>
  <si>
    <t>Egyéb kölcsön</t>
  </si>
  <si>
    <t xml:space="preserve"> - Víz-Zene-Virág Fesztivál Egyesületnek</t>
  </si>
  <si>
    <t xml:space="preserve"> - Tatai Fényes-fürdő Kft.-nek 508/2012. (XII.20.) Tata Kt. határozat</t>
  </si>
  <si>
    <t>Garancia és kezességvállalás</t>
  </si>
  <si>
    <t>Működési (Tatai Távhőszolgáltató Kft-nek)</t>
  </si>
  <si>
    <t>Felhalmozási (Tata-Tóparti Viziközmű Társulatnak)</t>
  </si>
  <si>
    <t>Hitel- és kötvénytörlesztés (fejlesztési célú)</t>
  </si>
  <si>
    <t>Hiteltörlesztés</t>
  </si>
  <si>
    <t>Kötvénytörlesztés</t>
  </si>
  <si>
    <t>Költségvetési szerveinknek nyújtott támogatás (intézményfinanszírozás)</t>
  </si>
  <si>
    <t>KIADÁSOK MINDÖSSZESEN</t>
  </si>
  <si>
    <t xml:space="preserve"> Tata Város Önkormányzatának 2013. évi közgazdasági mérlege (E Ft-ban)</t>
  </si>
  <si>
    <t>Függő kiadások</t>
  </si>
  <si>
    <t>Bevételi előirányzat</t>
  </si>
  <si>
    <t>Kiadási előirányzat</t>
  </si>
  <si>
    <t>Hatósági szolgáltatási díj és intézményi működési bevétel</t>
  </si>
  <si>
    <t>Önkormányzatok sajátos működési bevételi</t>
  </si>
  <si>
    <t>Munkaadókat terhelő járulékok</t>
  </si>
  <si>
    <t>Átengedett központi adók (gépjárműadó, termőföld bérbeadásából származó SZJA)</t>
  </si>
  <si>
    <t>Dologi és egyéb folyó kiadások</t>
  </si>
  <si>
    <t>Bírságok</t>
  </si>
  <si>
    <t>Egyéb működési kiadások</t>
  </si>
  <si>
    <t>Bérleti díjak</t>
  </si>
  <si>
    <t>Támogatás értékű működési kiadások és működési célú pénzeszközátadás</t>
  </si>
  <si>
    <t>Működési támogatások</t>
  </si>
  <si>
    <t>Beruházási kiadások</t>
  </si>
  <si>
    <t>Egyes szociális feladatok támogatása</t>
  </si>
  <si>
    <t>Felújítási kiadások</t>
  </si>
  <si>
    <t>Egyéb, működési bevételek</t>
  </si>
  <si>
    <t>Támogatás értékű felhalmozási kiadások és felhalmozási célú pénzeszközátadások</t>
  </si>
  <si>
    <t>Működési tartalék</t>
  </si>
  <si>
    <t>Felhalmozási és tőke jellegű bevételek</t>
  </si>
  <si>
    <t>Föld értékesítés</t>
  </si>
  <si>
    <t>Egyéb ingatlan értékesítés</t>
  </si>
  <si>
    <t>Felhalmozási tartalék</t>
  </si>
  <si>
    <t>Lakásértékesítés</t>
  </si>
  <si>
    <t>Támogatási kölcsönök nyújtása, törlesztése</t>
  </si>
  <si>
    <t>Lakáscélra</t>
  </si>
  <si>
    <t xml:space="preserve"> -- Ebből NFM EU Önerő-támogatás</t>
  </si>
  <si>
    <t xml:space="preserve"> - Felhalmozási célú pénzeszköz átvétel</t>
  </si>
  <si>
    <t>Költségvetési szerveknek nyújtott támogatás (intézményfinanszírozás)</t>
  </si>
  <si>
    <t>Költségvetési bevételek összesen:</t>
  </si>
  <si>
    <t>Költségvetési kiadások összesen:</t>
  </si>
  <si>
    <t xml:space="preserve">Költségvetési egyenleg: </t>
  </si>
  <si>
    <t>Hiány és a finanszírozási kiadások fedezetének finanszírozása:</t>
  </si>
  <si>
    <t>Hiteltörlesztés - hosszú lejáratú</t>
  </si>
  <si>
    <t xml:space="preserve"> - Belső finanszírozás, pénzmaradvány </t>
  </si>
  <si>
    <t xml:space="preserve"> - Külső finanszírozás hitel felvétel </t>
  </si>
  <si>
    <t>Finanszírozási bevételek összesen:</t>
  </si>
  <si>
    <t>Finanszírozási kiadások összesen:</t>
  </si>
  <si>
    <t>2013. évi működési célú bevételek és kiadások mérlege (E Ft-ban)</t>
  </si>
  <si>
    <t>Személyi juttatás</t>
  </si>
  <si>
    <t>Működési bevétel</t>
  </si>
  <si>
    <t>Járulékok</t>
  </si>
  <si>
    <t>Dologi kiadás (beruházási hitelkamat és ÁFA nélkül)</t>
  </si>
  <si>
    <t>Működési támogatás</t>
  </si>
  <si>
    <t>Pénzeszköz átadás, támogatás</t>
  </si>
  <si>
    <t>Szociális támogatás műk.</t>
  </si>
  <si>
    <t>Kölcsön visszatérülés, kölcsön bevétel</t>
  </si>
  <si>
    <t xml:space="preserve"> - Tatai Fényes-fürdő Kft.</t>
  </si>
  <si>
    <t xml:space="preserve"> - Tatai Városgazda Nonprofit Kft.(Tatai Városfejlesztő Kft.)</t>
  </si>
  <si>
    <t xml:space="preserve"> - Által-ér Szövetség</t>
  </si>
  <si>
    <t xml:space="preserve"> - Központi ügyeletre</t>
  </si>
  <si>
    <t xml:space="preserve"> - Tatai Távhő Szolgáltató Kft.</t>
  </si>
  <si>
    <t xml:space="preserve"> - Bláthy O. Szakközépiskola, Szakiskola és Kollégium</t>
  </si>
  <si>
    <t xml:space="preserve"> - Víz-Zene-Virág Egyesület</t>
  </si>
  <si>
    <t xml:space="preserve"> - Tatai Televízió Közalapítvány</t>
  </si>
  <si>
    <t xml:space="preserve">Garancia és kezességvállalás </t>
  </si>
  <si>
    <t xml:space="preserve"> - Tatai Távhő Kft.-nek</t>
  </si>
  <si>
    <t>Kölcsönnyújtás, kölcsönvisszafizetés</t>
  </si>
  <si>
    <t xml:space="preserve"> - Víz-Zene-Virág Fesztivál Egyesület</t>
  </si>
  <si>
    <t>Egyenleg: -93 891</t>
  </si>
  <si>
    <t xml:space="preserve">Belső forrás, pénzmaradvány </t>
  </si>
  <si>
    <t>Mindösszesen:</t>
  </si>
  <si>
    <t>2013. évi fejlesztési célú bevételek és kiadások mérlege (E Ft-ban)</t>
  </si>
  <si>
    <t>Beruházás</t>
  </si>
  <si>
    <t>ÁFA bevétel</t>
  </si>
  <si>
    <t>Felújítás</t>
  </si>
  <si>
    <t>Felhalmozási támogatás</t>
  </si>
  <si>
    <t>Támogatás értékű felhalmozási kiadás és pénzeszközátadás</t>
  </si>
  <si>
    <t xml:space="preserve"> - Ebből NFM EU Önerő-támogatás</t>
  </si>
  <si>
    <t>Kölcsön visszatérülések</t>
  </si>
  <si>
    <t>Kölcsönnyújtás</t>
  </si>
  <si>
    <t xml:space="preserve"> - Lakás célú</t>
  </si>
  <si>
    <t xml:space="preserve"> - lakáscélú</t>
  </si>
  <si>
    <t xml:space="preserve"> - Munkáltatói</t>
  </si>
  <si>
    <t>Adóbevételekből átcsoportosítás</t>
  </si>
  <si>
    <t>Fizetendő ÁFA</t>
  </si>
  <si>
    <t>Kötvény- és hitel kamat</t>
  </si>
  <si>
    <t xml:space="preserve"> - Tata-Tóparti Viziközmű Társulat hitele és kamat</t>
  </si>
  <si>
    <t>Egyenleg: - 999 157</t>
  </si>
  <si>
    <t>Hiány és a finanszírozási kiadások fedezetének finansz.</t>
  </si>
  <si>
    <t>Belső finanszírozás, pénzmaradvány</t>
  </si>
  <si>
    <t>Tatati Közös Önkormányzati Hivatal összesen:</t>
  </si>
  <si>
    <r>
      <t xml:space="preserve">Önkormányzati Hivatal </t>
    </r>
    <r>
      <rPr>
        <sz val="10"/>
        <rFont val="Times New Roman"/>
        <family val="1"/>
      </rPr>
      <t>- közszoltálati tisztviselő</t>
    </r>
  </si>
  <si>
    <r>
      <t xml:space="preserve">Tata Város Önkormányzat </t>
    </r>
    <r>
      <rPr>
        <sz val="10"/>
        <rFont val="Times New Roman"/>
        <family val="1"/>
      </rPr>
      <t>- választott tisztségviselő</t>
    </r>
  </si>
  <si>
    <r>
      <t>Közterület-felügyelet</t>
    </r>
    <r>
      <rPr>
        <sz val="10"/>
        <rFont val="Times New Roman"/>
        <family val="1"/>
      </rPr>
      <t xml:space="preserve"> (önállóan működő)</t>
    </r>
  </si>
  <si>
    <t xml:space="preserve">Külső finanszírozás hitel felvétel </t>
  </si>
  <si>
    <t>Finanszírozási kiadás beruházási hitel- és kötvény törlesztés</t>
  </si>
  <si>
    <t xml:space="preserve"> -- 2012. évi jóváhagyott kérelem</t>
  </si>
  <si>
    <t xml:space="preserve"> -- 2013. évi tervezett</t>
  </si>
  <si>
    <t>Mindösszesen bevételek:</t>
  </si>
  <si>
    <t>Mindösszesen kiadások:</t>
  </si>
  <si>
    <t>Intézmények Gazdasági Hivatalához tartozó önállóan működő intézmények 2013. évi költségvetése</t>
  </si>
  <si>
    <t>Intézmények Gazdasági Hivatalához tartozó részben önálló intézmények 2013. évi költségvetése</t>
  </si>
  <si>
    <t>Költségvetési alcím megnevezése</t>
  </si>
  <si>
    <t>Feladat jellege</t>
  </si>
  <si>
    <t>Egyéb saját bevétel</t>
  </si>
  <si>
    <t>Egyéb saját bevételből ellátottak étkezési térítési díj bevétele</t>
  </si>
  <si>
    <t>ÁFA</t>
  </si>
  <si>
    <t>Kapott fenntartói kölcsön</t>
  </si>
  <si>
    <t>Átvett pénzeszközök</t>
  </si>
  <si>
    <t>Támogatásértékű bevétel</t>
  </si>
  <si>
    <t>Tárgyi eszköz, immat. javak értékesítése</t>
  </si>
  <si>
    <t>Pénzmaradvány</t>
  </si>
  <si>
    <t>Finanszírozás</t>
  </si>
  <si>
    <t>Bevételek összesen</t>
  </si>
  <si>
    <t>Működési kiadások</t>
  </si>
  <si>
    <t>Felhalmozási kiadások</t>
  </si>
  <si>
    <t>Kiadások összesen</t>
  </si>
  <si>
    <t>működési célra</t>
  </si>
  <si>
    <t>felhalmozási célra</t>
  </si>
  <si>
    <t>pénzforalom nélküli</t>
  </si>
  <si>
    <t>előző évi átvétele</t>
  </si>
  <si>
    <t>M.adókat terhelő jár.</t>
  </si>
  <si>
    <t>Dologi</t>
  </si>
  <si>
    <t>Dologiból ellátottakra vonatkozó élelmiszer beszerzés és vásárolt élelmezés</t>
  </si>
  <si>
    <t xml:space="preserve">Beruházás </t>
  </si>
  <si>
    <t xml:space="preserve">Felújítás </t>
  </si>
  <si>
    <t>össz</t>
  </si>
  <si>
    <t>Fürdő utcai Óvoda</t>
  </si>
  <si>
    <t>kötelező</t>
  </si>
  <si>
    <t>Szivárvány Óvoda</t>
  </si>
  <si>
    <t>Geszti Óvoda</t>
  </si>
  <si>
    <t>Bartók B. utcai Óvoda</t>
  </si>
  <si>
    <t>Kertvárosi Óvoda</t>
  </si>
  <si>
    <t>Kincseskert Óvoda</t>
  </si>
  <si>
    <t>Bergengócia Óvoda</t>
  </si>
  <si>
    <t>Bölcsöde</t>
  </si>
  <si>
    <t>Vaszary J. Általános Iskola</t>
  </si>
  <si>
    <t>Vaszary - Logopédiai Intézet</t>
  </si>
  <si>
    <t>Vaszary-Jázmin Tagint.</t>
  </si>
  <si>
    <t>Vaszary - Tardosi Tagint.</t>
  </si>
  <si>
    <t>Vaszary összesen</t>
  </si>
  <si>
    <t>Kőkúti Általános Iskola</t>
  </si>
  <si>
    <t>Kőkúti Általános Iskola - Fazekas U. Tagintézmény</t>
  </si>
  <si>
    <t>Kőkúti összesen</t>
  </si>
  <si>
    <t>Zeneiskola</t>
  </si>
  <si>
    <t xml:space="preserve">Intézmények Gazdasági Hivatala </t>
  </si>
  <si>
    <t>önk. váll.</t>
  </si>
  <si>
    <t>Intézmények Gazdasági Hivatala önként vállalt feladat</t>
  </si>
  <si>
    <t>IGH és iskolák összesen</t>
  </si>
  <si>
    <t>összesen</t>
  </si>
  <si>
    <t>Könyvtár</t>
  </si>
  <si>
    <t>SZAI Jelzőrendszeres házi segítségnyújtás</t>
  </si>
  <si>
    <t>SZAI Támogató szolgálat</t>
  </si>
  <si>
    <t>SZAI Közösségi</t>
  </si>
  <si>
    <t>SZAI nappali, családsegítő és gyermekjóléti, szociális étkezés, éjjeli menedékhely, házigondozás</t>
  </si>
  <si>
    <t>Szociális Alapellátó Intézmény</t>
  </si>
  <si>
    <t>Kvi. alcímek és szakf. Összesen:</t>
  </si>
  <si>
    <t xml:space="preserve">IGH feladatkörébe tartozó kötelező feladatok </t>
  </si>
  <si>
    <t>kötelező össz.</t>
  </si>
  <si>
    <t>IGH feladatkörébe tartozó önként vállalt feladatok</t>
  </si>
  <si>
    <t>önk. váll.össz.</t>
  </si>
  <si>
    <t>Mindösszesen</t>
  </si>
  <si>
    <t>Kuny Domokos Múzeum 2013. évi költségvetése (bevételek)  E Ft-ban</t>
  </si>
  <si>
    <t>Szakfeladatok</t>
  </si>
  <si>
    <t>Működési bevételből</t>
  </si>
  <si>
    <t>Mód. VIII. hó</t>
  </si>
  <si>
    <t>Egészségügyi Alapellátó Intézmény</t>
  </si>
  <si>
    <t>Önkormányzati támogatás</t>
  </si>
  <si>
    <t>Kamat</t>
  </si>
  <si>
    <t>910201-1 kötelező</t>
  </si>
  <si>
    <t>910202-1 kötelező</t>
  </si>
  <si>
    <t>910203-1 kötelező</t>
  </si>
  <si>
    <t>910204-1 kötelező</t>
  </si>
  <si>
    <t>Kötelező összesen</t>
  </si>
  <si>
    <t>Kuny Domokos Múzeum  2013. évi költségvetése (kiadások)  E Ft-ban</t>
  </si>
  <si>
    <t>Dologi és egyéb folyó kiadás</t>
  </si>
  <si>
    <t xml:space="preserve">Dologiból kamat </t>
  </si>
  <si>
    <t>Szociális Pénzbeli juttatás</t>
  </si>
  <si>
    <t>Működési célú pénzeszközátadás, és támogatása</t>
  </si>
  <si>
    <t>2013. évi beruházási kiadások feladatonként (ÁFA-val)</t>
  </si>
  <si>
    <t xml:space="preserve">E Ft-ban </t>
  </si>
  <si>
    <t>Megnevezés</t>
  </si>
  <si>
    <t>Pályázatok és azokhoz kapcsolódó feladatok</t>
  </si>
  <si>
    <t>Tatai Angolpark rehabilitációja KDOP -2.1.1/B-2f-2009-0002</t>
  </si>
  <si>
    <t>MNV Zrt. részére a Kiskastély vagyonkezelői jogával kapcsolatos óvadék fizetése (ez csak akkor, ha lesz Angolpark projekt és a Kiskastély vagyonkezelői joga az önkormányzaté)</t>
  </si>
  <si>
    <t>Öreg-tavi Ökoturisztikai Központ kialakítása a csatlakozó kerékpárutak felújításával Tatán és a tematikus aktív turisztikai fejlesztések a kistérségben KDOP–2.1.1/B–09-2010-0002</t>
  </si>
  <si>
    <t>Eötvös József Gimnázium és Magyary Zoltán Művelődési Központ korszerűsítése KEOP-2012- 5.5.0/b</t>
  </si>
  <si>
    <t>Természetes vizes élőhely kialakítása a tatai Réti 8-as tó  rehabilitációjával KEOP–7.3.1.2/09-11-2011-0023</t>
  </si>
  <si>
    <t>A tatai Kőkúti Általános Iskolában működő multifunkcionális sportpálya létrehozása</t>
  </si>
  <si>
    <t>Köztéri műalkotás a tatai Kossuth téren</t>
  </si>
  <si>
    <t>Családbarát munkahelyek kialakításának és fejlesztésének támogatására</t>
  </si>
  <si>
    <t>A Kossuth tér pályázathoz kapcsolódik (de nem része a pályázatnak) a Bláthy O. u. összekötő út építése</t>
  </si>
  <si>
    <t>Tata, Baji út és a Kertváros kerékpáros forgalmának komplex rendezése</t>
  </si>
  <si>
    <t>Tatabánya-Vértesszőlős-Tata településeket összekötő közlekedési célú kerékpárút építése az Általér mentén” KÖZOP–3.2.0/c-08-2010-0003</t>
  </si>
  <si>
    <t>Által-ér völgyi kerékpárút közvilágítása belterületi szakasz I. ütem</t>
  </si>
  <si>
    <t>Pályázatok előkészítéséhez</t>
  </si>
  <si>
    <t>Határozatokkal elfogadott feladatok</t>
  </si>
  <si>
    <t>Bajcsy Zs. u. 22. szoc. bolt kialakítása(538/2012. (XII.20.) Tata Kt. hat.)</t>
  </si>
  <si>
    <t>Újhegyi buszfordulóhoz területvásárlás (545/2012. (XII.20.) Tata Kt. határozat)</t>
  </si>
  <si>
    <t>Tata-Agostyán, Kert utca kisajátítás</t>
  </si>
  <si>
    <t>Fényes-fürdő komplex vízrendezésének és vízjogi engedélyezésének kiviteli tervek (509/2012. (XII.20.) Tata Kt. határozata alapján)</t>
  </si>
  <si>
    <t>Egyéb 2013. évi igények</t>
  </si>
  <si>
    <t>Közterület-felügyeletnek autó vásárlás</t>
  </si>
  <si>
    <t>Digitális alaptérkép III. részlet</t>
  </si>
  <si>
    <t>Polgármesteri Hivatal aula üvegfödém</t>
  </si>
  <si>
    <t>Fekete út- Arany J.u- Komáromi út Nagykert u. csapadékvíz elvezetés tervezése</t>
  </si>
  <si>
    <t>Fekete út- Arany J.u- Komáromi út Nagykert u. csapadékvíz elvezetés kivitelezés I.ütem</t>
  </si>
  <si>
    <t xml:space="preserve">Katona u.(Lop resti forrás ) vízelvezetés tervezés, kivitelezés </t>
  </si>
  <si>
    <t>Nagy L.u- Tavasz u. vízelvezetés( nyitott árok)</t>
  </si>
  <si>
    <t>Vértesszőlős szervízút</t>
  </si>
  <si>
    <t>Fényes fürdő területén fejlesztések végrehajtása (üzemeltetési szerződés alapján)</t>
  </si>
  <si>
    <t>Piarista rendház tető</t>
  </si>
  <si>
    <t>Parkoló megváltásból parkoló építés (2012-ről áthúzódó)</t>
  </si>
  <si>
    <t>Parkoló megváltásból parkoló pítés (2013. évi befizetés terhére)</t>
  </si>
  <si>
    <t>HUSK 1301/2.1.1. Megújuló energia p.</t>
  </si>
  <si>
    <t>Fiatalok lendületben program</t>
  </si>
  <si>
    <t>Meglévő engedélyes tervek engedély hosszabbítása és ahhoz kapcsoló terv felülvizsgálati  és engedélyezési díjak</t>
  </si>
  <si>
    <t>Útkorszerűsítések tervezése</t>
  </si>
  <si>
    <t>2046/18 területrész (Szomódi út melletti terület) vétele</t>
  </si>
  <si>
    <t>Barina u. közvilágítása II. ütem</t>
  </si>
  <si>
    <t>Térfigyelő kamerák felszerelése</t>
  </si>
  <si>
    <t>Várudvar lezárása</t>
  </si>
  <si>
    <t>Visszatérő forrásokkal kapcsolatos feladatok</t>
  </si>
  <si>
    <t>Számítástechnikai eszközök vásárlása</t>
  </si>
  <si>
    <t>Elektronikus adóbevallás iparűzési adóhoz program</t>
  </si>
  <si>
    <t>Nagyértékű tárgyi eszköz beszerzés</t>
  </si>
  <si>
    <t>Ingatlan vásárlás az ipari parkban</t>
  </si>
  <si>
    <t>Agostyáni u. 1-3. átalakítás</t>
  </si>
  <si>
    <t>Szemere u. - Aradi u. csapadékvíz elvezetés</t>
  </si>
  <si>
    <t>Egyéb tervezések</t>
  </si>
  <si>
    <t>Intézmények Gazdasági Hivatala és a hozzá tartozó költségvetési szervek</t>
  </si>
  <si>
    <t>Menner Bernát Zeneiskola - dobogó</t>
  </si>
  <si>
    <t>Szociális Alapellátó Intézmény - számítástechnikai eszközök</t>
  </si>
  <si>
    <t>Számítástechnikai eszközök</t>
  </si>
  <si>
    <t>2013. évi tartalékolt beruházási kiadások feladatonként (ÁFA-val)</t>
  </si>
  <si>
    <t>Ökoturisztikai tanösvény kialakítása a tatai Fényes-Fürdő területén KDOP-2.1.1/B-12-2012-0046</t>
  </si>
  <si>
    <t>Tata, Kossuth tér városközpont értékmegőrző rehabilitációja KDOP–3.1.1/A–09-1f-2010-0001</t>
  </si>
  <si>
    <t>Napelemes rendszer kiépítése - 2 pályázat KEOP-4.2.0/A</t>
  </si>
  <si>
    <t>Tata, Deák Ferenc utca önkormányzati tulajdonú belterületi út fejlesztése</t>
  </si>
  <si>
    <t>Intermodális közösségi közlekedési központ létrehozása Tatán KÖZOP–5.5.0-09-11-2011-0010</t>
  </si>
  <si>
    <t>A munka és a magánélet összehangolását segítő helyi kezdeményezések megvalósítása Tata városában TÁMOP-2.4.5-12/3-2012-0028</t>
  </si>
  <si>
    <t>A munka és a magánélet összehangolása a Tatai Polgármesteri Hivatalban TÁMOP-2.4.5-12/7-2012-0705</t>
  </si>
  <si>
    <t xml:space="preserve">Egészségre nevelő és szemléletformáló életmódprogramok a Tatai Kistérségben TÁMOP-6.1.2/11/3 </t>
  </si>
  <si>
    <t>Tata közvilágítás hálózat korszerűsítése</t>
  </si>
  <si>
    <t>Óvodafejlesztés TÁMOP-3.1.11-12/1.2</t>
  </si>
  <si>
    <t>Az Angolpark projekten belül: a Baji úti és Sport utcai útkorszerűsítés kivitelezése</t>
  </si>
  <si>
    <t>Ökoturisztikai Központ Építők parki parkolóinak kiépítése, autóbusz várakozóhely tervezése, kiépítése, közvilágítás és csapadékvíz elvezetéssel együtt</t>
  </si>
  <si>
    <t>Ingatlan vásárlás</t>
  </si>
  <si>
    <t>2013. évi felújítási kiadások célonként (ÁFA-val)</t>
  </si>
  <si>
    <t>E Ft-ban</t>
  </si>
  <si>
    <t>Rákóczi u. 9. raktár tetőfelújítása (141/2012. (IV.26.) Tata Kt. határozat</t>
  </si>
  <si>
    <t>Rákóczi u. 9. hátsó homlokzat áll.megóvása (409/2012. (X.31.) Tata Kt. hat</t>
  </si>
  <si>
    <t>Vaszary Villa állagmegóvó munkálataira (297/2010. (IX.1.) Kt. határozat)</t>
  </si>
  <si>
    <t>Kocsi u. 4. szám alatti ing bontása (459/2012. (XI.29.) Tata Kt. határozat)</t>
  </si>
  <si>
    <t>Jázmin u. 22-24. tetőjavítás 546/2012. (XII.20.) Tata Kt. határozat)</t>
  </si>
  <si>
    <t>Bacsó B. u-i lakótelep átvételét követő intézkedésekre 455/2012. (XI.29.) Tata Kt. határozat</t>
  </si>
  <si>
    <t>ÉDV Zrt-nek üzemeltetésre átadott viziközművek felújítása</t>
  </si>
  <si>
    <t>Felújításhoz kaocsolódó ÁFA visszatérülés</t>
  </si>
  <si>
    <t>- Tatai Távhő Kft. jövőbeni működésére tagi kölcsön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</si>
</sst>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  <numFmt numFmtId="177" formatCode="0.0%"/>
    <numFmt numFmtId="178" formatCode="[$-40E]yyyy\.\ mmmm\ d\."/>
    <numFmt numFmtId="179" formatCode="[$-40E]yyyy/\ mmm/\ d\.;@"/>
    <numFmt numFmtId="180" formatCode="[$-F800]dddd\,\ mmmm\ dd\,\ yyyy"/>
    <numFmt numFmtId="181" formatCode="#,##0.0000000"/>
    <numFmt numFmtId="182" formatCode="#,##0.000000"/>
    <numFmt numFmtId="183" formatCode="#,##0;\-#,##0"/>
    <numFmt numFmtId="184" formatCode="dddd&quot;, &quot;mmmm\ dd&quot;, &quot;yyyy"/>
    <numFmt numFmtId="185" formatCode="_-* #,##0.00\ _F_t_-;\-* #,##0.00\ _F_t_-;_-* \-??\ _F_t_-;_-@_-"/>
    <numFmt numFmtId="186" formatCode="&quot;H-&quot;0000"/>
    <numFmt numFmtId="187" formatCode="#,##0.00\ [$EUR]"/>
    <numFmt numFmtId="188" formatCode="_-* #,##0.0\ _F_t_-;\-* #,##0.0\ _F_t_-;_-* &quot;-&quot;??\ _F_t_-;_-@_-"/>
    <numFmt numFmtId="189" formatCode="_-* #,##0.000\ _F_t_-;\-* #,##0.000\ _F_t_-;_-* &quot;-&quot;??\ _F_t_-;_-@_-"/>
    <numFmt numFmtId="190" formatCode="_-* #,##0\ _F_t_-;\-* #,##0\ _F_t_-;_-* &quot;-&quot;??\ _F_t_-;_-@_-"/>
    <numFmt numFmtId="191" formatCode="#,##0_ ;[Red]\-#,##0\ "/>
    <numFmt numFmtId="192" formatCode="0.0000"/>
    <numFmt numFmtId="193" formatCode="0.00000"/>
    <numFmt numFmtId="194" formatCode="0.0000000"/>
    <numFmt numFmtId="195" formatCode="0.000000"/>
    <numFmt numFmtId="196" formatCode="0.00000000"/>
    <numFmt numFmtId="197" formatCode="0.000000000"/>
    <numFmt numFmtId="198" formatCode="#,##0&quot; Ft&quot;"/>
    <numFmt numFmtId="199" formatCode="yyyy\-mm\-dd"/>
    <numFmt numFmtId="200" formatCode="yyyy/\ mmmm\ d\."/>
    <numFmt numFmtId="201" formatCode="yyyy/\ mmm/\ d\."/>
    <numFmt numFmtId="202" formatCode="yy/\ mmmm\ d\."/>
  </numFmts>
  <fonts count="6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0"/>
    </font>
    <font>
      <b/>
      <sz val="10"/>
      <name val="Arial CE"/>
      <family val="0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MS Sans Serif"/>
      <family val="0"/>
    </font>
    <font>
      <sz val="10"/>
      <name val="Arial"/>
      <family val="0"/>
    </font>
    <font>
      <i/>
      <sz val="11"/>
      <name val="Times New Roman CE"/>
      <family val="0"/>
    </font>
    <font>
      <i/>
      <sz val="12"/>
      <name val="Times New Roman"/>
      <family val="1"/>
    </font>
    <font>
      <b/>
      <u val="single"/>
      <sz val="11"/>
      <name val="Times New Roman CE"/>
      <family val="0"/>
    </font>
    <font>
      <sz val="12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 CE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 CE"/>
      <family val="0"/>
    </font>
    <font>
      <b/>
      <u val="double"/>
      <sz val="10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sz val="12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b/>
      <sz val="9"/>
      <color indexed="8"/>
      <name val="Times New Roman"/>
      <family val="1"/>
    </font>
    <font>
      <sz val="11"/>
      <name val="Arial CE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3" fillId="9" borderId="0" applyNumberFormat="0" applyBorder="0" applyAlignment="0" applyProtection="0"/>
    <xf numFmtId="0" fontId="4" fillId="7" borderId="1" applyNumberFormat="0" applyAlignment="0" applyProtection="0"/>
    <xf numFmtId="0" fontId="5" fillId="34" borderId="1" applyNumberFormat="0" applyAlignment="0" applyProtection="0"/>
    <xf numFmtId="0" fontId="6" fillId="35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36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13" borderId="1" applyNumberFormat="0" applyAlignment="0" applyProtection="0"/>
    <xf numFmtId="0" fontId="0" fillId="37" borderId="10" applyNumberFormat="0" applyFon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41" borderId="0" applyNumberFormat="0" applyBorder="0" applyAlignment="0" applyProtection="0"/>
    <xf numFmtId="0" fontId="13" fillId="4" borderId="0" applyNumberFormat="0" applyBorder="0" applyAlignment="0" applyProtection="0"/>
    <xf numFmtId="0" fontId="16" fillId="42" borderId="11" applyNumberFormat="0" applyAlignment="0" applyProtection="0"/>
    <xf numFmtId="0" fontId="1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44" borderId="10" applyNumberFormat="0" applyAlignment="0" applyProtection="0"/>
    <xf numFmtId="0" fontId="16" fillId="34" borderId="11" applyNumberFormat="0" applyAlignment="0" applyProtection="0"/>
    <xf numFmtId="0" fontId="1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18" fillId="45" borderId="0" applyNumberFormat="0" applyBorder="0" applyAlignment="0" applyProtection="0"/>
    <xf numFmtId="0" fontId="5" fillId="42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2" fillId="0" borderId="0" applyNumberFormat="0" applyFill="0" applyBorder="0" applyAlignment="0" applyProtection="0"/>
  </cellStyleXfs>
  <cellXfs count="1367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3" xfId="0" applyFont="1" applyBorder="1" applyAlignment="1">
      <alignment/>
    </xf>
    <xf numFmtId="3" fontId="26" fillId="0" borderId="14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0" fontId="22" fillId="0" borderId="13" xfId="0" applyFont="1" applyBorder="1" applyAlignment="1">
      <alignment/>
    </xf>
    <xf numFmtId="3" fontId="22" fillId="0" borderId="14" xfId="0" applyNumberFormat="1" applyFont="1" applyBorder="1" applyAlignment="1">
      <alignment/>
    </xf>
    <xf numFmtId="0" fontId="27" fillId="0" borderId="0" xfId="0" applyFont="1" applyAlignment="1">
      <alignment/>
    </xf>
    <xf numFmtId="3" fontId="24" fillId="0" borderId="14" xfId="0" applyNumberFormat="1" applyFont="1" applyBorder="1" applyAlignment="1">
      <alignment/>
    </xf>
    <xf numFmtId="0" fontId="22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13" xfId="0" applyFont="1" applyBorder="1" applyAlignment="1">
      <alignment vertical="top" wrapText="1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Alignment="1">
      <alignment/>
    </xf>
    <xf numFmtId="0" fontId="26" fillId="0" borderId="13" xfId="0" applyFont="1" applyBorder="1" applyAlignment="1">
      <alignment/>
    </xf>
    <xf numFmtId="3" fontId="24" fillId="0" borderId="0" xfId="0" applyNumberFormat="1" applyFont="1" applyAlignment="1">
      <alignment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Continuous"/>
    </xf>
    <xf numFmtId="0" fontId="22" fillId="0" borderId="19" xfId="0" applyFont="1" applyBorder="1" applyAlignment="1">
      <alignment horizontal="centerContinuous"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3" fontId="22" fillId="0" borderId="23" xfId="0" applyNumberFormat="1" applyFont="1" applyBorder="1" applyAlignment="1">
      <alignment/>
    </xf>
    <xf numFmtId="0" fontId="22" fillId="0" borderId="21" xfId="0" applyFont="1" applyBorder="1" applyAlignment="1">
      <alignment/>
    </xf>
    <xf numFmtId="0" fontId="24" fillId="0" borderId="22" xfId="0" applyFont="1" applyBorder="1" applyAlignment="1">
      <alignment/>
    </xf>
    <xf numFmtId="3" fontId="22" fillId="0" borderId="23" xfId="0" applyNumberFormat="1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/>
    </xf>
    <xf numFmtId="3" fontId="22" fillId="0" borderId="14" xfId="0" applyNumberFormat="1" applyFont="1" applyBorder="1" applyAlignment="1">
      <alignment/>
    </xf>
    <xf numFmtId="0" fontId="22" fillId="0" borderId="15" xfId="0" applyFont="1" applyBorder="1" applyAlignment="1">
      <alignment/>
    </xf>
    <xf numFmtId="3" fontId="22" fillId="0" borderId="14" xfId="0" applyNumberFormat="1" applyFont="1" applyBorder="1" applyAlignment="1">
      <alignment/>
    </xf>
    <xf numFmtId="49" fontId="24" fillId="0" borderId="13" xfId="0" applyNumberFormat="1" applyFont="1" applyBorder="1" applyAlignment="1">
      <alignment/>
    </xf>
    <xf numFmtId="49" fontId="24" fillId="0" borderId="15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 wrapText="1"/>
    </xf>
    <xf numFmtId="0" fontId="24" fillId="0" borderId="15" xfId="0" applyFont="1" applyBorder="1" applyAlignment="1">
      <alignment/>
    </xf>
    <xf numFmtId="3" fontId="22" fillId="0" borderId="14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4" fillId="0" borderId="13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2" fillId="0" borderId="13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5" xfId="0" applyFont="1" applyBorder="1" applyAlignment="1">
      <alignment/>
    </xf>
    <xf numFmtId="49" fontId="24" fillId="0" borderId="15" xfId="0" applyNumberFormat="1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wrapText="1"/>
    </xf>
    <xf numFmtId="49" fontId="30" fillId="0" borderId="13" xfId="0" applyNumberFormat="1" applyFont="1" applyBorder="1" applyAlignment="1">
      <alignment/>
    </xf>
    <xf numFmtId="0" fontId="29" fillId="0" borderId="15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5" xfId="0" applyFont="1" applyBorder="1" applyAlignment="1">
      <alignment/>
    </xf>
    <xf numFmtId="3" fontId="30" fillId="0" borderId="14" xfId="0" applyNumberFormat="1" applyFont="1" applyBorder="1" applyAlignment="1">
      <alignment/>
    </xf>
    <xf numFmtId="0" fontId="20" fillId="0" borderId="13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6" fillId="0" borderId="15" xfId="0" applyFont="1" applyBorder="1" applyAlignment="1">
      <alignment/>
    </xf>
    <xf numFmtId="49" fontId="24" fillId="0" borderId="13" xfId="0" applyNumberFormat="1" applyFont="1" applyBorder="1" applyAlignment="1">
      <alignment horizontal="left" wrapText="1"/>
    </xf>
    <xf numFmtId="49" fontId="24" fillId="0" borderId="15" xfId="0" applyNumberFormat="1" applyFont="1" applyBorder="1" applyAlignment="1">
      <alignment horizontal="left" wrapText="1"/>
    </xf>
    <xf numFmtId="3" fontId="22" fillId="0" borderId="15" xfId="0" applyNumberFormat="1" applyFont="1" applyBorder="1" applyAlignment="1">
      <alignment/>
    </xf>
    <xf numFmtId="0" fontId="22" fillId="0" borderId="24" xfId="0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0" fontId="24" fillId="0" borderId="25" xfId="0" applyFont="1" applyBorder="1" applyAlignment="1">
      <alignment/>
    </xf>
    <xf numFmtId="3" fontId="22" fillId="0" borderId="2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4" fillId="0" borderId="0" xfId="98" applyFont="1">
      <alignment/>
      <protection/>
    </xf>
    <xf numFmtId="0" fontId="22" fillId="0" borderId="0" xfId="98" applyFont="1">
      <alignment/>
      <protection/>
    </xf>
    <xf numFmtId="0" fontId="21" fillId="0" borderId="0" xfId="98" applyFont="1">
      <alignment/>
      <protection/>
    </xf>
    <xf numFmtId="0" fontId="20" fillId="0" borderId="26" xfId="98" applyFont="1" applyBorder="1" applyAlignment="1">
      <alignment horizontal="center"/>
      <protection/>
    </xf>
    <xf numFmtId="0" fontId="20" fillId="0" borderId="17" xfId="98" applyFont="1" applyBorder="1" applyAlignment="1">
      <alignment horizontal="center"/>
      <protection/>
    </xf>
    <xf numFmtId="0" fontId="20" fillId="0" borderId="27" xfId="98" applyFont="1" applyBorder="1" applyAlignment="1">
      <alignment horizontal="center"/>
      <protection/>
    </xf>
    <xf numFmtId="0" fontId="21" fillId="0" borderId="28" xfId="98" applyFont="1" applyBorder="1">
      <alignment/>
      <protection/>
    </xf>
    <xf numFmtId="3" fontId="21" fillId="0" borderId="29" xfId="98" applyNumberFormat="1" applyFont="1" applyBorder="1">
      <alignment/>
      <protection/>
    </xf>
    <xf numFmtId="0" fontId="21" fillId="0" borderId="30" xfId="98" applyFont="1" applyBorder="1">
      <alignment/>
      <protection/>
    </xf>
    <xf numFmtId="3" fontId="21" fillId="0" borderId="31" xfId="98" applyNumberFormat="1" applyFont="1" applyBorder="1">
      <alignment/>
      <protection/>
    </xf>
    <xf numFmtId="3" fontId="21" fillId="0" borderId="32" xfId="98" applyNumberFormat="1" applyFont="1" applyBorder="1">
      <alignment/>
      <protection/>
    </xf>
    <xf numFmtId="3" fontId="21" fillId="0" borderId="33" xfId="98" applyNumberFormat="1" applyFont="1" applyBorder="1">
      <alignment/>
      <protection/>
    </xf>
    <xf numFmtId="0" fontId="21" fillId="0" borderId="34" xfId="98" applyFont="1" applyBorder="1">
      <alignment/>
      <protection/>
    </xf>
    <xf numFmtId="3" fontId="21" fillId="0" borderId="35" xfId="98" applyNumberFormat="1" applyFont="1" applyBorder="1">
      <alignment/>
      <protection/>
    </xf>
    <xf numFmtId="0" fontId="33" fillId="0" borderId="34" xfId="98" applyFont="1" applyBorder="1">
      <alignment/>
      <protection/>
    </xf>
    <xf numFmtId="3" fontId="33" fillId="0" borderId="33" xfId="98" applyNumberFormat="1" applyFont="1" applyBorder="1">
      <alignment/>
      <protection/>
    </xf>
    <xf numFmtId="3" fontId="34" fillId="0" borderId="33" xfId="100" applyNumberFormat="1" applyFont="1" applyBorder="1">
      <alignment/>
      <protection/>
    </xf>
    <xf numFmtId="0" fontId="21" fillId="0" borderId="34" xfId="98" applyFont="1" applyBorder="1" applyAlignment="1">
      <alignment wrapText="1"/>
      <protection/>
    </xf>
    <xf numFmtId="3" fontId="21" fillId="0" borderId="33" xfId="98" applyNumberFormat="1" applyFont="1" applyBorder="1">
      <alignment/>
      <protection/>
    </xf>
    <xf numFmtId="3" fontId="33" fillId="0" borderId="36" xfId="98" applyNumberFormat="1" applyFont="1" applyBorder="1">
      <alignment/>
      <protection/>
    </xf>
    <xf numFmtId="0" fontId="21" fillId="0" borderId="37" xfId="98" applyFont="1" applyBorder="1">
      <alignment/>
      <protection/>
    </xf>
    <xf numFmtId="3" fontId="33" fillId="0" borderId="38" xfId="98" applyNumberFormat="1" applyFont="1" applyBorder="1">
      <alignment/>
      <protection/>
    </xf>
    <xf numFmtId="0" fontId="20" fillId="0" borderId="39" xfId="98" applyFont="1" applyBorder="1">
      <alignment/>
      <protection/>
    </xf>
    <xf numFmtId="3" fontId="20" fillId="0" borderId="40" xfId="98" applyNumberFormat="1" applyFont="1" applyBorder="1">
      <alignment/>
      <protection/>
    </xf>
    <xf numFmtId="0" fontId="24" fillId="0" borderId="0" xfId="98" applyFont="1" applyBorder="1">
      <alignment/>
      <protection/>
    </xf>
    <xf numFmtId="0" fontId="24" fillId="0" borderId="41" xfId="98" applyFont="1" applyBorder="1">
      <alignment/>
      <protection/>
    </xf>
    <xf numFmtId="0" fontId="20" fillId="0" borderId="28" xfId="98" applyFont="1" applyBorder="1">
      <alignment/>
      <protection/>
    </xf>
    <xf numFmtId="3" fontId="20" fillId="0" borderId="29" xfId="98" applyNumberFormat="1" applyFont="1" applyBorder="1">
      <alignment/>
      <protection/>
    </xf>
    <xf numFmtId="0" fontId="20" fillId="0" borderId="34" xfId="98" applyFont="1" applyBorder="1">
      <alignment/>
      <protection/>
    </xf>
    <xf numFmtId="3" fontId="20" fillId="0" borderId="33" xfId="98" applyNumberFormat="1" applyFont="1" applyBorder="1">
      <alignment/>
      <protection/>
    </xf>
    <xf numFmtId="0" fontId="20" fillId="0" borderId="39" xfId="0" applyFont="1" applyBorder="1" applyAlignment="1">
      <alignment/>
    </xf>
    <xf numFmtId="3" fontId="20" fillId="0" borderId="40" xfId="0" applyNumberFormat="1" applyFont="1" applyBorder="1" applyAlignment="1">
      <alignment/>
    </xf>
    <xf numFmtId="3" fontId="20" fillId="0" borderId="40" xfId="98" applyNumberFormat="1" applyFont="1" applyBorder="1">
      <alignment/>
      <protection/>
    </xf>
    <xf numFmtId="0" fontId="21" fillId="0" borderId="0" xfId="98" applyFont="1" applyBorder="1">
      <alignment/>
      <protection/>
    </xf>
    <xf numFmtId="0" fontId="20" fillId="0" borderId="0" xfId="98" applyFont="1" applyAlignment="1" quotePrefix="1">
      <alignment horizontal="center"/>
      <protection/>
    </xf>
    <xf numFmtId="0" fontId="20" fillId="0" borderId="38" xfId="98" applyFont="1" applyBorder="1" applyAlignment="1">
      <alignment horizontal="centerContinuous"/>
      <protection/>
    </xf>
    <xf numFmtId="0" fontId="20" fillId="0" borderId="42" xfId="98" applyFont="1" applyBorder="1" applyAlignment="1">
      <alignment horizontal="centerContinuous"/>
      <protection/>
    </xf>
    <xf numFmtId="0" fontId="21" fillId="0" borderId="34" xfId="98" applyFont="1" applyBorder="1" applyAlignment="1">
      <alignment horizontal="left"/>
      <protection/>
    </xf>
    <xf numFmtId="0" fontId="33" fillId="0" borderId="34" xfId="98" applyFont="1" applyBorder="1">
      <alignment/>
      <protection/>
    </xf>
    <xf numFmtId="3" fontId="33" fillId="0" borderId="33" xfId="98" applyNumberFormat="1" applyFont="1" applyBorder="1">
      <alignment/>
      <protection/>
    </xf>
    <xf numFmtId="3" fontId="33" fillId="0" borderId="35" xfId="98" applyNumberFormat="1" applyFont="1" applyBorder="1">
      <alignment/>
      <protection/>
    </xf>
    <xf numFmtId="0" fontId="21" fillId="0" borderId="34" xfId="98" applyFont="1" applyBorder="1">
      <alignment/>
      <protection/>
    </xf>
    <xf numFmtId="0" fontId="24" fillId="0" borderId="0" xfId="98" applyFont="1">
      <alignment/>
      <protection/>
    </xf>
    <xf numFmtId="0" fontId="21" fillId="0" borderId="43" xfId="98" applyFont="1" applyBorder="1">
      <alignment/>
      <protection/>
    </xf>
    <xf numFmtId="3" fontId="21" fillId="0" borderId="36" xfId="98" applyNumberFormat="1" applyFont="1" applyBorder="1">
      <alignment/>
      <protection/>
    </xf>
    <xf numFmtId="0" fontId="21" fillId="0" borderId="43" xfId="98" applyFont="1" applyBorder="1">
      <alignment/>
      <protection/>
    </xf>
    <xf numFmtId="0" fontId="33" fillId="0" borderId="43" xfId="98" applyFont="1" applyBorder="1">
      <alignment/>
      <protection/>
    </xf>
    <xf numFmtId="0" fontId="20" fillId="0" borderId="39" xfId="98" applyFont="1" applyBorder="1">
      <alignment/>
      <protection/>
    </xf>
    <xf numFmtId="0" fontId="20" fillId="0" borderId="30" xfId="98" applyFont="1" applyBorder="1">
      <alignment/>
      <protection/>
    </xf>
    <xf numFmtId="3" fontId="20" fillId="0" borderId="31" xfId="98" applyNumberFormat="1" applyFont="1" applyBorder="1">
      <alignment/>
      <protection/>
    </xf>
    <xf numFmtId="0" fontId="22" fillId="0" borderId="30" xfId="98" applyFont="1" applyBorder="1">
      <alignment/>
      <protection/>
    </xf>
    <xf numFmtId="0" fontId="22" fillId="0" borderId="31" xfId="98" applyFont="1" applyBorder="1">
      <alignment/>
      <protection/>
    </xf>
    <xf numFmtId="0" fontId="20" fillId="0" borderId="34" xfId="98" applyFont="1" applyBorder="1">
      <alignment/>
      <protection/>
    </xf>
    <xf numFmtId="0" fontId="21" fillId="0" borderId="34" xfId="98" applyFont="1" applyBorder="1" applyAlignment="1">
      <alignment wrapText="1"/>
      <protection/>
    </xf>
    <xf numFmtId="3" fontId="20" fillId="0" borderId="33" xfId="98" applyNumberFormat="1" applyFont="1" applyBorder="1">
      <alignment/>
      <protection/>
    </xf>
    <xf numFmtId="0" fontId="20" fillId="0" borderId="43" xfId="98" applyFont="1" applyBorder="1" applyAlignment="1">
      <alignment wrapText="1"/>
      <protection/>
    </xf>
    <xf numFmtId="3" fontId="20" fillId="0" borderId="36" xfId="98" applyNumberFormat="1" applyFont="1" applyBorder="1">
      <alignment/>
      <protection/>
    </xf>
    <xf numFmtId="0" fontId="20" fillId="0" borderId="34" xfId="98" applyFont="1" applyBorder="1" applyAlignment="1">
      <alignment wrapText="1"/>
      <protection/>
    </xf>
    <xf numFmtId="0" fontId="20" fillId="0" borderId="42" xfId="98" applyFont="1" applyBorder="1">
      <alignment/>
      <protection/>
    </xf>
    <xf numFmtId="3" fontId="20" fillId="0" borderId="38" xfId="98" applyNumberFormat="1" applyFont="1" applyBorder="1">
      <alignment/>
      <protection/>
    </xf>
    <xf numFmtId="0" fontId="20" fillId="0" borderId="0" xfId="98" applyFont="1" applyBorder="1">
      <alignment/>
      <protection/>
    </xf>
    <xf numFmtId="3" fontId="20" fillId="0" borderId="0" xfId="98" applyNumberFormat="1" applyFont="1" applyBorder="1">
      <alignment/>
      <protection/>
    </xf>
    <xf numFmtId="0" fontId="35" fillId="0" borderId="0" xfId="98" applyFont="1">
      <alignment/>
      <protection/>
    </xf>
    <xf numFmtId="3" fontId="35" fillId="0" borderId="0" xfId="98" applyNumberFormat="1" applyFont="1" applyAlignment="1">
      <alignment/>
      <protection/>
    </xf>
    <xf numFmtId="3" fontId="35" fillId="0" borderId="0" xfId="98" applyNumberFormat="1" applyFont="1">
      <alignment/>
      <protection/>
    </xf>
    <xf numFmtId="0" fontId="36" fillId="0" borderId="0" xfId="96" applyFont="1" applyFill="1" applyBorder="1" applyAlignment="1">
      <alignment horizontal="center" vertical="center"/>
      <protection/>
    </xf>
    <xf numFmtId="0" fontId="23" fillId="0" borderId="15" xfId="96" applyFont="1" applyBorder="1" applyAlignment="1">
      <alignment horizontal="left" vertical="center" wrapText="1"/>
      <protection/>
    </xf>
    <xf numFmtId="0" fontId="23" fillId="0" borderId="15" xfId="96" applyFont="1" applyBorder="1" applyAlignment="1">
      <alignment vertical="center" wrapText="1"/>
      <protection/>
    </xf>
    <xf numFmtId="0" fontId="40" fillId="0" borderId="0" xfId="97" applyFont="1" applyFill="1" applyBorder="1" applyAlignment="1">
      <alignment horizontal="center" vertical="center"/>
      <protection/>
    </xf>
    <xf numFmtId="0" fontId="37" fillId="0" borderId="44" xfId="97" applyFont="1" applyFill="1" applyBorder="1" applyAlignment="1">
      <alignment horizontal="center" vertical="center" wrapText="1"/>
      <protection/>
    </xf>
    <xf numFmtId="0" fontId="37" fillId="0" borderId="45" xfId="97" applyFont="1" applyFill="1" applyBorder="1" applyAlignment="1">
      <alignment horizontal="center" vertical="center"/>
      <protection/>
    </xf>
    <xf numFmtId="0" fontId="32" fillId="0" borderId="0" xfId="94">
      <alignment/>
      <protection/>
    </xf>
    <xf numFmtId="3" fontId="32" fillId="0" borderId="0" xfId="94" applyNumberFormat="1">
      <alignment/>
      <protection/>
    </xf>
    <xf numFmtId="0" fontId="23" fillId="0" borderId="16" xfId="94" applyFont="1" applyBorder="1">
      <alignment/>
      <protection/>
    </xf>
    <xf numFmtId="3" fontId="23" fillId="0" borderId="46" xfId="94" applyNumberFormat="1" applyFont="1" applyBorder="1" applyAlignment="1">
      <alignment horizontal="center"/>
      <protection/>
    </xf>
    <xf numFmtId="0" fontId="39" fillId="0" borderId="0" xfId="94" applyFont="1">
      <alignment/>
      <protection/>
    </xf>
    <xf numFmtId="0" fontId="38" fillId="0" borderId="13" xfId="94" applyFont="1" applyBorder="1">
      <alignment/>
      <protection/>
    </xf>
    <xf numFmtId="3" fontId="38" fillId="0" borderId="15" xfId="94" applyNumberFormat="1" applyFont="1" applyBorder="1">
      <alignment/>
      <protection/>
    </xf>
    <xf numFmtId="0" fontId="23" fillId="0" borderId="13" xfId="94" applyFont="1" applyBorder="1">
      <alignment/>
      <protection/>
    </xf>
    <xf numFmtId="3" fontId="23" fillId="0" borderId="15" xfId="94" applyNumberFormat="1" applyFont="1" applyBorder="1">
      <alignment/>
      <protection/>
    </xf>
    <xf numFmtId="0" fontId="32" fillId="0" borderId="0" xfId="94" applyFont="1">
      <alignment/>
      <protection/>
    </xf>
    <xf numFmtId="0" fontId="38" fillId="0" borderId="13" xfId="94" applyFont="1" applyBorder="1" applyAlignment="1">
      <alignment wrapText="1"/>
      <protection/>
    </xf>
    <xf numFmtId="0" fontId="32" fillId="0" borderId="0" xfId="94" applyFont="1">
      <alignment/>
      <protection/>
    </xf>
    <xf numFmtId="0" fontId="43" fillId="0" borderId="24" xfId="94" applyFont="1" applyBorder="1">
      <alignment/>
      <protection/>
    </xf>
    <xf numFmtId="0" fontId="44" fillId="0" borderId="0" xfId="94" applyFont="1">
      <alignment/>
      <protection/>
    </xf>
    <xf numFmtId="3" fontId="32" fillId="0" borderId="0" xfId="94" applyNumberFormat="1" applyAlignment="1">
      <alignment horizontal="left"/>
      <protection/>
    </xf>
    <xf numFmtId="3" fontId="38" fillId="0" borderId="13" xfId="94" applyNumberFormat="1" applyFont="1" applyBorder="1" applyAlignment="1">
      <alignment horizontal="left"/>
      <protection/>
    </xf>
    <xf numFmtId="0" fontId="38" fillId="0" borderId="0" xfId="94" applyFont="1">
      <alignment/>
      <protection/>
    </xf>
    <xf numFmtId="3" fontId="23" fillId="0" borderId="13" xfId="94" applyNumberFormat="1" applyFont="1" applyBorder="1" applyAlignment="1">
      <alignment horizontal="left"/>
      <protection/>
    </xf>
    <xf numFmtId="3" fontId="38" fillId="0" borderId="0" xfId="94" applyNumberFormat="1" applyFont="1">
      <alignment/>
      <protection/>
    </xf>
    <xf numFmtId="0" fontId="38" fillId="0" borderId="0" xfId="94" applyFont="1">
      <alignment/>
      <protection/>
    </xf>
    <xf numFmtId="0" fontId="39" fillId="0" borderId="0" xfId="94" applyFont="1">
      <alignment/>
      <protection/>
    </xf>
    <xf numFmtId="0" fontId="32" fillId="0" borderId="13" xfId="94" applyBorder="1">
      <alignment/>
      <protection/>
    </xf>
    <xf numFmtId="3" fontId="32" fillId="0" borderId="15" xfId="94" applyNumberFormat="1" applyBorder="1">
      <alignment/>
      <protection/>
    </xf>
    <xf numFmtId="3" fontId="24" fillId="0" borderId="15" xfId="0" applyNumberFormat="1" applyFont="1" applyBorder="1" applyAlignment="1">
      <alignment horizontal="right" vertical="center"/>
    </xf>
    <xf numFmtId="3" fontId="24" fillId="0" borderId="15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3" fontId="25" fillId="0" borderId="15" xfId="0" applyNumberFormat="1" applyFont="1" applyBorder="1" applyAlignment="1">
      <alignment horizontal="right"/>
    </xf>
    <xf numFmtId="0" fontId="22" fillId="0" borderId="46" xfId="0" applyFont="1" applyBorder="1" applyAlignment="1">
      <alignment horizontal="center" vertical="center"/>
    </xf>
    <xf numFmtId="3" fontId="22" fillId="0" borderId="46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2" fillId="0" borderId="24" xfId="0" applyFont="1" applyBorder="1" applyAlignment="1">
      <alignment vertical="top" wrapText="1"/>
    </xf>
    <xf numFmtId="3" fontId="22" fillId="0" borderId="25" xfId="0" applyNumberFormat="1" applyFont="1" applyBorder="1" applyAlignment="1">
      <alignment horizontal="right"/>
    </xf>
    <xf numFmtId="0" fontId="30" fillId="0" borderId="0" xfId="94" applyFont="1" applyBorder="1" applyAlignment="1">
      <alignment horizontal="center"/>
      <protection/>
    </xf>
    <xf numFmtId="0" fontId="24" fillId="0" borderId="0" xfId="94" applyFont="1">
      <alignment/>
      <protection/>
    </xf>
    <xf numFmtId="0" fontId="22" fillId="0" borderId="16" xfId="94" applyFont="1" applyBorder="1" applyAlignment="1">
      <alignment vertical="top" wrapText="1"/>
      <protection/>
    </xf>
    <xf numFmtId="0" fontId="22" fillId="0" borderId="46" xfId="94" applyFont="1" applyBorder="1" applyAlignment="1">
      <alignment horizontal="center"/>
      <protection/>
    </xf>
    <xf numFmtId="0" fontId="45" fillId="0" borderId="13" xfId="94" applyFont="1" applyBorder="1">
      <alignment/>
      <protection/>
    </xf>
    <xf numFmtId="3" fontId="45" fillId="0" borderId="15" xfId="94" applyNumberFormat="1" applyFont="1" applyBorder="1">
      <alignment/>
      <protection/>
    </xf>
    <xf numFmtId="0" fontId="46" fillId="0" borderId="0" xfId="94" applyFont="1">
      <alignment/>
      <protection/>
    </xf>
    <xf numFmtId="0" fontId="23" fillId="0" borderId="13" xfId="94" applyFont="1" applyBorder="1" applyAlignment="1">
      <alignment vertical="top" wrapText="1"/>
      <protection/>
    </xf>
    <xf numFmtId="0" fontId="23" fillId="0" borderId="15" xfId="94" applyFont="1" applyBorder="1" applyAlignment="1">
      <alignment horizontal="center"/>
      <protection/>
    </xf>
    <xf numFmtId="0" fontId="23" fillId="0" borderId="24" xfId="94" applyFont="1" applyBorder="1">
      <alignment/>
      <protection/>
    </xf>
    <xf numFmtId="3" fontId="23" fillId="0" borderId="25" xfId="94" applyNumberFormat="1" applyFont="1" applyBorder="1">
      <alignment/>
      <protection/>
    </xf>
    <xf numFmtId="0" fontId="23" fillId="0" borderId="21" xfId="94" applyFont="1" applyBorder="1">
      <alignment/>
      <protection/>
    </xf>
    <xf numFmtId="0" fontId="22" fillId="0" borderId="22" xfId="94" applyFont="1" applyBorder="1" applyAlignment="1">
      <alignment horizontal="center"/>
      <protection/>
    </xf>
    <xf numFmtId="0" fontId="38" fillId="0" borderId="47" xfId="94" applyFont="1" applyBorder="1">
      <alignment/>
      <protection/>
    </xf>
    <xf numFmtId="3" fontId="38" fillId="0" borderId="48" xfId="94" applyNumberFormat="1" applyFont="1" applyBorder="1">
      <alignment/>
      <protection/>
    </xf>
    <xf numFmtId="0" fontId="45" fillId="0" borderId="24" xfId="94" applyFont="1" applyBorder="1">
      <alignment/>
      <protection/>
    </xf>
    <xf numFmtId="3" fontId="45" fillId="0" borderId="25" xfId="94" applyNumberFormat="1" applyFont="1" applyBorder="1">
      <alignment/>
      <protection/>
    </xf>
    <xf numFmtId="0" fontId="46" fillId="0" borderId="0" xfId="94" applyFont="1">
      <alignment/>
      <protection/>
    </xf>
    <xf numFmtId="0" fontId="22" fillId="0" borderId="15" xfId="94" applyFont="1" applyBorder="1" applyAlignment="1">
      <alignment horizontal="center"/>
      <protection/>
    </xf>
    <xf numFmtId="3" fontId="39" fillId="0" borderId="0" xfId="94" applyNumberFormat="1" applyFont="1" applyAlignment="1">
      <alignment horizontal="left"/>
      <protection/>
    </xf>
    <xf numFmtId="3" fontId="44" fillId="0" borderId="0" xfId="94" applyNumberFormat="1" applyFont="1" applyAlignment="1">
      <alignment horizontal="left"/>
      <protection/>
    </xf>
    <xf numFmtId="0" fontId="22" fillId="0" borderId="0" xfId="94" applyFont="1">
      <alignment/>
      <protection/>
    </xf>
    <xf numFmtId="0" fontId="22" fillId="0" borderId="0" xfId="94" applyFont="1" applyBorder="1" applyAlignment="1">
      <alignment horizontal="center"/>
      <protection/>
    </xf>
    <xf numFmtId="0" fontId="32" fillId="0" borderId="0" xfId="94" applyFont="1" applyAlignment="1">
      <alignment/>
      <protection/>
    </xf>
    <xf numFmtId="0" fontId="23" fillId="0" borderId="16" xfId="94" applyFont="1" applyBorder="1" applyAlignment="1">
      <alignment horizontal="left"/>
      <protection/>
    </xf>
    <xf numFmtId="0" fontId="23" fillId="0" borderId="46" xfId="94" applyFont="1" applyBorder="1" applyAlignment="1">
      <alignment horizontal="center"/>
      <protection/>
    </xf>
    <xf numFmtId="0" fontId="23" fillId="0" borderId="13" xfId="94" applyFont="1" applyBorder="1" applyAlignment="1">
      <alignment horizontal="left"/>
      <protection/>
    </xf>
    <xf numFmtId="3" fontId="32" fillId="0" borderId="13" xfId="94" applyNumberFormat="1" applyBorder="1" applyAlignment="1">
      <alignment horizontal="left"/>
      <protection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/>
    </xf>
    <xf numFmtId="0" fontId="38" fillId="0" borderId="21" xfId="0" applyFont="1" applyBorder="1" applyAlignment="1">
      <alignment horizontal="justify" vertical="top" wrapText="1"/>
    </xf>
    <xf numFmtId="2" fontId="38" fillId="0" borderId="23" xfId="0" applyNumberFormat="1" applyFont="1" applyBorder="1" applyAlignment="1">
      <alignment horizontal="center" vertical="top" wrapText="1"/>
    </xf>
    <xf numFmtId="0" fontId="38" fillId="0" borderId="35" xfId="0" applyFont="1" applyBorder="1" applyAlignment="1">
      <alignment/>
    </xf>
    <xf numFmtId="0" fontId="38" fillId="0" borderId="13" xfId="0" applyFont="1" applyBorder="1" applyAlignment="1">
      <alignment horizontal="justify" vertical="top" wrapText="1"/>
    </xf>
    <xf numFmtId="2" fontId="38" fillId="0" borderId="14" xfId="0" applyNumberFormat="1" applyFont="1" applyBorder="1" applyAlignment="1">
      <alignment horizontal="center" vertical="top" wrapText="1"/>
    </xf>
    <xf numFmtId="0" fontId="38" fillId="0" borderId="21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justify" vertical="top" wrapText="1"/>
    </xf>
    <xf numFmtId="2" fontId="45" fillId="0" borderId="23" xfId="0" applyNumberFormat="1" applyFont="1" applyBorder="1" applyAlignment="1">
      <alignment horizontal="center" vertical="top" wrapText="1"/>
    </xf>
    <xf numFmtId="2" fontId="38" fillId="0" borderId="51" xfId="0" applyNumberFormat="1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50" fillId="0" borderId="0" xfId="0" applyFont="1" applyAlignment="1">
      <alignment horizontal="justify"/>
    </xf>
    <xf numFmtId="165" fontId="38" fillId="0" borderId="0" xfId="0" applyNumberFormat="1" applyFont="1" applyAlignment="1">
      <alignment/>
    </xf>
    <xf numFmtId="0" fontId="36" fillId="0" borderId="0" xfId="0" applyFont="1" applyAlignment="1">
      <alignment horizontal="justify"/>
    </xf>
    <xf numFmtId="0" fontId="38" fillId="0" borderId="21" xfId="0" applyFont="1" applyBorder="1" applyAlignment="1">
      <alignment/>
    </xf>
    <xf numFmtId="2" fontId="38" fillId="0" borderId="32" xfId="0" applyNumberFormat="1" applyFont="1" applyBorder="1" applyAlignment="1">
      <alignment horizontal="center"/>
    </xf>
    <xf numFmtId="0" fontId="38" fillId="0" borderId="1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0" xfId="0" applyFont="1" applyAlignment="1">
      <alignment/>
    </xf>
    <xf numFmtId="2" fontId="38" fillId="0" borderId="15" xfId="0" applyNumberFormat="1" applyFont="1" applyBorder="1" applyAlignment="1">
      <alignment horizontal="center" vertical="top" wrapText="1"/>
    </xf>
    <xf numFmtId="0" fontId="38" fillId="0" borderId="21" xfId="0" applyFont="1" applyBorder="1" applyAlignment="1" quotePrefix="1">
      <alignment horizontal="justify" vertical="top" wrapText="1"/>
    </xf>
    <xf numFmtId="0" fontId="25" fillId="0" borderId="13" xfId="0" applyFont="1" applyBorder="1" applyAlignment="1">
      <alignment vertical="top" wrapText="1"/>
    </xf>
    <xf numFmtId="0" fontId="38" fillId="0" borderId="0" xfId="93" applyFont="1" applyFill="1">
      <alignment/>
      <protection/>
    </xf>
    <xf numFmtId="0" fontId="38" fillId="0" borderId="0" xfId="93" applyFont="1" applyFill="1" applyAlignment="1">
      <alignment horizontal="right"/>
      <protection/>
    </xf>
    <xf numFmtId="0" fontId="51" fillId="0" borderId="0" xfId="93" applyFont="1" applyFill="1" applyAlignment="1">
      <alignment horizontal="center"/>
      <protection/>
    </xf>
    <xf numFmtId="0" fontId="38" fillId="0" borderId="0" xfId="93" applyFont="1" applyFill="1" applyAlignment="1">
      <alignment horizontal="center"/>
      <protection/>
    </xf>
    <xf numFmtId="3" fontId="38" fillId="0" borderId="0" xfId="93" applyNumberFormat="1" applyFont="1" applyFill="1" applyAlignment="1">
      <alignment horizontal="right"/>
      <protection/>
    </xf>
    <xf numFmtId="3" fontId="38" fillId="0" borderId="0" xfId="93" applyNumberFormat="1" applyFont="1" applyFill="1">
      <alignment/>
      <protection/>
    </xf>
    <xf numFmtId="3" fontId="23" fillId="0" borderId="0" xfId="93" applyNumberFormat="1" applyFont="1" applyFill="1" applyAlignment="1">
      <alignment horizontal="right"/>
      <protection/>
    </xf>
    <xf numFmtId="0" fontId="23" fillId="0" borderId="45" xfId="92" applyFont="1" applyFill="1" applyBorder="1" applyAlignment="1">
      <alignment horizontal="center" vertical="center"/>
      <protection/>
    </xf>
    <xf numFmtId="0" fontId="23" fillId="0" borderId="45" xfId="93" applyFont="1" applyFill="1" applyBorder="1" applyAlignment="1">
      <alignment horizontal="center" vertical="center"/>
      <protection/>
    </xf>
    <xf numFmtId="0" fontId="23" fillId="0" borderId="45" xfId="93" applyFont="1" applyFill="1" applyBorder="1" applyAlignment="1">
      <alignment horizontal="center" vertical="center" wrapText="1"/>
      <protection/>
    </xf>
    <xf numFmtId="3" fontId="23" fillId="0" borderId="52" xfId="93" applyNumberFormat="1" applyFont="1" applyFill="1" applyBorder="1" applyAlignment="1">
      <alignment horizontal="center" vertical="center" wrapText="1"/>
      <protection/>
    </xf>
    <xf numFmtId="0" fontId="38" fillId="0" borderId="53" xfId="93" applyFont="1" applyFill="1" applyBorder="1">
      <alignment/>
      <protection/>
    </xf>
    <xf numFmtId="0" fontId="38" fillId="0" borderId="54" xfId="93" applyFont="1" applyFill="1" applyBorder="1" applyAlignment="1">
      <alignment horizontal="center" vertical="center"/>
      <protection/>
    </xf>
    <xf numFmtId="0" fontId="38" fillId="0" borderId="55" xfId="93" applyFont="1" applyFill="1" applyBorder="1" applyAlignment="1">
      <alignment horizontal="left" vertical="center"/>
      <protection/>
    </xf>
    <xf numFmtId="0" fontId="51" fillId="0" borderId="53" xfId="93" applyFont="1" applyFill="1" applyBorder="1">
      <alignment/>
      <protection/>
    </xf>
    <xf numFmtId="0" fontId="23" fillId="0" borderId="56" xfId="92" applyFont="1" applyFill="1" applyBorder="1" applyAlignment="1">
      <alignment horizontal="center" vertical="center"/>
      <protection/>
    </xf>
    <xf numFmtId="0" fontId="23" fillId="0" borderId="56" xfId="93" applyFont="1" applyFill="1" applyBorder="1" applyAlignment="1">
      <alignment horizontal="center" vertical="center"/>
      <protection/>
    </xf>
    <xf numFmtId="0" fontId="23" fillId="0" borderId="56" xfId="93" applyFont="1" applyFill="1" applyBorder="1" applyAlignment="1">
      <alignment horizontal="center" vertical="center" wrapText="1"/>
      <protection/>
    </xf>
    <xf numFmtId="3" fontId="23" fillId="0" borderId="57" xfId="93" applyNumberFormat="1" applyFont="1" applyFill="1" applyBorder="1" applyAlignment="1">
      <alignment horizontal="center" vertical="center" wrapText="1"/>
      <protection/>
    </xf>
    <xf numFmtId="0" fontId="38" fillId="0" borderId="58" xfId="93" applyFont="1" applyFill="1" applyBorder="1">
      <alignment/>
      <protection/>
    </xf>
    <xf numFmtId="49" fontId="38" fillId="0" borderId="54" xfId="93" applyNumberFormat="1" applyFont="1" applyFill="1" applyBorder="1" applyAlignment="1">
      <alignment horizontal="center"/>
      <protection/>
    </xf>
    <xf numFmtId="0" fontId="38" fillId="0" borderId="55" xfId="93" applyFont="1" applyFill="1" applyBorder="1" applyAlignment="1">
      <alignment/>
      <protection/>
    </xf>
    <xf numFmtId="0" fontId="51" fillId="0" borderId="58" xfId="93" applyFont="1" applyFill="1" applyBorder="1">
      <alignment/>
      <protection/>
    </xf>
    <xf numFmtId="3" fontId="23" fillId="0" borderId="44" xfId="93" applyNumberFormat="1" applyFont="1" applyFill="1" applyBorder="1">
      <alignment/>
      <protection/>
    </xf>
    <xf numFmtId="3" fontId="38" fillId="0" borderId="44" xfId="93" applyNumberFormat="1" applyFont="1" applyFill="1" applyBorder="1">
      <alignment/>
      <protection/>
    </xf>
    <xf numFmtId="3" fontId="38" fillId="0" borderId="59" xfId="93" applyNumberFormat="1" applyFont="1" applyFill="1" applyBorder="1">
      <alignment/>
      <protection/>
    </xf>
    <xf numFmtId="1" fontId="38" fillId="0" borderId="60" xfId="93" applyNumberFormat="1" applyFont="1" applyFill="1" applyBorder="1" applyAlignment="1">
      <alignment horizontal="center"/>
      <protection/>
    </xf>
    <xf numFmtId="0" fontId="38" fillId="0" borderId="61" xfId="93" applyFont="1" applyFill="1" applyBorder="1" applyAlignment="1">
      <alignment/>
      <protection/>
    </xf>
    <xf numFmtId="3" fontId="38" fillId="0" borderId="44" xfId="93" applyNumberFormat="1" applyFont="1" applyFill="1" applyBorder="1" applyAlignment="1">
      <alignment horizontal="right"/>
      <protection/>
    </xf>
    <xf numFmtId="0" fontId="38" fillId="0" borderId="44" xfId="93" applyFont="1" applyFill="1" applyBorder="1" applyAlignment="1">
      <alignment horizontal="right"/>
      <protection/>
    </xf>
    <xf numFmtId="3" fontId="38" fillId="0" borderId="59" xfId="93" applyNumberFormat="1" applyFont="1" applyFill="1" applyBorder="1" applyAlignment="1">
      <alignment horizontal="right"/>
      <protection/>
    </xf>
    <xf numFmtId="0" fontId="51" fillId="0" borderId="0" xfId="93" applyFont="1" applyFill="1">
      <alignment/>
      <protection/>
    </xf>
    <xf numFmtId="1" fontId="38" fillId="0" borderId="62" xfId="93" applyNumberFormat="1" applyFont="1" applyFill="1" applyBorder="1" applyAlignment="1">
      <alignment horizontal="center"/>
      <protection/>
    </xf>
    <xf numFmtId="0" fontId="38" fillId="0" borderId="63" xfId="93" applyFont="1" applyFill="1" applyBorder="1" applyAlignment="1">
      <alignment/>
      <protection/>
    </xf>
    <xf numFmtId="3" fontId="23" fillId="0" borderId="64" xfId="93" applyNumberFormat="1" applyFont="1" applyFill="1" applyBorder="1">
      <alignment/>
      <protection/>
    </xf>
    <xf numFmtId="3" fontId="38" fillId="0" borderId="64" xfId="93" applyNumberFormat="1" applyFont="1" applyFill="1" applyBorder="1">
      <alignment/>
      <protection/>
    </xf>
    <xf numFmtId="0" fontId="40" fillId="0" borderId="58" xfId="93" applyFont="1" applyFill="1" applyBorder="1">
      <alignment/>
      <protection/>
    </xf>
    <xf numFmtId="0" fontId="40" fillId="0" borderId="58" xfId="93" applyFont="1" applyFill="1" applyBorder="1">
      <alignment/>
      <protection/>
    </xf>
    <xf numFmtId="49" fontId="38" fillId="0" borderId="60" xfId="93" applyNumberFormat="1" applyFont="1" applyFill="1" applyBorder="1" applyAlignment="1">
      <alignment horizontal="center"/>
      <protection/>
    </xf>
    <xf numFmtId="0" fontId="38" fillId="0" borderId="61" xfId="93" applyFont="1" applyFill="1" applyBorder="1" applyAlignment="1">
      <alignment horizontal="left"/>
      <protection/>
    </xf>
    <xf numFmtId="3" fontId="38" fillId="0" borderId="56" xfId="93" applyNumberFormat="1" applyFont="1" applyFill="1" applyBorder="1">
      <alignment/>
      <protection/>
    </xf>
    <xf numFmtId="0" fontId="51" fillId="0" borderId="54" xfId="93" applyFont="1" applyFill="1" applyBorder="1">
      <alignment/>
      <protection/>
    </xf>
    <xf numFmtId="0" fontId="51" fillId="0" borderId="60" xfId="93" applyFont="1" applyFill="1" applyBorder="1">
      <alignment/>
      <protection/>
    </xf>
    <xf numFmtId="0" fontId="40" fillId="0" borderId="60" xfId="93" applyFont="1" applyFill="1" applyBorder="1">
      <alignment/>
      <protection/>
    </xf>
    <xf numFmtId="0" fontId="40" fillId="0" borderId="60" xfId="93" applyFont="1" applyFill="1" applyBorder="1">
      <alignment/>
      <protection/>
    </xf>
    <xf numFmtId="3" fontId="23" fillId="0" borderId="44" xfId="93" applyNumberFormat="1" applyFont="1" applyFill="1" applyBorder="1" applyAlignment="1">
      <alignment/>
      <protection/>
    </xf>
    <xf numFmtId="3" fontId="23" fillId="0" borderId="44" xfId="93" applyNumberFormat="1" applyFont="1" applyFill="1" applyBorder="1" applyAlignment="1">
      <alignment/>
      <protection/>
    </xf>
    <xf numFmtId="3" fontId="38" fillId="0" borderId="44" xfId="93" applyNumberFormat="1" applyFont="1" applyFill="1" applyBorder="1" applyAlignment="1">
      <alignment/>
      <protection/>
    </xf>
    <xf numFmtId="3" fontId="38" fillId="0" borderId="59" xfId="93" applyNumberFormat="1" applyFont="1" applyFill="1" applyBorder="1" applyAlignment="1">
      <alignment/>
      <protection/>
    </xf>
    <xf numFmtId="3" fontId="23" fillId="0" borderId="64" xfId="93" applyNumberFormat="1" applyFont="1" applyFill="1" applyBorder="1" applyAlignment="1">
      <alignment/>
      <protection/>
    </xf>
    <xf numFmtId="3" fontId="23" fillId="0" borderId="64" xfId="93" applyNumberFormat="1" applyFont="1" applyFill="1" applyBorder="1" applyAlignment="1">
      <alignment/>
      <protection/>
    </xf>
    <xf numFmtId="3" fontId="38" fillId="0" borderId="64" xfId="93" applyNumberFormat="1" applyFont="1" applyFill="1" applyBorder="1" applyAlignment="1">
      <alignment/>
      <protection/>
    </xf>
    <xf numFmtId="0" fontId="23" fillId="0" borderId="56" xfId="92" applyFont="1" applyFill="1" applyBorder="1" applyAlignment="1">
      <alignment/>
      <protection/>
    </xf>
    <xf numFmtId="0" fontId="23" fillId="0" borderId="56" xfId="93" applyFont="1" applyFill="1" applyBorder="1" applyAlignment="1">
      <alignment/>
      <protection/>
    </xf>
    <xf numFmtId="0" fontId="23" fillId="0" borderId="56" xfId="93" applyFont="1" applyFill="1" applyBorder="1" applyAlignment="1">
      <alignment wrapText="1"/>
      <protection/>
    </xf>
    <xf numFmtId="3" fontId="23" fillId="0" borderId="57" xfId="93" applyNumberFormat="1" applyFont="1" applyFill="1" applyBorder="1" applyAlignment="1">
      <alignment wrapText="1"/>
      <protection/>
    </xf>
    <xf numFmtId="3" fontId="23" fillId="0" borderId="44" xfId="92" applyNumberFormat="1" applyFont="1" applyFill="1" applyBorder="1" applyAlignment="1">
      <alignment/>
      <protection/>
    </xf>
    <xf numFmtId="3" fontId="23" fillId="0" borderId="59" xfId="93" applyNumberFormat="1" applyFont="1" applyFill="1" applyBorder="1" applyAlignment="1">
      <alignment wrapText="1"/>
      <protection/>
    </xf>
    <xf numFmtId="3" fontId="23" fillId="0" borderId="56" xfId="93" applyNumberFormat="1" applyFont="1" applyFill="1" applyBorder="1" applyAlignment="1">
      <alignment/>
      <protection/>
    </xf>
    <xf numFmtId="0" fontId="38" fillId="0" borderId="65" xfId="93" applyFont="1" applyFill="1" applyBorder="1" applyAlignment="1">
      <alignment/>
      <protection/>
    </xf>
    <xf numFmtId="0" fontId="51" fillId="0" borderId="66" xfId="93" applyFont="1" applyFill="1" applyBorder="1" applyAlignment="1">
      <alignment horizontal="left"/>
      <protection/>
    </xf>
    <xf numFmtId="3" fontId="23" fillId="0" borderId="67" xfId="93" applyNumberFormat="1" applyFont="1" applyFill="1" applyBorder="1">
      <alignment/>
      <protection/>
    </xf>
    <xf numFmtId="3" fontId="23" fillId="0" borderId="45" xfId="93" applyNumberFormat="1" applyFont="1" applyFill="1" applyBorder="1">
      <alignment/>
      <protection/>
    </xf>
    <xf numFmtId="3" fontId="38" fillId="0" borderId="45" xfId="93" applyNumberFormat="1" applyFont="1" applyFill="1" applyBorder="1">
      <alignment/>
      <protection/>
    </xf>
    <xf numFmtId="3" fontId="38" fillId="0" borderId="65" xfId="93" applyNumberFormat="1" applyFont="1" applyFill="1" applyBorder="1">
      <alignment/>
      <protection/>
    </xf>
    <xf numFmtId="0" fontId="51" fillId="0" borderId="53" xfId="93" applyFont="1" applyFill="1" applyBorder="1" applyAlignment="1">
      <alignment horizontal="left"/>
      <protection/>
    </xf>
    <xf numFmtId="3" fontId="23" fillId="0" borderId="54" xfId="93" applyNumberFormat="1" applyFont="1" applyFill="1" applyBorder="1">
      <alignment/>
      <protection/>
    </xf>
    <xf numFmtId="3" fontId="38" fillId="0" borderId="55" xfId="93" applyNumberFormat="1" applyFont="1" applyFill="1" applyBorder="1">
      <alignment/>
      <protection/>
    </xf>
    <xf numFmtId="0" fontId="51" fillId="0" borderId="58" xfId="93" applyFont="1" applyFill="1" applyBorder="1" applyAlignment="1">
      <alignment horizontal="left"/>
      <protection/>
    </xf>
    <xf numFmtId="3" fontId="23" fillId="0" borderId="60" xfId="93" applyNumberFormat="1" applyFont="1" applyFill="1" applyBorder="1">
      <alignment/>
      <protection/>
    </xf>
    <xf numFmtId="3" fontId="38" fillId="0" borderId="61" xfId="93" applyNumberFormat="1" applyFont="1" applyFill="1" applyBorder="1">
      <alignment/>
      <protection/>
    </xf>
    <xf numFmtId="0" fontId="51" fillId="0" borderId="0" xfId="93" applyFont="1" applyFill="1" applyBorder="1">
      <alignment/>
      <protection/>
    </xf>
    <xf numFmtId="3" fontId="38" fillId="0" borderId="44" xfId="93" applyNumberFormat="1" applyFont="1" applyFill="1" applyBorder="1">
      <alignment/>
      <protection/>
    </xf>
    <xf numFmtId="1" fontId="38" fillId="0" borderId="60" xfId="92" applyNumberFormat="1" applyFont="1" applyFill="1" applyBorder="1" applyAlignment="1">
      <alignment horizontal="center" vertical="center"/>
      <protection/>
    </xf>
    <xf numFmtId="0" fontId="38" fillId="0" borderId="61" xfId="92" applyFont="1" applyFill="1" applyBorder="1" applyAlignment="1">
      <alignment horizontal="left" vertical="center"/>
      <protection/>
    </xf>
    <xf numFmtId="3" fontId="38" fillId="0" borderId="61" xfId="93" applyNumberFormat="1" applyFont="1" applyFill="1" applyBorder="1" applyAlignment="1">
      <alignment horizontal="right"/>
      <protection/>
    </xf>
    <xf numFmtId="0" fontId="51" fillId="0" borderId="44" xfId="93" applyFont="1" applyFill="1" applyBorder="1">
      <alignment/>
      <protection/>
    </xf>
    <xf numFmtId="0" fontId="38" fillId="0" borderId="61" xfId="93" applyFont="1" applyFill="1" applyBorder="1" applyAlignment="1">
      <alignment wrapText="1"/>
      <protection/>
    </xf>
    <xf numFmtId="0" fontId="38" fillId="0" borderId="0" xfId="93" applyFont="1" applyFill="1" applyBorder="1">
      <alignment/>
      <protection/>
    </xf>
    <xf numFmtId="3" fontId="23" fillId="0" borderId="62" xfId="93" applyNumberFormat="1" applyFont="1" applyFill="1" applyBorder="1">
      <alignment/>
      <protection/>
    </xf>
    <xf numFmtId="0" fontId="38" fillId="0" borderId="67" xfId="93" applyFont="1" applyFill="1" applyBorder="1" applyAlignment="1">
      <alignment horizontal="center" vertical="center"/>
      <protection/>
    </xf>
    <xf numFmtId="0" fontId="38" fillId="0" borderId="65" xfId="93" applyFont="1" applyFill="1" applyBorder="1" applyAlignment="1">
      <alignment horizontal="left" vertical="center"/>
      <protection/>
    </xf>
    <xf numFmtId="0" fontId="51" fillId="0" borderId="66" xfId="93" applyFont="1" applyFill="1" applyBorder="1">
      <alignment/>
      <protection/>
    </xf>
    <xf numFmtId="0" fontId="38" fillId="0" borderId="68" xfId="93" applyFont="1" applyFill="1" applyBorder="1">
      <alignment/>
      <protection/>
    </xf>
    <xf numFmtId="0" fontId="38" fillId="0" borderId="69" xfId="93" applyFont="1" applyFill="1" applyBorder="1">
      <alignment/>
      <protection/>
    </xf>
    <xf numFmtId="0" fontId="53" fillId="0" borderId="58" xfId="93" applyFont="1" applyFill="1" applyBorder="1">
      <alignment/>
      <protection/>
    </xf>
    <xf numFmtId="0" fontId="53" fillId="0" borderId="54" xfId="93" applyFont="1" applyFill="1" applyBorder="1" applyAlignment="1">
      <alignment horizontal="center" vertical="center"/>
      <protection/>
    </xf>
    <xf numFmtId="0" fontId="53" fillId="0" borderId="55" xfId="93" applyFont="1" applyFill="1" applyBorder="1" applyAlignment="1">
      <alignment horizontal="left" vertical="center"/>
      <protection/>
    </xf>
    <xf numFmtId="0" fontId="54" fillId="0" borderId="53" xfId="93" applyFont="1" applyFill="1" applyBorder="1">
      <alignment/>
      <protection/>
    </xf>
    <xf numFmtId="0" fontId="55" fillId="0" borderId="56" xfId="92" applyFont="1" applyFill="1" applyBorder="1" applyAlignment="1">
      <alignment horizontal="center" vertical="center"/>
      <protection/>
    </xf>
    <xf numFmtId="0" fontId="55" fillId="0" borderId="56" xfId="93" applyFont="1" applyFill="1" applyBorder="1" applyAlignment="1">
      <alignment horizontal="center" vertical="center"/>
      <protection/>
    </xf>
    <xf numFmtId="0" fontId="55" fillId="0" borderId="56" xfId="93" applyFont="1" applyFill="1" applyBorder="1" applyAlignment="1">
      <alignment horizontal="center" vertical="center" wrapText="1"/>
      <protection/>
    </xf>
    <xf numFmtId="3" fontId="55" fillId="0" borderId="57" xfId="93" applyNumberFormat="1" applyFont="1" applyFill="1" applyBorder="1" applyAlignment="1">
      <alignment horizontal="center" vertical="center" wrapText="1"/>
      <protection/>
    </xf>
    <xf numFmtId="0" fontId="53" fillId="0" borderId="0" xfId="93" applyFont="1" applyFill="1">
      <alignment/>
      <protection/>
    </xf>
    <xf numFmtId="0" fontId="54" fillId="0" borderId="58" xfId="93" applyFont="1" applyFill="1" applyBorder="1">
      <alignment/>
      <protection/>
    </xf>
    <xf numFmtId="1" fontId="53" fillId="0" borderId="60" xfId="93" applyNumberFormat="1" applyFont="1" applyFill="1" applyBorder="1" applyAlignment="1">
      <alignment horizontal="center"/>
      <protection/>
    </xf>
    <xf numFmtId="0" fontId="53" fillId="0" borderId="61" xfId="93" applyFont="1" applyFill="1" applyBorder="1" applyAlignment="1">
      <alignment/>
      <protection/>
    </xf>
    <xf numFmtId="3" fontId="55" fillId="0" borderId="44" xfId="93" applyNumberFormat="1" applyFont="1" applyFill="1" applyBorder="1">
      <alignment/>
      <protection/>
    </xf>
    <xf numFmtId="3" fontId="53" fillId="0" borderId="44" xfId="93" applyNumberFormat="1" applyFont="1" applyFill="1" applyBorder="1" applyAlignment="1">
      <alignment horizontal="right"/>
      <protection/>
    </xf>
    <xf numFmtId="0" fontId="53" fillId="0" borderId="44" xfId="93" applyFont="1" applyFill="1" applyBorder="1" applyAlignment="1">
      <alignment horizontal="right"/>
      <protection/>
    </xf>
    <xf numFmtId="3" fontId="53" fillId="0" borderId="59" xfId="93" applyNumberFormat="1" applyFont="1" applyFill="1" applyBorder="1" applyAlignment="1">
      <alignment horizontal="right"/>
      <protection/>
    </xf>
    <xf numFmtId="0" fontId="54" fillId="0" borderId="0" xfId="93" applyFont="1" applyFill="1">
      <alignment/>
      <protection/>
    </xf>
    <xf numFmtId="3" fontId="53" fillId="0" borderId="44" xfId="93" applyNumberFormat="1" applyFont="1" applyFill="1" applyBorder="1">
      <alignment/>
      <protection/>
    </xf>
    <xf numFmtId="3" fontId="53" fillId="0" borderId="59" xfId="93" applyNumberFormat="1" applyFont="1" applyFill="1" applyBorder="1">
      <alignment/>
      <protection/>
    </xf>
    <xf numFmtId="3" fontId="23" fillId="0" borderId="56" xfId="93" applyNumberFormat="1" applyFont="1" applyFill="1" applyBorder="1" applyAlignment="1">
      <alignment/>
      <protection/>
    </xf>
    <xf numFmtId="3" fontId="38" fillId="0" borderId="70" xfId="93" applyNumberFormat="1" applyFont="1" applyFill="1" applyBorder="1">
      <alignment/>
      <protection/>
    </xf>
    <xf numFmtId="3" fontId="23" fillId="0" borderId="70" xfId="93" applyNumberFormat="1" applyFont="1" applyFill="1" applyBorder="1" applyAlignment="1">
      <alignment/>
      <protection/>
    </xf>
    <xf numFmtId="3" fontId="23" fillId="0" borderId="59" xfId="93" applyNumberFormat="1" applyFont="1" applyFill="1" applyBorder="1" applyAlignment="1">
      <alignment/>
      <protection/>
    </xf>
    <xf numFmtId="3" fontId="23" fillId="0" borderId="57" xfId="93" applyNumberFormat="1" applyFont="1" applyFill="1" applyBorder="1" applyAlignment="1">
      <alignment/>
      <protection/>
    </xf>
    <xf numFmtId="3" fontId="23" fillId="0" borderId="70" xfId="93" applyNumberFormat="1" applyFont="1" applyFill="1" applyBorder="1" applyAlignment="1">
      <alignment/>
      <protection/>
    </xf>
    <xf numFmtId="3" fontId="38" fillId="0" borderId="70" xfId="93" applyNumberFormat="1" applyFont="1" applyFill="1" applyBorder="1" applyAlignment="1">
      <alignment/>
      <protection/>
    </xf>
    <xf numFmtId="3" fontId="23" fillId="0" borderId="59" xfId="93" applyNumberFormat="1" applyFont="1" applyFill="1" applyBorder="1" applyAlignment="1">
      <alignment/>
      <protection/>
    </xf>
    <xf numFmtId="3" fontId="23" fillId="0" borderId="57" xfId="93" applyNumberFormat="1" applyFont="1" applyFill="1" applyBorder="1" applyAlignment="1">
      <alignment/>
      <protection/>
    </xf>
    <xf numFmtId="0" fontId="38" fillId="0" borderId="0" xfId="93" applyFont="1">
      <alignment/>
      <protection/>
    </xf>
    <xf numFmtId="0" fontId="38" fillId="0" borderId="0" xfId="93" applyFont="1" applyAlignment="1">
      <alignment horizontal="right"/>
      <protection/>
    </xf>
    <xf numFmtId="0" fontId="51" fillId="0" borderId="0" xfId="93" applyFont="1" applyAlignment="1">
      <alignment horizontal="center"/>
      <protection/>
    </xf>
    <xf numFmtId="0" fontId="38" fillId="0" borderId="0" xfId="93" applyFont="1" applyAlignment="1">
      <alignment horizontal="center"/>
      <protection/>
    </xf>
    <xf numFmtId="3" fontId="38" fillId="0" borderId="0" xfId="93" applyNumberFormat="1" applyFont="1" applyAlignment="1">
      <alignment horizontal="right"/>
      <protection/>
    </xf>
    <xf numFmtId="3" fontId="23" fillId="0" borderId="0" xfId="93" applyNumberFormat="1" applyFont="1" applyAlignment="1">
      <alignment horizontal="right"/>
      <protection/>
    </xf>
    <xf numFmtId="0" fontId="38" fillId="0" borderId="53" xfId="93" applyFont="1" applyBorder="1">
      <alignment/>
      <protection/>
    </xf>
    <xf numFmtId="1" fontId="38" fillId="0" borderId="67" xfId="93" applyNumberFormat="1" applyFont="1" applyBorder="1" applyAlignment="1">
      <alignment horizontal="center"/>
      <protection/>
    </xf>
    <xf numFmtId="0" fontId="38" fillId="0" borderId="45" xfId="93" applyFont="1" applyBorder="1" applyAlignment="1">
      <alignment/>
      <protection/>
    </xf>
    <xf numFmtId="0" fontId="51" fillId="0" borderId="45" xfId="93" applyFont="1" applyBorder="1">
      <alignment/>
      <protection/>
    </xf>
    <xf numFmtId="3" fontId="38" fillId="0" borderId="45" xfId="93" applyNumberFormat="1" applyFont="1" applyBorder="1">
      <alignment/>
      <protection/>
    </xf>
    <xf numFmtId="3" fontId="38" fillId="0" borderId="52" xfId="93" applyNumberFormat="1" applyFont="1" applyBorder="1">
      <alignment/>
      <protection/>
    </xf>
    <xf numFmtId="0" fontId="38" fillId="0" borderId="58" xfId="93" applyFont="1" applyBorder="1">
      <alignment/>
      <protection/>
    </xf>
    <xf numFmtId="1" fontId="38" fillId="0" borderId="54" xfId="93" applyNumberFormat="1" applyFont="1" applyBorder="1" applyAlignment="1">
      <alignment horizontal="center"/>
      <protection/>
    </xf>
    <xf numFmtId="0" fontId="38" fillId="0" borderId="44" xfId="93" applyFont="1" applyBorder="1" applyAlignment="1">
      <alignment/>
      <protection/>
    </xf>
    <xf numFmtId="0" fontId="51" fillId="0" borderId="44" xfId="93" applyFont="1" applyBorder="1">
      <alignment/>
      <protection/>
    </xf>
    <xf numFmtId="3" fontId="38" fillId="0" borderId="44" xfId="93" applyNumberFormat="1" applyFont="1" applyBorder="1">
      <alignment/>
      <protection/>
    </xf>
    <xf numFmtId="3" fontId="38" fillId="0" borderId="59" xfId="93" applyNumberFormat="1" applyFont="1" applyBorder="1">
      <alignment/>
      <protection/>
    </xf>
    <xf numFmtId="1" fontId="38" fillId="0" borderId="60" xfId="93" applyNumberFormat="1" applyFont="1" applyBorder="1" applyAlignment="1">
      <alignment horizontal="center"/>
      <protection/>
    </xf>
    <xf numFmtId="1" fontId="38" fillId="0" borderId="62" xfId="93" applyNumberFormat="1" applyFont="1" applyBorder="1" applyAlignment="1">
      <alignment horizontal="center"/>
      <protection/>
    </xf>
    <xf numFmtId="3" fontId="38" fillId="0" borderId="0" xfId="93" applyNumberFormat="1" applyFont="1">
      <alignment/>
      <protection/>
    </xf>
    <xf numFmtId="49" fontId="58" fillId="0" borderId="71" xfId="0" applyNumberFormat="1" applyFont="1" applyFill="1" applyBorder="1" applyAlignment="1">
      <alignment/>
    </xf>
    <xf numFmtId="49" fontId="29" fillId="0" borderId="72" xfId="0" applyNumberFormat="1" applyFont="1" applyFill="1" applyBorder="1" applyAlignment="1">
      <alignment/>
    </xf>
    <xf numFmtId="49" fontId="59" fillId="0" borderId="72" xfId="0" applyNumberFormat="1" applyFont="1" applyFill="1" applyBorder="1" applyAlignment="1">
      <alignment/>
    </xf>
    <xf numFmtId="49" fontId="34" fillId="0" borderId="72" xfId="0" applyNumberFormat="1" applyFont="1" applyFill="1" applyBorder="1" applyAlignment="1">
      <alignment/>
    </xf>
    <xf numFmtId="3" fontId="59" fillId="0" borderId="14" xfId="0" applyNumberFormat="1" applyFont="1" applyFill="1" applyBorder="1" applyAlignment="1">
      <alignment horizontal="right"/>
    </xf>
    <xf numFmtId="3" fontId="59" fillId="0" borderId="15" xfId="0" applyNumberFormat="1" applyFont="1" applyFill="1" applyBorder="1" applyAlignment="1">
      <alignment horizontal="right"/>
    </xf>
    <xf numFmtId="49" fontId="59" fillId="0" borderId="72" xfId="0" applyNumberFormat="1" applyFont="1" applyFill="1" applyBorder="1" applyAlignment="1">
      <alignment/>
    </xf>
    <xf numFmtId="49" fontId="58" fillId="0" borderId="72" xfId="0" applyNumberFormat="1" applyFont="1" applyFill="1" applyBorder="1" applyAlignment="1">
      <alignment/>
    </xf>
    <xf numFmtId="3" fontId="58" fillId="0" borderId="14" xfId="0" applyNumberFormat="1" applyFont="1" applyFill="1" applyBorder="1" applyAlignment="1">
      <alignment horizontal="right"/>
    </xf>
    <xf numFmtId="3" fontId="58" fillId="0" borderId="15" xfId="0" applyNumberFormat="1" applyFont="1" applyFill="1" applyBorder="1" applyAlignment="1">
      <alignment horizontal="right"/>
    </xf>
    <xf numFmtId="49" fontId="29" fillId="0" borderId="72" xfId="0" applyNumberFormat="1" applyFont="1" applyFill="1" applyBorder="1" applyAlignment="1">
      <alignment/>
    </xf>
    <xf numFmtId="3" fontId="29" fillId="0" borderId="14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 horizontal="center"/>
    </xf>
    <xf numFmtId="3" fontId="29" fillId="0" borderId="15" xfId="0" applyNumberFormat="1" applyFont="1" applyFill="1" applyBorder="1" applyAlignment="1">
      <alignment horizontal="right"/>
    </xf>
    <xf numFmtId="0" fontId="29" fillId="0" borderId="15" xfId="0" applyFont="1" applyFill="1" applyBorder="1" applyAlignment="1">
      <alignment/>
    </xf>
    <xf numFmtId="0" fontId="28" fillId="0" borderId="0" xfId="0" applyFont="1" applyFill="1" applyAlignment="1">
      <alignment/>
    </xf>
    <xf numFmtId="49" fontId="30" fillId="0" borderId="72" xfId="0" applyNumberFormat="1" applyFont="1" applyFill="1" applyBorder="1" applyAlignment="1">
      <alignment/>
    </xf>
    <xf numFmtId="0" fontId="29" fillId="0" borderId="48" xfId="0" applyFont="1" applyFill="1" applyBorder="1" applyAlignment="1">
      <alignment/>
    </xf>
    <xf numFmtId="3" fontId="30" fillId="0" borderId="14" xfId="0" applyNumberFormat="1" applyFont="1" applyFill="1" applyBorder="1" applyAlignment="1">
      <alignment horizontal="right"/>
    </xf>
    <xf numFmtId="3" fontId="30" fillId="0" borderId="15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3" fontId="21" fillId="0" borderId="73" xfId="98" applyNumberFormat="1" applyFont="1" applyBorder="1">
      <alignment/>
      <protection/>
    </xf>
    <xf numFmtId="0" fontId="20" fillId="0" borderId="26" xfId="98" applyFont="1" applyBorder="1" applyAlignment="1">
      <alignment wrapText="1"/>
      <protection/>
    </xf>
    <xf numFmtId="3" fontId="20" fillId="0" borderId="74" xfId="98" applyNumberFormat="1" applyFont="1" applyBorder="1">
      <alignment/>
      <protection/>
    </xf>
    <xf numFmtId="0" fontId="30" fillId="0" borderId="0" xfId="0" applyFont="1" applyAlignment="1">
      <alignment/>
    </xf>
    <xf numFmtId="0" fontId="62" fillId="0" borderId="0" xfId="0" applyFont="1" applyAlignment="1">
      <alignment/>
    </xf>
    <xf numFmtId="0" fontId="30" fillId="0" borderId="1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/>
    </xf>
    <xf numFmtId="3" fontId="30" fillId="0" borderId="15" xfId="0" applyNumberFormat="1" applyFont="1" applyBorder="1" applyAlignment="1">
      <alignment horizontal="right" vertical="center" wrapText="1"/>
    </xf>
    <xf numFmtId="3" fontId="30" fillId="0" borderId="14" xfId="0" applyNumberFormat="1" applyFont="1" applyBorder="1" applyAlignment="1">
      <alignment horizontal="right" vertical="center" wrapText="1"/>
    </xf>
    <xf numFmtId="0" fontId="58" fillId="0" borderId="13" xfId="0" applyFont="1" applyBorder="1" applyAlignment="1">
      <alignment/>
    </xf>
    <xf numFmtId="3" fontId="58" fillId="0" borderId="15" xfId="0" applyNumberFormat="1" applyFont="1" applyBorder="1" applyAlignment="1">
      <alignment horizontal="right" vertical="center" wrapText="1"/>
    </xf>
    <xf numFmtId="3" fontId="58" fillId="0" borderId="14" xfId="0" applyNumberFormat="1" applyFont="1" applyBorder="1" applyAlignment="1">
      <alignment horizontal="right" vertical="center" wrapText="1"/>
    </xf>
    <xf numFmtId="0" fontId="63" fillId="0" borderId="0" xfId="0" applyFont="1" applyAlignment="1">
      <alignment/>
    </xf>
    <xf numFmtId="0" fontId="29" fillId="0" borderId="13" xfId="0" applyFont="1" applyBorder="1" applyAlignment="1">
      <alignment wrapText="1"/>
    </xf>
    <xf numFmtId="3" fontId="29" fillId="0" borderId="15" xfId="0" applyNumberFormat="1" applyFont="1" applyBorder="1" applyAlignment="1">
      <alignment horizontal="right" vertical="center" wrapText="1"/>
    </xf>
    <xf numFmtId="3" fontId="29" fillId="0" borderId="14" xfId="0" applyNumberFormat="1" applyFont="1" applyBorder="1" applyAlignment="1">
      <alignment horizontal="right" vertical="center" wrapText="1"/>
    </xf>
    <xf numFmtId="3" fontId="29" fillId="0" borderId="14" xfId="0" applyNumberFormat="1" applyFont="1" applyBorder="1" applyAlignment="1">
      <alignment horizontal="right" vertical="center" wrapText="1"/>
    </xf>
    <xf numFmtId="0" fontId="29" fillId="0" borderId="13" xfId="0" applyFont="1" applyBorder="1" applyAlignment="1">
      <alignment/>
    </xf>
    <xf numFmtId="0" fontId="59" fillId="0" borderId="13" xfId="0" applyFont="1" applyBorder="1" applyAlignment="1">
      <alignment/>
    </xf>
    <xf numFmtId="3" fontId="59" fillId="0" borderId="15" xfId="0" applyNumberFormat="1" applyFont="1" applyBorder="1" applyAlignment="1">
      <alignment horizontal="right" vertical="center" wrapText="1"/>
    </xf>
    <xf numFmtId="3" fontId="59" fillId="0" borderId="14" xfId="0" applyNumberFormat="1" applyFont="1" applyBorder="1" applyAlignment="1">
      <alignment horizontal="right" vertical="center" wrapText="1"/>
    </xf>
    <xf numFmtId="0" fontId="64" fillId="0" borderId="0" xfId="0" applyFont="1" applyAlignment="1">
      <alignment/>
    </xf>
    <xf numFmtId="3" fontId="59" fillId="0" borderId="15" xfId="0" applyNumberFormat="1" applyFont="1" applyBorder="1" applyAlignment="1">
      <alignment/>
    </xf>
    <xf numFmtId="3" fontId="59" fillId="0" borderId="14" xfId="0" applyNumberFormat="1" applyFont="1" applyBorder="1" applyAlignment="1">
      <alignment/>
    </xf>
    <xf numFmtId="0" fontId="59" fillId="0" borderId="13" xfId="0" applyFont="1" applyBorder="1" applyAlignment="1">
      <alignment horizontal="left" vertical="center" wrapText="1"/>
    </xf>
    <xf numFmtId="3" fontId="29" fillId="0" borderId="15" xfId="0" applyNumberFormat="1" applyFont="1" applyBorder="1" applyAlignment="1">
      <alignment/>
    </xf>
    <xf numFmtId="3" fontId="29" fillId="0" borderId="14" xfId="0" applyNumberFormat="1" applyFont="1" applyBorder="1" applyAlignment="1">
      <alignment/>
    </xf>
    <xf numFmtId="0" fontId="30" fillId="0" borderId="13" xfId="0" applyFont="1" applyBorder="1" applyAlignment="1">
      <alignment/>
    </xf>
    <xf numFmtId="3" fontId="30" fillId="0" borderId="15" xfId="0" applyNumberFormat="1" applyFont="1" applyBorder="1" applyAlignment="1">
      <alignment/>
    </xf>
    <xf numFmtId="3" fontId="30" fillId="0" borderId="14" xfId="0" applyNumberFormat="1" applyFont="1" applyBorder="1" applyAlignment="1">
      <alignment/>
    </xf>
    <xf numFmtId="0" fontId="56" fillId="0" borderId="0" xfId="0" applyFont="1" applyAlignment="1">
      <alignment/>
    </xf>
    <xf numFmtId="0" fontId="29" fillId="0" borderId="13" xfId="0" applyFont="1" applyBorder="1" applyAlignment="1">
      <alignment wrapText="1"/>
    </xf>
    <xf numFmtId="3" fontId="29" fillId="0" borderId="15" xfId="0" applyNumberFormat="1" applyFont="1" applyBorder="1" applyAlignment="1">
      <alignment/>
    </xf>
    <xf numFmtId="3" fontId="29" fillId="0" borderId="14" xfId="0" applyNumberFormat="1" applyFont="1" applyBorder="1" applyAlignment="1">
      <alignment/>
    </xf>
    <xf numFmtId="0" fontId="30" fillId="0" borderId="13" xfId="0" applyFont="1" applyBorder="1" applyAlignment="1">
      <alignment shrinkToFit="1"/>
    </xf>
    <xf numFmtId="0" fontId="29" fillId="0" borderId="13" xfId="0" applyFont="1" applyBorder="1" applyAlignment="1">
      <alignment shrinkToFit="1"/>
    </xf>
    <xf numFmtId="0" fontId="59" fillId="0" borderId="13" xfId="0" applyFont="1" applyBorder="1" applyAlignment="1">
      <alignment shrinkToFit="1"/>
    </xf>
    <xf numFmtId="3" fontId="59" fillId="0" borderId="15" xfId="0" applyNumberFormat="1" applyFont="1" applyBorder="1" applyAlignment="1">
      <alignment/>
    </xf>
    <xf numFmtId="3" fontId="59" fillId="0" borderId="14" xfId="0" applyNumberFormat="1" applyFont="1" applyBorder="1" applyAlignment="1">
      <alignment/>
    </xf>
    <xf numFmtId="0" fontId="59" fillId="0" borderId="13" xfId="0" applyFont="1" applyBorder="1" applyAlignment="1">
      <alignment wrapText="1"/>
    </xf>
    <xf numFmtId="3" fontId="30" fillId="0" borderId="14" xfId="0" applyNumberFormat="1" applyFont="1" applyBorder="1" applyAlignment="1">
      <alignment horizontal="right" vertical="center" wrapText="1"/>
    </xf>
    <xf numFmtId="0" fontId="30" fillId="0" borderId="13" xfId="0" applyFont="1" applyBorder="1" applyAlignment="1">
      <alignment vertical="center" wrapText="1"/>
    </xf>
    <xf numFmtId="3" fontId="30" fillId="0" borderId="15" xfId="0" applyNumberFormat="1" applyFont="1" applyBorder="1" applyAlignment="1">
      <alignment vertical="center"/>
    </xf>
    <xf numFmtId="3" fontId="30" fillId="0" borderId="14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0" fontId="30" fillId="0" borderId="24" xfId="0" applyFont="1" applyBorder="1" applyAlignment="1">
      <alignment shrinkToFit="1"/>
    </xf>
    <xf numFmtId="3" fontId="30" fillId="0" borderId="25" xfId="0" applyNumberFormat="1" applyFont="1" applyBorder="1" applyAlignment="1">
      <alignment/>
    </xf>
    <xf numFmtId="3" fontId="30" fillId="0" borderId="2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35" xfId="0" applyFont="1" applyBorder="1" applyAlignment="1">
      <alignment/>
    </xf>
    <xf numFmtId="0" fontId="29" fillId="0" borderId="75" xfId="0" applyFont="1" applyBorder="1" applyAlignment="1">
      <alignment/>
    </xf>
    <xf numFmtId="0" fontId="30" fillId="0" borderId="16" xfId="0" applyFont="1" applyBorder="1" applyAlignment="1">
      <alignment horizontal="center" vertical="center" wrapText="1"/>
    </xf>
    <xf numFmtId="0" fontId="29" fillId="0" borderId="22" xfId="0" applyFont="1" applyBorder="1" applyAlignment="1">
      <alignment/>
    </xf>
    <xf numFmtId="0" fontId="29" fillId="0" borderId="23" xfId="0" applyFont="1" applyBorder="1" applyAlignment="1">
      <alignment/>
    </xf>
    <xf numFmtId="0" fontId="30" fillId="0" borderId="13" xfId="0" applyFont="1" applyBorder="1" applyAlignment="1">
      <alignment vertical="top" wrapText="1"/>
    </xf>
    <xf numFmtId="3" fontId="30" fillId="0" borderId="15" xfId="0" applyNumberFormat="1" applyFont="1" applyBorder="1" applyAlignment="1">
      <alignment horizontal="center" wrapText="1"/>
    </xf>
    <xf numFmtId="3" fontId="30" fillId="0" borderId="72" xfId="0" applyNumberFormat="1" applyFont="1" applyBorder="1" applyAlignment="1">
      <alignment horizontal="center" wrapText="1"/>
    </xf>
    <xf numFmtId="3" fontId="30" fillId="0" borderId="14" xfId="0" applyNumberFormat="1" applyFont="1" applyBorder="1" applyAlignment="1">
      <alignment horizontal="center" wrapText="1"/>
    </xf>
    <xf numFmtId="0" fontId="30" fillId="0" borderId="75" xfId="0" applyFont="1" applyBorder="1" applyAlignment="1">
      <alignment/>
    </xf>
    <xf numFmtId="3" fontId="30" fillId="0" borderId="15" xfId="0" applyNumberFormat="1" applyFont="1" applyBorder="1" applyAlignment="1">
      <alignment wrapText="1"/>
    </xf>
    <xf numFmtId="3" fontId="30" fillId="0" borderId="76" xfId="0" applyNumberFormat="1" applyFont="1" applyBorder="1" applyAlignment="1">
      <alignment wrapText="1"/>
    </xf>
    <xf numFmtId="3" fontId="30" fillId="0" borderId="23" xfId="0" applyNumberFormat="1" applyFont="1" applyBorder="1" applyAlignment="1">
      <alignment wrapText="1"/>
    </xf>
    <xf numFmtId="3" fontId="30" fillId="0" borderId="73" xfId="0" applyNumberFormat="1" applyFont="1" applyBorder="1" applyAlignment="1">
      <alignment wrapText="1"/>
    </xf>
    <xf numFmtId="3" fontId="30" fillId="0" borderId="14" xfId="0" applyNumberFormat="1" applyFont="1" applyBorder="1" applyAlignment="1">
      <alignment wrapText="1"/>
    </xf>
    <xf numFmtId="0" fontId="30" fillId="0" borderId="13" xfId="0" applyFont="1" applyBorder="1" applyAlignment="1">
      <alignment wrapText="1"/>
    </xf>
    <xf numFmtId="37" fontId="30" fillId="0" borderId="15" xfId="0" applyNumberFormat="1" applyFont="1" applyBorder="1" applyAlignment="1">
      <alignment wrapText="1"/>
    </xf>
    <xf numFmtId="37" fontId="30" fillId="0" borderId="72" xfId="0" applyNumberFormat="1" applyFont="1" applyBorder="1" applyAlignment="1">
      <alignment wrapText="1"/>
    </xf>
    <xf numFmtId="0" fontId="29" fillId="0" borderId="13" xfId="0" applyFont="1" applyBorder="1" applyAlignment="1">
      <alignment/>
    </xf>
    <xf numFmtId="3" fontId="29" fillId="0" borderId="15" xfId="0" applyNumberFormat="1" applyFont="1" applyBorder="1" applyAlignment="1">
      <alignment wrapText="1"/>
    </xf>
    <xf numFmtId="3" fontId="29" fillId="0" borderId="73" xfId="0" applyNumberFormat="1" applyFont="1" applyBorder="1" applyAlignment="1">
      <alignment wrapText="1"/>
    </xf>
    <xf numFmtId="3" fontId="29" fillId="0" borderId="14" xfId="0" applyNumberFormat="1" applyFont="1" applyBorder="1" applyAlignment="1">
      <alignment wrapText="1"/>
    </xf>
    <xf numFmtId="0" fontId="29" fillId="0" borderId="13" xfId="0" applyFont="1" applyBorder="1" applyAlignment="1">
      <alignment horizontal="left" wrapText="1"/>
    </xf>
    <xf numFmtId="0" fontId="29" fillId="0" borderId="13" xfId="0" applyFont="1" applyBorder="1" applyAlignment="1">
      <alignment/>
    </xf>
    <xf numFmtId="3" fontId="29" fillId="0" borderId="15" xfId="0" applyNumberFormat="1" applyFont="1" applyBorder="1" applyAlignment="1">
      <alignment wrapText="1"/>
    </xf>
    <xf numFmtId="3" fontId="29" fillId="0" borderId="73" xfId="0" applyNumberFormat="1" applyFont="1" applyBorder="1" applyAlignment="1">
      <alignment wrapText="1"/>
    </xf>
    <xf numFmtId="3" fontId="29" fillId="0" borderId="14" xfId="0" applyNumberFormat="1" applyFont="1" applyBorder="1" applyAlignment="1">
      <alignment wrapText="1"/>
    </xf>
    <xf numFmtId="0" fontId="30" fillId="0" borderId="38" xfId="0" applyFont="1" applyBorder="1" applyAlignment="1">
      <alignment/>
    </xf>
    <xf numFmtId="0" fontId="30" fillId="0" borderId="77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Border="1" applyAlignment="1">
      <alignment/>
    </xf>
    <xf numFmtId="3" fontId="30" fillId="0" borderId="15" xfId="0" applyNumberFormat="1" applyFont="1" applyBorder="1" applyAlignment="1">
      <alignment wrapText="1"/>
    </xf>
    <xf numFmtId="3" fontId="30" fillId="0" borderId="73" xfId="0" applyNumberFormat="1" applyFont="1" applyBorder="1" applyAlignment="1">
      <alignment wrapText="1"/>
    </xf>
    <xf numFmtId="3" fontId="30" fillId="0" borderId="14" xfId="0" applyNumberFormat="1" applyFont="1" applyBorder="1" applyAlignment="1">
      <alignment wrapText="1"/>
    </xf>
    <xf numFmtId="0" fontId="30" fillId="0" borderId="0" xfId="0" applyFont="1" applyAlignment="1">
      <alignment/>
    </xf>
    <xf numFmtId="0" fontId="30" fillId="0" borderId="13" xfId="0" applyFont="1" applyBorder="1" applyAlignment="1">
      <alignment wrapText="1"/>
    </xf>
    <xf numFmtId="0" fontId="29" fillId="0" borderId="0" xfId="0" applyFont="1" applyAlignment="1">
      <alignment/>
    </xf>
    <xf numFmtId="37" fontId="29" fillId="0" borderId="15" xfId="0" applyNumberFormat="1" applyFont="1" applyBorder="1" applyAlignment="1">
      <alignment wrapText="1"/>
    </xf>
    <xf numFmtId="37" fontId="29" fillId="0" borderId="72" xfId="0" applyNumberFormat="1" applyFont="1" applyBorder="1" applyAlignment="1">
      <alignment wrapText="1"/>
    </xf>
    <xf numFmtId="37" fontId="29" fillId="0" borderId="14" xfId="0" applyNumberFormat="1" applyFont="1" applyBorder="1" applyAlignment="1">
      <alignment wrapText="1"/>
    </xf>
    <xf numFmtId="0" fontId="29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0" borderId="13" xfId="0" applyFont="1" applyBorder="1" applyAlignment="1">
      <alignment/>
    </xf>
    <xf numFmtId="3" fontId="59" fillId="0" borderId="15" xfId="0" applyNumberFormat="1" applyFont="1" applyBorder="1" applyAlignment="1">
      <alignment wrapText="1"/>
    </xf>
    <xf numFmtId="3" fontId="59" fillId="0" borderId="73" xfId="0" applyNumberFormat="1" applyFont="1" applyBorder="1" applyAlignment="1">
      <alignment wrapText="1"/>
    </xf>
    <xf numFmtId="3" fontId="59" fillId="0" borderId="14" xfId="0" applyNumberFormat="1" applyFont="1" applyBorder="1" applyAlignment="1">
      <alignment wrapText="1"/>
    </xf>
    <xf numFmtId="0" fontId="58" fillId="0" borderId="0" xfId="0" applyFont="1" applyBorder="1" applyAlignment="1">
      <alignment/>
    </xf>
    <xf numFmtId="3" fontId="59" fillId="0" borderId="41" xfId="0" applyNumberFormat="1" applyFont="1" applyBorder="1" applyAlignment="1">
      <alignment wrapText="1"/>
    </xf>
    <xf numFmtId="3" fontId="59" fillId="0" borderId="51" xfId="0" applyNumberFormat="1" applyFont="1" applyBorder="1" applyAlignment="1">
      <alignment wrapText="1"/>
    </xf>
    <xf numFmtId="3" fontId="29" fillId="0" borderId="41" xfId="0" applyNumberFormat="1" applyFont="1" applyBorder="1" applyAlignment="1">
      <alignment wrapText="1"/>
    </xf>
    <xf numFmtId="3" fontId="29" fillId="0" borderId="51" xfId="0" applyNumberFormat="1" applyFont="1" applyBorder="1" applyAlignment="1">
      <alignment wrapText="1"/>
    </xf>
    <xf numFmtId="3" fontId="30" fillId="0" borderId="41" xfId="0" applyNumberFormat="1" applyFont="1" applyBorder="1" applyAlignment="1">
      <alignment wrapText="1"/>
    </xf>
    <xf numFmtId="3" fontId="30" fillId="0" borderId="51" xfId="0" applyNumberFormat="1" applyFont="1" applyBorder="1" applyAlignment="1">
      <alignment wrapText="1"/>
    </xf>
    <xf numFmtId="0" fontId="30" fillId="0" borderId="24" xfId="0" applyFont="1" applyBorder="1" applyAlignment="1">
      <alignment wrapText="1"/>
    </xf>
    <xf numFmtId="37" fontId="30" fillId="0" borderId="25" xfId="0" applyNumberFormat="1" applyFont="1" applyBorder="1" applyAlignment="1">
      <alignment vertical="center" wrapText="1"/>
    </xf>
    <xf numFmtId="37" fontId="30" fillId="0" borderId="18" xfId="0" applyNumberFormat="1" applyFont="1" applyBorder="1" applyAlignment="1">
      <alignment vertical="center" wrapText="1"/>
    </xf>
    <xf numFmtId="37" fontId="30" fillId="0" borderId="20" xfId="0" applyNumberFormat="1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justify" wrapText="1"/>
    </xf>
    <xf numFmtId="3" fontId="23" fillId="0" borderId="56" xfId="93" applyNumberFormat="1" applyFont="1" applyFill="1" applyBorder="1">
      <alignment/>
      <protection/>
    </xf>
    <xf numFmtId="3" fontId="23" fillId="0" borderId="44" xfId="93" applyNumberFormat="1" applyFont="1" applyFill="1" applyBorder="1" applyAlignment="1" quotePrefix="1">
      <alignment/>
      <protection/>
    </xf>
    <xf numFmtId="0" fontId="65" fillId="0" borderId="53" xfId="93" applyFont="1" applyFill="1" applyBorder="1">
      <alignment/>
      <protection/>
    </xf>
    <xf numFmtId="0" fontId="38" fillId="0" borderId="64" xfId="93" applyFont="1" applyBorder="1" applyAlignment="1">
      <alignment/>
      <protection/>
    </xf>
    <xf numFmtId="3" fontId="38" fillId="0" borderId="64" xfId="93" applyNumberFormat="1" applyFont="1" applyBorder="1">
      <alignment/>
      <protection/>
    </xf>
    <xf numFmtId="3" fontId="38" fillId="0" borderId="70" xfId="93" applyNumberFormat="1" applyFont="1" applyBorder="1">
      <alignment/>
      <protection/>
    </xf>
    <xf numFmtId="0" fontId="40" fillId="0" borderId="44" xfId="93" applyFont="1" applyBorder="1">
      <alignment/>
      <protection/>
    </xf>
    <xf numFmtId="3" fontId="23" fillId="0" borderId="44" xfId="93" applyNumberFormat="1" applyFont="1" applyBorder="1">
      <alignment/>
      <protection/>
    </xf>
    <xf numFmtId="0" fontId="40" fillId="0" borderId="44" xfId="93" applyFont="1" applyBorder="1">
      <alignment/>
      <protection/>
    </xf>
    <xf numFmtId="3" fontId="23" fillId="0" borderId="44" xfId="93" applyNumberFormat="1" applyFont="1" applyBorder="1" applyAlignment="1">
      <alignment horizontal="right"/>
      <protection/>
    </xf>
    <xf numFmtId="1" fontId="38" fillId="0" borderId="44" xfId="93" applyNumberFormat="1" applyFont="1" applyFill="1" applyBorder="1" applyAlignment="1">
      <alignment horizontal="center"/>
      <protection/>
    </xf>
    <xf numFmtId="0" fontId="40" fillId="0" borderId="54" xfId="93" applyFont="1" applyFill="1" applyBorder="1">
      <alignment/>
      <protection/>
    </xf>
    <xf numFmtId="3" fontId="38" fillId="0" borderId="14" xfId="94" applyNumberFormat="1" applyFont="1" applyBorder="1">
      <alignment/>
      <protection/>
    </xf>
    <xf numFmtId="0" fontId="23" fillId="0" borderId="50" xfId="94" applyFont="1" applyBorder="1" applyAlignment="1">
      <alignment horizontal="center"/>
      <protection/>
    </xf>
    <xf numFmtId="3" fontId="24" fillId="0" borderId="14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23" fillId="0" borderId="14" xfId="94" applyFont="1" applyBorder="1" applyAlignment="1">
      <alignment horizontal="center"/>
      <protection/>
    </xf>
    <xf numFmtId="3" fontId="23" fillId="0" borderId="20" xfId="94" applyNumberFormat="1" applyFont="1" applyBorder="1">
      <alignment/>
      <protection/>
    </xf>
    <xf numFmtId="3" fontId="38" fillId="0" borderId="51" xfId="94" applyNumberFormat="1" applyFont="1" applyBorder="1">
      <alignment/>
      <protection/>
    </xf>
    <xf numFmtId="0" fontId="23" fillId="0" borderId="78" xfId="94" applyFont="1" applyBorder="1" applyAlignment="1">
      <alignment horizontal="center"/>
      <protection/>
    </xf>
    <xf numFmtId="2" fontId="23" fillId="0" borderId="79" xfId="0" applyNumberFormat="1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/>
    </xf>
    <xf numFmtId="0" fontId="40" fillId="0" borderId="60" xfId="93" applyFont="1" applyFill="1" applyBorder="1" applyAlignment="1">
      <alignment horizontal="left"/>
      <protection/>
    </xf>
    <xf numFmtId="0" fontId="40" fillId="0" borderId="60" xfId="93" applyFont="1" applyFill="1" applyBorder="1" applyAlignment="1">
      <alignment horizontal="left"/>
      <protection/>
    </xf>
    <xf numFmtId="3" fontId="30" fillId="0" borderId="35" xfId="0" applyNumberFormat="1" applyFont="1" applyBorder="1" applyAlignment="1">
      <alignment horizontal="right" vertical="center" wrapText="1"/>
    </xf>
    <xf numFmtId="3" fontId="33" fillId="0" borderId="15" xfId="98" applyNumberFormat="1" applyFont="1" applyBorder="1">
      <alignment/>
      <protection/>
    </xf>
    <xf numFmtId="3" fontId="21" fillId="0" borderId="15" xfId="98" applyNumberFormat="1" applyFont="1" applyBorder="1">
      <alignment/>
      <protection/>
    </xf>
    <xf numFmtId="3" fontId="20" fillId="0" borderId="76" xfId="98" applyNumberFormat="1" applyFont="1" applyBorder="1">
      <alignment/>
      <protection/>
    </xf>
    <xf numFmtId="3" fontId="20" fillId="0" borderId="39" xfId="98" applyNumberFormat="1" applyFont="1" applyBorder="1">
      <alignment/>
      <protection/>
    </xf>
    <xf numFmtId="3" fontId="20" fillId="0" borderId="42" xfId="98" applyNumberFormat="1" applyFont="1" applyBorder="1">
      <alignment/>
      <protection/>
    </xf>
    <xf numFmtId="3" fontId="30" fillId="0" borderId="35" xfId="0" applyNumberFormat="1" applyFont="1" applyBorder="1" applyAlignment="1">
      <alignment/>
    </xf>
    <xf numFmtId="3" fontId="30" fillId="0" borderId="27" xfId="0" applyNumberFormat="1" applyFont="1" applyBorder="1" applyAlignment="1">
      <alignment/>
    </xf>
    <xf numFmtId="0" fontId="38" fillId="0" borderId="13" xfId="94" applyFont="1" applyBorder="1" quotePrefix="1">
      <alignment/>
      <protection/>
    </xf>
    <xf numFmtId="0" fontId="38" fillId="0" borderId="35" xfId="94" applyFont="1" applyBorder="1">
      <alignment/>
      <protection/>
    </xf>
    <xf numFmtId="0" fontId="23" fillId="0" borderId="27" xfId="94" applyFont="1" applyBorder="1">
      <alignment/>
      <protection/>
    </xf>
    <xf numFmtId="3" fontId="38" fillId="0" borderId="0" xfId="94" applyNumberFormat="1" applyFont="1">
      <alignment/>
      <protection/>
    </xf>
    <xf numFmtId="0" fontId="45" fillId="0" borderId="47" xfId="94" applyFont="1" applyBorder="1">
      <alignment/>
      <protection/>
    </xf>
    <xf numFmtId="3" fontId="45" fillId="0" borderId="48" xfId="94" applyNumberFormat="1" applyFont="1" applyBorder="1">
      <alignment/>
      <protection/>
    </xf>
    <xf numFmtId="0" fontId="23" fillId="0" borderId="47" xfId="94" applyFont="1" applyBorder="1">
      <alignment/>
      <protection/>
    </xf>
    <xf numFmtId="3" fontId="23" fillId="0" borderId="48" xfId="94" applyNumberFormat="1" applyFont="1" applyBorder="1">
      <alignment/>
      <protection/>
    </xf>
    <xf numFmtId="0" fontId="30" fillId="0" borderId="47" xfId="0" applyFont="1" applyBorder="1" applyAlignment="1">
      <alignment shrinkToFit="1"/>
    </xf>
    <xf numFmtId="3" fontId="30" fillId="0" borderId="48" xfId="0" applyNumberFormat="1" applyFont="1" applyBorder="1" applyAlignment="1">
      <alignment/>
    </xf>
    <xf numFmtId="3" fontId="30" fillId="0" borderId="51" xfId="0" applyNumberFormat="1" applyFont="1" applyBorder="1" applyAlignment="1">
      <alignment/>
    </xf>
    <xf numFmtId="3" fontId="30" fillId="0" borderId="51" xfId="0" applyNumberFormat="1" applyFont="1" applyBorder="1" applyAlignment="1">
      <alignment horizontal="right" vertical="center" wrapText="1"/>
    </xf>
    <xf numFmtId="3" fontId="30" fillId="0" borderId="51" xfId="0" applyNumberFormat="1" applyFont="1" applyBorder="1" applyAlignment="1">
      <alignment horizontal="right" vertical="center" wrapText="1"/>
    </xf>
    <xf numFmtId="0" fontId="59" fillId="0" borderId="13" xfId="0" applyFont="1" applyBorder="1" applyAlignment="1" quotePrefix="1">
      <alignment vertical="center" wrapText="1"/>
    </xf>
    <xf numFmtId="3" fontId="30" fillId="0" borderId="51" xfId="0" applyNumberFormat="1" applyFont="1" applyBorder="1" applyAlignment="1">
      <alignment wrapText="1"/>
    </xf>
    <xf numFmtId="3" fontId="38" fillId="0" borderId="35" xfId="94" applyNumberFormat="1" applyFont="1" applyBorder="1">
      <alignment/>
      <protection/>
    </xf>
    <xf numFmtId="3" fontId="23" fillId="0" borderId="35" xfId="94" applyNumberFormat="1" applyFont="1" applyBorder="1">
      <alignment/>
      <protection/>
    </xf>
    <xf numFmtId="0" fontId="23" fillId="0" borderId="13" xfId="94" applyFont="1" applyBorder="1" applyAlignment="1">
      <alignment wrapText="1"/>
      <protection/>
    </xf>
    <xf numFmtId="0" fontId="38" fillId="0" borderId="0" xfId="95" applyFont="1" applyAlignment="1">
      <alignment horizontal="center" vertical="center" wrapText="1"/>
      <protection/>
    </xf>
    <xf numFmtId="0" fontId="38" fillId="0" borderId="0" xfId="95" applyFont="1">
      <alignment/>
      <protection/>
    </xf>
    <xf numFmtId="0" fontId="23" fillId="0" borderId="0" xfId="95" applyFont="1">
      <alignment/>
      <protection/>
    </xf>
    <xf numFmtId="3" fontId="38" fillId="0" borderId="0" xfId="95" applyNumberFormat="1" applyFont="1">
      <alignment/>
      <protection/>
    </xf>
    <xf numFmtId="0" fontId="32" fillId="0" borderId="0" xfId="95" applyAlignment="1">
      <alignment horizontal="center" vertical="center" wrapText="1"/>
      <protection/>
    </xf>
    <xf numFmtId="0" fontId="32" fillId="0" borderId="0" xfId="95">
      <alignment/>
      <protection/>
    </xf>
    <xf numFmtId="3" fontId="23" fillId="0" borderId="80" xfId="97" applyNumberFormat="1" applyFont="1" applyFill="1" applyBorder="1" applyAlignment="1">
      <alignment horizontal="right" vertical="center"/>
      <protection/>
    </xf>
    <xf numFmtId="3" fontId="40" fillId="0" borderId="0" xfId="97" applyNumberFormat="1" applyFont="1" applyFill="1" applyBorder="1" applyAlignment="1">
      <alignment horizontal="center" vertical="center"/>
      <protection/>
    </xf>
    <xf numFmtId="0" fontId="38" fillId="0" borderId="0" xfId="97" applyFont="1" applyFill="1">
      <alignment/>
      <protection/>
    </xf>
    <xf numFmtId="0" fontId="38" fillId="0" borderId="44" xfId="97" applyFont="1" applyFill="1" applyBorder="1" applyAlignment="1">
      <alignment vertical="center" wrapText="1"/>
      <protection/>
    </xf>
    <xf numFmtId="3" fontId="38" fillId="0" borderId="44" xfId="97" applyNumberFormat="1" applyFont="1" applyFill="1" applyBorder="1" applyAlignment="1">
      <alignment vertical="center"/>
      <protection/>
    </xf>
    <xf numFmtId="3" fontId="38" fillId="0" borderId="59" xfId="97" applyNumberFormat="1" applyFont="1" applyFill="1" applyBorder="1" applyAlignment="1">
      <alignment vertical="center"/>
      <protection/>
    </xf>
    <xf numFmtId="0" fontId="38" fillId="0" borderId="44" xfId="97" applyFont="1" applyFill="1" applyBorder="1" applyAlignment="1">
      <alignment vertical="center" wrapText="1"/>
      <protection/>
    </xf>
    <xf numFmtId="3" fontId="38" fillId="0" borderId="44" xfId="97" applyNumberFormat="1" applyFont="1" applyFill="1" applyBorder="1" applyAlignment="1">
      <alignment vertical="center"/>
      <protection/>
    </xf>
    <xf numFmtId="3" fontId="38" fillId="0" borderId="59" xfId="97" applyNumberFormat="1" applyFont="1" applyFill="1" applyBorder="1" applyAlignment="1">
      <alignment vertical="center"/>
      <protection/>
    </xf>
    <xf numFmtId="0" fontId="23" fillId="0" borderId="44" xfId="97" applyFont="1" applyFill="1" applyBorder="1" applyAlignment="1">
      <alignment vertical="center" wrapText="1"/>
      <protection/>
    </xf>
    <xf numFmtId="3" fontId="23" fillId="0" borderId="44" xfId="97" applyNumberFormat="1" applyFont="1" applyFill="1" applyBorder="1" applyAlignment="1">
      <alignment vertical="center"/>
      <protection/>
    </xf>
    <xf numFmtId="0" fontId="23" fillId="0" borderId="44" xfId="97" applyFont="1" applyFill="1" applyBorder="1" applyAlignment="1">
      <alignment vertical="center" wrapText="1"/>
      <protection/>
    </xf>
    <xf numFmtId="3" fontId="23" fillId="0" borderId="44" xfId="97" applyNumberFormat="1" applyFont="1" applyFill="1" applyBorder="1" applyAlignment="1">
      <alignment vertical="center"/>
      <protection/>
    </xf>
    <xf numFmtId="0" fontId="38" fillId="0" borderId="0" xfId="97" applyFont="1" applyFill="1" applyBorder="1">
      <alignment/>
      <protection/>
    </xf>
    <xf numFmtId="0" fontId="41" fillId="0" borderId="0" xfId="99" applyFont="1" applyFill="1" applyBorder="1" applyAlignment="1">
      <alignment horizontal="center" vertical="center"/>
      <protection/>
    </xf>
    <xf numFmtId="3" fontId="38" fillId="0" borderId="0" xfId="97" applyNumberFormat="1" applyFont="1" applyFill="1">
      <alignment/>
      <protection/>
    </xf>
    <xf numFmtId="3" fontId="23" fillId="0" borderId="59" xfId="97" applyNumberFormat="1" applyFont="1" applyFill="1" applyBorder="1" applyAlignment="1">
      <alignment vertical="center"/>
      <protection/>
    </xf>
    <xf numFmtId="0" fontId="32" fillId="0" borderId="81" xfId="94" applyBorder="1" applyAlignment="1">
      <alignment horizontal="left"/>
      <protection/>
    </xf>
    <xf numFmtId="3" fontId="32" fillId="0" borderId="81" xfId="94" applyNumberFormat="1" applyBorder="1">
      <alignment/>
      <protection/>
    </xf>
    <xf numFmtId="3" fontId="38" fillId="0" borderId="81" xfId="94" applyNumberFormat="1" applyFont="1" applyBorder="1">
      <alignment/>
      <protection/>
    </xf>
    <xf numFmtId="3" fontId="32" fillId="0" borderId="0" xfId="94" applyNumberFormat="1" applyBorder="1" applyAlignment="1">
      <alignment horizontal="left"/>
      <protection/>
    </xf>
    <xf numFmtId="3" fontId="32" fillId="0" borderId="0" xfId="94" applyNumberFormat="1" applyBorder="1">
      <alignment/>
      <protection/>
    </xf>
    <xf numFmtId="3" fontId="38" fillId="0" borderId="0" xfId="94" applyNumberFormat="1" applyFont="1" applyBorder="1">
      <alignment/>
      <protection/>
    </xf>
    <xf numFmtId="3" fontId="32" fillId="0" borderId="77" xfId="94" applyNumberFormat="1" applyBorder="1" applyAlignment="1">
      <alignment horizontal="left"/>
      <protection/>
    </xf>
    <xf numFmtId="3" fontId="32" fillId="0" borderId="77" xfId="94" applyNumberFormat="1" applyBorder="1">
      <alignment/>
      <protection/>
    </xf>
    <xf numFmtId="3" fontId="38" fillId="0" borderId="77" xfId="94" applyNumberFormat="1" applyFont="1" applyBorder="1">
      <alignment/>
      <protection/>
    </xf>
    <xf numFmtId="3" fontId="23" fillId="0" borderId="82" xfId="97" applyNumberFormat="1" applyFont="1" applyFill="1" applyBorder="1" applyAlignment="1">
      <alignment horizontal="right" vertical="center"/>
      <protection/>
    </xf>
    <xf numFmtId="3" fontId="45" fillId="0" borderId="27" xfId="94" applyNumberFormat="1" applyFont="1" applyBorder="1">
      <alignment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29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Alignment="1">
      <alignment/>
    </xf>
    <xf numFmtId="0" fontId="24" fillId="0" borderId="51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49" fontId="24" fillId="0" borderId="83" xfId="0" applyNumberFormat="1" applyFont="1" applyFill="1" applyBorder="1" applyAlignment="1">
      <alignment horizontal="left" vertical="center"/>
    </xf>
    <xf numFmtId="0" fontId="24" fillId="0" borderId="84" xfId="0" applyFont="1" applyFill="1" applyBorder="1" applyAlignment="1">
      <alignment horizontal="center" vertical="center" wrapText="1"/>
    </xf>
    <xf numFmtId="0" fontId="24" fillId="0" borderId="83" xfId="0" applyFont="1" applyFill="1" applyBorder="1" applyAlignment="1">
      <alignment horizontal="center" vertical="center" wrapText="1"/>
    </xf>
    <xf numFmtId="0" fontId="24" fillId="0" borderId="85" xfId="0" applyFont="1" applyFill="1" applyBorder="1" applyAlignment="1">
      <alignment horizontal="center" vertical="center" wrapText="1"/>
    </xf>
    <xf numFmtId="3" fontId="28" fillId="0" borderId="15" xfId="0" applyNumberFormat="1" applyFont="1" applyFill="1" applyBorder="1" applyAlignment="1">
      <alignment/>
    </xf>
    <xf numFmtId="2" fontId="29" fillId="0" borderId="22" xfId="0" applyNumberFormat="1" applyFont="1" applyFill="1" applyBorder="1" applyAlignment="1">
      <alignment/>
    </xf>
    <xf numFmtId="3" fontId="29" fillId="0" borderId="22" xfId="0" applyNumberFormat="1" applyFont="1" applyFill="1" applyBorder="1" applyAlignment="1">
      <alignment horizontal="center"/>
    </xf>
    <xf numFmtId="3" fontId="29" fillId="0" borderId="22" xfId="0" applyNumberFormat="1" applyFont="1" applyFill="1" applyBorder="1" applyAlignment="1">
      <alignment horizontal="right"/>
    </xf>
    <xf numFmtId="3" fontId="58" fillId="0" borderId="23" xfId="0" applyNumberFormat="1" applyFont="1" applyFill="1" applyBorder="1" applyAlignment="1">
      <alignment horizontal="right"/>
    </xf>
    <xf numFmtId="3" fontId="58" fillId="0" borderId="22" xfId="0" applyNumberFormat="1" applyFont="1" applyFill="1" applyBorder="1" applyAlignment="1">
      <alignment horizontal="right"/>
    </xf>
    <xf numFmtId="2" fontId="29" fillId="0" borderId="15" xfId="0" applyNumberFormat="1" applyFont="1" applyFill="1" applyBorder="1" applyAlignment="1">
      <alignment/>
    </xf>
    <xf numFmtId="3" fontId="29" fillId="0" borderId="15" xfId="0" applyNumberFormat="1" applyFont="1" applyFill="1" applyBorder="1" applyAlignment="1">
      <alignment horizontal="center"/>
    </xf>
    <xf numFmtId="0" fontId="36" fillId="0" borderId="15" xfId="0" applyFont="1" applyFill="1" applyBorder="1" applyAlignment="1">
      <alignment/>
    </xf>
    <xf numFmtId="3" fontId="36" fillId="0" borderId="15" xfId="0" applyNumberFormat="1" applyFont="1" applyFill="1" applyBorder="1" applyAlignment="1">
      <alignment horizontal="center"/>
    </xf>
    <xf numFmtId="3" fontId="36" fillId="0" borderId="15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0" fontId="24" fillId="0" borderId="0" xfId="0" applyFont="1" applyFill="1" applyAlignment="1">
      <alignment/>
    </xf>
    <xf numFmtId="3" fontId="29" fillId="0" borderId="15" xfId="0" applyNumberFormat="1" applyFont="1" applyFill="1" applyBorder="1" applyAlignment="1">
      <alignment/>
    </xf>
    <xf numFmtId="49" fontId="36" fillId="0" borderId="15" xfId="0" applyNumberFormat="1" applyFont="1" applyFill="1" applyBorder="1" applyAlignment="1">
      <alignment horizontal="right"/>
    </xf>
    <xf numFmtId="49" fontId="29" fillId="0" borderId="15" xfId="0" applyNumberFormat="1" applyFont="1" applyFill="1" applyBorder="1" applyAlignment="1">
      <alignment horizontal="right"/>
    </xf>
    <xf numFmtId="49" fontId="29" fillId="0" borderId="72" xfId="0" applyNumberFormat="1" applyFont="1" applyFill="1" applyBorder="1" applyAlignment="1">
      <alignment vertical="center" wrapText="1"/>
    </xf>
    <xf numFmtId="49" fontId="30" fillId="0" borderId="72" xfId="0" applyNumberFormat="1" applyFont="1" applyFill="1" applyBorder="1" applyAlignment="1">
      <alignment/>
    </xf>
    <xf numFmtId="0" fontId="30" fillId="0" borderId="15" xfId="0" applyFont="1" applyFill="1" applyBorder="1" applyAlignment="1">
      <alignment/>
    </xf>
    <xf numFmtId="3" fontId="30" fillId="0" borderId="15" xfId="0" applyNumberFormat="1" applyFont="1" applyFill="1" applyBorder="1" applyAlignment="1">
      <alignment horizontal="center"/>
    </xf>
    <xf numFmtId="0" fontId="30" fillId="0" borderId="15" xfId="0" applyFont="1" applyFill="1" applyBorder="1" applyAlignment="1">
      <alignment horizontal="right" vertical="center" wrapText="1"/>
    </xf>
    <xf numFmtId="49" fontId="29" fillId="0" borderId="72" xfId="0" applyNumberFormat="1" applyFont="1" applyFill="1" applyBorder="1" applyAlignment="1">
      <alignment vertical="center" wrapText="1"/>
    </xf>
    <xf numFmtId="3" fontId="36" fillId="0" borderId="15" xfId="0" applyNumberFormat="1" applyFont="1" applyFill="1" applyBorder="1" applyAlignment="1">
      <alignment/>
    </xf>
    <xf numFmtId="49" fontId="30" fillId="0" borderId="72" xfId="0" applyNumberFormat="1" applyFont="1" applyFill="1" applyBorder="1" applyAlignment="1">
      <alignment vertical="center" wrapText="1"/>
    </xf>
    <xf numFmtId="3" fontId="29" fillId="0" borderId="15" xfId="0" applyNumberFormat="1" applyFont="1" applyFill="1" applyBorder="1" applyAlignment="1">
      <alignment/>
    </xf>
    <xf numFmtId="0" fontId="29" fillId="0" borderId="15" xfId="0" applyFont="1" applyFill="1" applyBorder="1" applyAlignment="1">
      <alignment horizontal="right"/>
    </xf>
    <xf numFmtId="49" fontId="28" fillId="0" borderId="72" xfId="0" applyNumberFormat="1" applyFont="1" applyFill="1" applyBorder="1" applyAlignment="1">
      <alignment vertical="center" wrapText="1"/>
    </xf>
    <xf numFmtId="3" fontId="29" fillId="0" borderId="48" xfId="0" applyNumberFormat="1" applyFont="1" applyFill="1" applyBorder="1" applyAlignment="1">
      <alignment horizontal="center"/>
    </xf>
    <xf numFmtId="3" fontId="29" fillId="0" borderId="48" xfId="0" applyNumberFormat="1" applyFont="1" applyFill="1" applyBorder="1" applyAlignment="1">
      <alignment horizontal="right"/>
    </xf>
    <xf numFmtId="3" fontId="30" fillId="0" borderId="51" xfId="0" applyNumberFormat="1" applyFont="1" applyFill="1" applyBorder="1" applyAlignment="1">
      <alignment horizontal="right"/>
    </xf>
    <xf numFmtId="3" fontId="30" fillId="0" borderId="48" xfId="0" applyNumberFormat="1" applyFont="1" applyFill="1" applyBorder="1" applyAlignment="1">
      <alignment horizontal="right"/>
    </xf>
    <xf numFmtId="172" fontId="29" fillId="0" borderId="48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49" fontId="61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3" fontId="30" fillId="0" borderId="0" xfId="0" applyNumberFormat="1" applyFont="1" applyFill="1" applyAlignment="1">
      <alignment horizontal="center"/>
    </xf>
    <xf numFmtId="3" fontId="30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9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left"/>
    </xf>
    <xf numFmtId="49" fontId="29" fillId="0" borderId="0" xfId="0" applyNumberFormat="1" applyFont="1" applyFill="1" applyAlignment="1">
      <alignment/>
    </xf>
    <xf numFmtId="0" fontId="38" fillId="0" borderId="86" xfId="93" applyFont="1" applyFill="1" applyBorder="1">
      <alignment/>
      <protection/>
    </xf>
    <xf numFmtId="1" fontId="38" fillId="0" borderId="87" xfId="93" applyNumberFormat="1" applyFont="1" applyFill="1" applyBorder="1" applyAlignment="1">
      <alignment horizontal="center"/>
      <protection/>
    </xf>
    <xf numFmtId="0" fontId="38" fillId="0" borderId="87" xfId="93" applyFont="1" applyFill="1" applyBorder="1" applyAlignment="1">
      <alignment/>
      <protection/>
    </xf>
    <xf numFmtId="3" fontId="21" fillId="0" borderId="38" xfId="98" applyNumberFormat="1" applyFont="1" applyBorder="1">
      <alignment/>
      <protection/>
    </xf>
    <xf numFmtId="3" fontId="21" fillId="0" borderId="88" xfId="98" applyNumberFormat="1" applyFont="1" applyBorder="1">
      <alignment/>
      <protection/>
    </xf>
    <xf numFmtId="3" fontId="33" fillId="0" borderId="76" xfId="98" applyNumberFormat="1" applyFont="1" applyBorder="1">
      <alignment/>
      <protection/>
    </xf>
    <xf numFmtId="3" fontId="21" fillId="0" borderId="76" xfId="98" applyNumberFormat="1" applyFont="1" applyBorder="1">
      <alignment/>
      <protection/>
    </xf>
    <xf numFmtId="3" fontId="21" fillId="0" borderId="89" xfId="98" applyNumberFormat="1" applyFont="1" applyBorder="1">
      <alignment/>
      <protection/>
    </xf>
    <xf numFmtId="3" fontId="21" fillId="0" borderId="90" xfId="98" applyNumberFormat="1" applyFont="1" applyBorder="1">
      <alignment/>
      <protection/>
    </xf>
    <xf numFmtId="3" fontId="33" fillId="0" borderId="90" xfId="98" applyNumberFormat="1" applyFont="1" applyBorder="1">
      <alignment/>
      <protection/>
    </xf>
    <xf numFmtId="3" fontId="33" fillId="0" borderId="90" xfId="98" applyNumberFormat="1" applyFont="1" applyBorder="1">
      <alignment/>
      <protection/>
    </xf>
    <xf numFmtId="3" fontId="21" fillId="0" borderId="91" xfId="98" applyNumberFormat="1" applyFont="1" applyBorder="1">
      <alignment/>
      <protection/>
    </xf>
    <xf numFmtId="3" fontId="21" fillId="0" borderId="22" xfId="98" applyNumberFormat="1" applyFont="1" applyBorder="1">
      <alignment/>
      <protection/>
    </xf>
    <xf numFmtId="3" fontId="33" fillId="0" borderId="15" xfId="98" applyNumberFormat="1" applyFont="1" applyBorder="1">
      <alignment/>
      <protection/>
    </xf>
    <xf numFmtId="3" fontId="33" fillId="0" borderId="22" xfId="98" applyNumberFormat="1" applyFont="1" applyBorder="1">
      <alignment/>
      <protection/>
    </xf>
    <xf numFmtId="3" fontId="21" fillId="0" borderId="15" xfId="98" applyNumberFormat="1" applyFont="1" applyBorder="1">
      <alignment/>
      <protection/>
    </xf>
    <xf numFmtId="0" fontId="21" fillId="0" borderId="29" xfId="98" applyFont="1" applyBorder="1" applyAlignment="1" quotePrefix="1">
      <alignment horizontal="left"/>
      <protection/>
    </xf>
    <xf numFmtId="0" fontId="21" fillId="0" borderId="33" xfId="98" applyFont="1" applyBorder="1">
      <alignment/>
      <protection/>
    </xf>
    <xf numFmtId="0" fontId="21" fillId="0" borderId="33" xfId="98" applyFont="1" applyBorder="1" applyAlignment="1">
      <alignment/>
      <protection/>
    </xf>
    <xf numFmtId="0" fontId="21" fillId="0" borderId="33" xfId="0" applyFont="1" applyBorder="1" applyAlignment="1">
      <alignment/>
    </xf>
    <xf numFmtId="0" fontId="34" fillId="0" borderId="33" xfId="100" applyFont="1" applyBorder="1">
      <alignment/>
      <protection/>
    </xf>
    <xf numFmtId="0" fontId="21" fillId="0" borderId="33" xfId="0" applyFont="1" applyBorder="1" applyAlignment="1">
      <alignment shrinkToFit="1"/>
    </xf>
    <xf numFmtId="0" fontId="33" fillId="0" borderId="33" xfId="0" applyFont="1" applyBorder="1" applyAlignment="1">
      <alignment shrinkToFit="1"/>
    </xf>
    <xf numFmtId="0" fontId="33" fillId="0" borderId="33" xfId="98" applyFont="1" applyBorder="1">
      <alignment/>
      <protection/>
    </xf>
    <xf numFmtId="0" fontId="33" fillId="0" borderId="36" xfId="98" applyFont="1" applyBorder="1">
      <alignment/>
      <protection/>
    </xf>
    <xf numFmtId="0" fontId="21" fillId="0" borderId="38" xfId="98" applyFont="1" applyBorder="1" applyAlignment="1">
      <alignment wrapText="1"/>
      <protection/>
    </xf>
    <xf numFmtId="0" fontId="20" fillId="0" borderId="40" xfId="98" applyFont="1" applyBorder="1">
      <alignment/>
      <protection/>
    </xf>
    <xf numFmtId="3" fontId="33" fillId="0" borderId="72" xfId="98" applyNumberFormat="1" applyFont="1" applyBorder="1">
      <alignment/>
      <protection/>
    </xf>
    <xf numFmtId="3" fontId="21" fillId="0" borderId="91" xfId="98" applyNumberFormat="1" applyFont="1" applyBorder="1">
      <alignment/>
      <protection/>
    </xf>
    <xf numFmtId="3" fontId="20" fillId="0" borderId="35" xfId="98" applyNumberFormat="1" applyFont="1" applyBorder="1">
      <alignment/>
      <protection/>
    </xf>
    <xf numFmtId="0" fontId="32" fillId="0" borderId="77" xfId="94" applyBorder="1">
      <alignment/>
      <protection/>
    </xf>
    <xf numFmtId="0" fontId="23" fillId="0" borderId="0" xfId="94" applyFont="1" applyBorder="1">
      <alignment/>
      <protection/>
    </xf>
    <xf numFmtId="0" fontId="38" fillId="0" borderId="0" xfId="94" applyFont="1" applyBorder="1">
      <alignment/>
      <protection/>
    </xf>
    <xf numFmtId="3" fontId="21" fillId="0" borderId="92" xfId="98" applyNumberFormat="1" applyFont="1" applyBorder="1">
      <alignment/>
      <protection/>
    </xf>
    <xf numFmtId="3" fontId="21" fillId="0" borderId="27" xfId="98" applyNumberFormat="1" applyFont="1" applyBorder="1">
      <alignment/>
      <protection/>
    </xf>
    <xf numFmtId="3" fontId="35" fillId="0" borderId="0" xfId="98" applyNumberFormat="1" applyFont="1">
      <alignment/>
      <protection/>
    </xf>
    <xf numFmtId="0" fontId="38" fillId="0" borderId="93" xfId="93" applyFont="1" applyFill="1" applyBorder="1" applyAlignment="1">
      <alignment/>
      <protection/>
    </xf>
    <xf numFmtId="49" fontId="38" fillId="0" borderId="94" xfId="93" applyNumberFormat="1" applyFont="1" applyFill="1" applyBorder="1" applyAlignment="1">
      <alignment horizontal="center"/>
      <protection/>
    </xf>
    <xf numFmtId="1" fontId="38" fillId="0" borderId="94" xfId="93" applyNumberFormat="1" applyFont="1" applyFill="1" applyBorder="1" applyAlignment="1">
      <alignment horizontal="center"/>
      <protection/>
    </xf>
    <xf numFmtId="3" fontId="38" fillId="0" borderId="44" xfId="93" applyNumberFormat="1" applyFont="1" applyFill="1" applyBorder="1" applyAlignment="1">
      <alignment wrapText="1"/>
      <protection/>
    </xf>
    <xf numFmtId="3" fontId="23" fillId="0" borderId="44" xfId="93" applyNumberFormat="1" applyFont="1" applyFill="1" applyBorder="1" applyAlignment="1">
      <alignment wrapText="1"/>
      <protection/>
    </xf>
    <xf numFmtId="0" fontId="23" fillId="0" borderId="21" xfId="0" applyFont="1" applyBorder="1" applyAlignment="1">
      <alignment horizontal="justify" vertical="top" wrapText="1"/>
    </xf>
    <xf numFmtId="2" fontId="23" fillId="0" borderId="14" xfId="0" applyNumberFormat="1" applyFont="1" applyBorder="1" applyAlignment="1">
      <alignment horizontal="center" vertical="top" wrapText="1"/>
    </xf>
    <xf numFmtId="2" fontId="23" fillId="0" borderId="51" xfId="0" applyNumberFormat="1" applyFont="1" applyBorder="1" applyAlignment="1">
      <alignment horizontal="center" vertical="top" wrapText="1"/>
    </xf>
    <xf numFmtId="2" fontId="23" fillId="0" borderId="15" xfId="0" applyNumberFormat="1" applyFont="1" applyBorder="1" applyAlignment="1">
      <alignment horizontal="center" vertical="top" wrapText="1"/>
    </xf>
    <xf numFmtId="0" fontId="38" fillId="0" borderId="0" xfId="0" applyFont="1" applyBorder="1" applyAlignment="1">
      <alignment/>
    </xf>
    <xf numFmtId="0" fontId="38" fillId="0" borderId="95" xfId="0" applyFont="1" applyBorder="1" applyAlignment="1">
      <alignment horizontal="justify" vertical="top" wrapText="1"/>
    </xf>
    <xf numFmtId="0" fontId="23" fillId="0" borderId="96" xfId="0" applyFont="1" applyBorder="1" applyAlignment="1">
      <alignment horizontal="justify" vertical="top" wrapText="1"/>
    </xf>
    <xf numFmtId="2" fontId="49" fillId="0" borderId="14" xfId="0" applyNumberFormat="1" applyFont="1" applyBorder="1" applyAlignment="1">
      <alignment horizontal="center" vertical="top" wrapText="1"/>
    </xf>
    <xf numFmtId="0" fontId="23" fillId="0" borderId="44" xfId="93" applyFont="1" applyFill="1" applyBorder="1" applyAlignment="1">
      <alignment horizontal="left"/>
      <protection/>
    </xf>
    <xf numFmtId="0" fontId="23" fillId="0" borderId="59" xfId="93" applyFont="1" applyFill="1" applyBorder="1" applyAlignment="1">
      <alignment horizontal="left"/>
      <protection/>
    </xf>
    <xf numFmtId="0" fontId="23" fillId="0" borderId="44" xfId="93" applyFont="1" applyFill="1" applyBorder="1" applyAlignment="1">
      <alignment horizontal="left"/>
      <protection/>
    </xf>
    <xf numFmtId="0" fontId="23" fillId="0" borderId="59" xfId="93" applyFont="1" applyFill="1" applyBorder="1" applyAlignment="1">
      <alignment horizontal="left"/>
      <protection/>
    </xf>
    <xf numFmtId="1" fontId="23" fillId="0" borderId="62" xfId="92" applyNumberFormat="1" applyFont="1" applyFill="1" applyBorder="1" applyAlignment="1">
      <alignment horizontal="left" vertical="center"/>
      <protection/>
    </xf>
    <xf numFmtId="1" fontId="23" fillId="0" borderId="64" xfId="92" applyNumberFormat="1" applyFont="1" applyFill="1" applyBorder="1" applyAlignment="1">
      <alignment horizontal="left" vertical="center"/>
      <protection/>
    </xf>
    <xf numFmtId="0" fontId="23" fillId="0" borderId="64" xfId="93" applyFont="1" applyFill="1" applyBorder="1" applyAlignment="1">
      <alignment horizontal="left"/>
      <protection/>
    </xf>
    <xf numFmtId="1" fontId="23" fillId="0" borderId="44" xfId="92" applyNumberFormat="1" applyFont="1" applyBorder="1" applyAlignment="1">
      <alignment horizontal="left" vertical="center"/>
      <protection/>
    </xf>
    <xf numFmtId="0" fontId="23" fillId="0" borderId="86" xfId="93" applyFont="1" applyFill="1" applyBorder="1" applyAlignment="1">
      <alignment horizontal="left"/>
      <protection/>
    </xf>
    <xf numFmtId="0" fontId="23" fillId="0" borderId="97" xfId="93" applyFont="1" applyFill="1" applyBorder="1" applyAlignment="1">
      <alignment horizontal="left"/>
      <protection/>
    </xf>
    <xf numFmtId="0" fontId="23" fillId="0" borderId="93" xfId="93" applyFont="1" applyFill="1" applyBorder="1" applyAlignment="1">
      <alignment horizontal="left"/>
      <protection/>
    </xf>
    <xf numFmtId="0" fontId="23" fillId="0" borderId="86" xfId="93" applyFont="1" applyFill="1" applyBorder="1" applyAlignment="1">
      <alignment horizontal="center"/>
      <protection/>
    </xf>
    <xf numFmtId="0" fontId="23" fillId="0" borderId="97" xfId="93" applyFont="1" applyFill="1" applyBorder="1" applyAlignment="1">
      <alignment horizontal="center"/>
      <protection/>
    </xf>
    <xf numFmtId="0" fontId="23" fillId="0" borderId="93" xfId="93" applyFont="1" applyFill="1" applyBorder="1" applyAlignment="1">
      <alignment horizontal="center"/>
      <protection/>
    </xf>
    <xf numFmtId="0" fontId="22" fillId="0" borderId="98" xfId="0" applyFont="1" applyBorder="1" applyAlignment="1">
      <alignment horizontal="center" vertical="center" wrapText="1"/>
    </xf>
    <xf numFmtId="3" fontId="22" fillId="0" borderId="99" xfId="0" applyNumberFormat="1" applyFont="1" applyBorder="1" applyAlignment="1">
      <alignment/>
    </xf>
    <xf numFmtId="3" fontId="24" fillId="0" borderId="90" xfId="0" applyNumberFormat="1" applyFont="1" applyBorder="1" applyAlignment="1">
      <alignment/>
    </xf>
    <xf numFmtId="3" fontId="22" fillId="0" borderId="90" xfId="0" applyNumberFormat="1" applyFont="1" applyBorder="1" applyAlignment="1">
      <alignment/>
    </xf>
    <xf numFmtId="3" fontId="24" fillId="0" borderId="73" xfId="0" applyNumberFormat="1" applyFont="1" applyBorder="1" applyAlignment="1">
      <alignment/>
    </xf>
    <xf numFmtId="3" fontId="24" fillId="0" borderId="73" xfId="0" applyNumberFormat="1" applyFont="1" applyBorder="1" applyAlignment="1">
      <alignment/>
    </xf>
    <xf numFmtId="3" fontId="24" fillId="0" borderId="90" xfId="0" applyNumberFormat="1" applyFont="1" applyBorder="1" applyAlignment="1">
      <alignment/>
    </xf>
    <xf numFmtId="0" fontId="24" fillId="0" borderId="90" xfId="0" applyFont="1" applyBorder="1" applyAlignment="1">
      <alignment/>
    </xf>
    <xf numFmtId="3" fontId="22" fillId="0" borderId="90" xfId="0" applyNumberFormat="1" applyFont="1" applyBorder="1" applyAlignment="1">
      <alignment/>
    </xf>
    <xf numFmtId="3" fontId="26" fillId="0" borderId="90" xfId="0" applyNumberFormat="1" applyFont="1" applyBorder="1" applyAlignment="1">
      <alignment/>
    </xf>
    <xf numFmtId="3" fontId="22" fillId="0" borderId="73" xfId="0" applyNumberFormat="1" applyFont="1" applyBorder="1" applyAlignment="1">
      <alignment/>
    </xf>
    <xf numFmtId="3" fontId="22" fillId="0" borderId="98" xfId="0" applyNumberFormat="1" applyFont="1" applyBorder="1" applyAlignment="1">
      <alignment/>
    </xf>
    <xf numFmtId="0" fontId="22" fillId="0" borderId="25" xfId="0" applyFont="1" applyBorder="1" applyAlignment="1">
      <alignment horizontal="center" vertical="center" wrapText="1"/>
    </xf>
    <xf numFmtId="3" fontId="22" fillId="0" borderId="46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26" fillId="0" borderId="15" xfId="0" applyNumberFormat="1" applyFont="1" applyBorder="1" applyAlignment="1">
      <alignment/>
    </xf>
    <xf numFmtId="3" fontId="22" fillId="0" borderId="98" xfId="0" applyNumberFormat="1" applyFont="1" applyBorder="1" applyAlignment="1">
      <alignment horizontal="center" vertical="center" wrapText="1"/>
    </xf>
    <xf numFmtId="3" fontId="22" fillId="0" borderId="99" xfId="0" applyNumberFormat="1" applyFont="1" applyBorder="1" applyAlignment="1">
      <alignment/>
    </xf>
    <xf numFmtId="3" fontId="22" fillId="0" borderId="90" xfId="0" applyNumberFormat="1" applyFont="1" applyBorder="1" applyAlignment="1">
      <alignment/>
    </xf>
    <xf numFmtId="3" fontId="22" fillId="0" borderId="98" xfId="0" applyNumberFormat="1" applyFont="1" applyBorder="1" applyAlignment="1">
      <alignment/>
    </xf>
    <xf numFmtId="3" fontId="22" fillId="0" borderId="25" xfId="0" applyNumberFormat="1" applyFont="1" applyBorder="1" applyAlignment="1">
      <alignment horizontal="center" vertical="center" wrapText="1"/>
    </xf>
    <xf numFmtId="3" fontId="22" fillId="0" borderId="46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0" fontId="20" fillId="0" borderId="98" xfId="98" applyFont="1" applyBorder="1" applyAlignment="1">
      <alignment horizontal="center"/>
      <protection/>
    </xf>
    <xf numFmtId="3" fontId="21" fillId="0" borderId="90" xfId="98" applyNumberFormat="1" applyFont="1" applyBorder="1">
      <alignment/>
      <protection/>
    </xf>
    <xf numFmtId="3" fontId="33" fillId="0" borderId="100" xfId="98" applyNumberFormat="1" applyFont="1" applyBorder="1">
      <alignment/>
      <protection/>
    </xf>
    <xf numFmtId="3" fontId="20" fillId="0" borderId="101" xfId="98" applyNumberFormat="1" applyFont="1" applyBorder="1">
      <alignment/>
      <protection/>
    </xf>
    <xf numFmtId="3" fontId="20" fillId="0" borderId="89" xfId="98" applyNumberFormat="1" applyFont="1" applyBorder="1">
      <alignment/>
      <protection/>
    </xf>
    <xf numFmtId="3" fontId="20" fillId="0" borderId="102" xfId="0" applyNumberFormat="1" applyFont="1" applyBorder="1" applyAlignment="1">
      <alignment/>
    </xf>
    <xf numFmtId="0" fontId="20" fillId="0" borderId="25" xfId="98" applyFont="1" applyBorder="1" applyAlignment="1">
      <alignment horizontal="center"/>
      <protection/>
    </xf>
    <xf numFmtId="3" fontId="33" fillId="0" borderId="103" xfId="98" applyNumberFormat="1" applyFont="1" applyBorder="1">
      <alignment/>
      <protection/>
    </xf>
    <xf numFmtId="3" fontId="20" fillId="0" borderId="96" xfId="98" applyNumberFormat="1" applyFont="1" applyBorder="1">
      <alignment/>
      <protection/>
    </xf>
    <xf numFmtId="3" fontId="20" fillId="0" borderId="22" xfId="98" applyNumberFormat="1" applyFont="1" applyBorder="1">
      <alignment/>
      <protection/>
    </xf>
    <xf numFmtId="3" fontId="21" fillId="0" borderId="48" xfId="98" applyNumberFormat="1" applyFont="1" applyBorder="1">
      <alignment/>
      <protection/>
    </xf>
    <xf numFmtId="3" fontId="20" fillId="0" borderId="96" xfId="0" applyNumberFormat="1" applyFont="1" applyBorder="1" applyAlignment="1">
      <alignment/>
    </xf>
    <xf numFmtId="3" fontId="21" fillId="0" borderId="73" xfId="98" applyNumberFormat="1" applyFont="1" applyBorder="1">
      <alignment/>
      <protection/>
    </xf>
    <xf numFmtId="3" fontId="21" fillId="0" borderId="104" xfId="98" applyNumberFormat="1" applyFont="1" applyBorder="1">
      <alignment/>
      <protection/>
    </xf>
    <xf numFmtId="3" fontId="20" fillId="0" borderId="102" xfId="98" applyNumberFormat="1" applyFont="1" applyBorder="1">
      <alignment/>
      <protection/>
    </xf>
    <xf numFmtId="0" fontId="24" fillId="0" borderId="89" xfId="98" applyFont="1" applyBorder="1">
      <alignment/>
      <protection/>
    </xf>
    <xf numFmtId="0" fontId="24" fillId="0" borderId="91" xfId="98" applyFont="1" applyBorder="1">
      <alignment/>
      <protection/>
    </xf>
    <xf numFmtId="3" fontId="20" fillId="0" borderId="102" xfId="98" applyNumberFormat="1" applyFont="1" applyBorder="1">
      <alignment/>
      <protection/>
    </xf>
    <xf numFmtId="3" fontId="20" fillId="0" borderId="74" xfId="98" applyNumberFormat="1" applyFont="1" applyBorder="1">
      <alignment/>
      <protection/>
    </xf>
    <xf numFmtId="0" fontId="24" fillId="0" borderId="22" xfId="98" applyFont="1" applyBorder="1">
      <alignment/>
      <protection/>
    </xf>
    <xf numFmtId="0" fontId="24" fillId="0" borderId="48" xfId="98" applyFont="1" applyBorder="1">
      <alignment/>
      <protection/>
    </xf>
    <xf numFmtId="3" fontId="33" fillId="0" borderId="31" xfId="98" applyNumberFormat="1" applyFont="1" applyBorder="1">
      <alignment/>
      <protection/>
    </xf>
    <xf numFmtId="3" fontId="21" fillId="0" borderId="17" xfId="98" applyNumberFormat="1" applyFont="1" applyBorder="1">
      <alignment/>
      <protection/>
    </xf>
    <xf numFmtId="3" fontId="20" fillId="0" borderId="101" xfId="98" applyNumberFormat="1" applyFont="1" applyBorder="1">
      <alignment/>
      <protection/>
    </xf>
    <xf numFmtId="3" fontId="20" fillId="0" borderId="89" xfId="98" applyNumberFormat="1" applyFont="1" applyBorder="1">
      <alignment/>
      <protection/>
    </xf>
    <xf numFmtId="3" fontId="33" fillId="0" borderId="91" xfId="98" applyNumberFormat="1" applyFont="1" applyBorder="1">
      <alignment/>
      <protection/>
    </xf>
    <xf numFmtId="3" fontId="20" fillId="0" borderId="22" xfId="98" applyNumberFormat="1" applyFont="1" applyBorder="1">
      <alignment/>
      <protection/>
    </xf>
    <xf numFmtId="3" fontId="33" fillId="0" borderId="48" xfId="98" applyNumberFormat="1" applyFont="1" applyBorder="1">
      <alignment/>
      <protection/>
    </xf>
    <xf numFmtId="3" fontId="20" fillId="0" borderId="17" xfId="98" applyNumberFormat="1" applyFont="1" applyBorder="1">
      <alignment/>
      <protection/>
    </xf>
    <xf numFmtId="3" fontId="20" fillId="0" borderId="105" xfId="98" applyNumberFormat="1" applyFont="1" applyBorder="1">
      <alignment/>
      <protection/>
    </xf>
    <xf numFmtId="3" fontId="20" fillId="0" borderId="106" xfId="98" applyNumberFormat="1" applyFont="1" applyBorder="1">
      <alignment/>
      <protection/>
    </xf>
    <xf numFmtId="0" fontId="40" fillId="0" borderId="62" xfId="93" applyFont="1" applyFill="1" applyBorder="1" applyAlignment="1">
      <alignment horizontal="left"/>
      <protection/>
    </xf>
    <xf numFmtId="0" fontId="38" fillId="0" borderId="80" xfId="93" applyFont="1" applyFill="1" applyBorder="1" applyAlignment="1">
      <alignment horizontal="right"/>
      <protection/>
    </xf>
    <xf numFmtId="0" fontId="38" fillId="0" borderId="107" xfId="93" applyFont="1" applyFill="1" applyBorder="1">
      <alignment/>
      <protection/>
    </xf>
    <xf numFmtId="0" fontId="27" fillId="0" borderId="64" xfId="0" applyFont="1" applyFill="1" applyBorder="1" applyAlignment="1">
      <alignment horizontal="left"/>
    </xf>
    <xf numFmtId="0" fontId="65" fillId="0" borderId="68" xfId="93" applyFont="1" applyFill="1" applyBorder="1">
      <alignment/>
      <protection/>
    </xf>
    <xf numFmtId="0" fontId="38" fillId="0" borderId="108" xfId="93" applyFont="1" applyBorder="1">
      <alignment/>
      <protection/>
    </xf>
    <xf numFmtId="3" fontId="40" fillId="0" borderId="44" xfId="93" applyNumberFormat="1" applyFont="1" applyBorder="1">
      <alignment/>
      <protection/>
    </xf>
    <xf numFmtId="49" fontId="38" fillId="0" borderId="97" xfId="93" applyNumberFormat="1" applyFont="1" applyFill="1" applyBorder="1" applyAlignment="1">
      <alignment horizontal="center"/>
      <protection/>
    </xf>
    <xf numFmtId="0" fontId="38" fillId="0" borderId="97" xfId="93" applyFont="1" applyFill="1" applyBorder="1" applyAlignment="1">
      <alignment/>
      <protection/>
    </xf>
    <xf numFmtId="0" fontId="0" fillId="0" borderId="109" xfId="0" applyBorder="1" applyAlignment="1">
      <alignment horizontal="center" vertical="center"/>
    </xf>
    <xf numFmtId="0" fontId="38" fillId="0" borderId="97" xfId="93" applyFont="1" applyFill="1" applyBorder="1" applyAlignment="1">
      <alignment horizontal="left"/>
      <protection/>
    </xf>
    <xf numFmtId="1" fontId="23" fillId="0" borderId="109" xfId="92" applyNumberFormat="1" applyFont="1" applyFill="1" applyBorder="1" applyAlignment="1">
      <alignment horizontal="center" vertical="center"/>
      <protection/>
    </xf>
    <xf numFmtId="0" fontId="40" fillId="0" borderId="109" xfId="93" applyFont="1" applyFill="1" applyBorder="1">
      <alignment/>
      <protection/>
    </xf>
    <xf numFmtId="3" fontId="23" fillId="0" borderId="109" xfId="93" applyNumberFormat="1" applyFont="1" applyFill="1" applyBorder="1" applyAlignment="1">
      <alignment/>
      <protection/>
    </xf>
    <xf numFmtId="0" fontId="23" fillId="0" borderId="15" xfId="96" applyFont="1" applyFill="1" applyBorder="1" applyAlignment="1">
      <alignment horizontal="left" vertical="center" wrapText="1"/>
      <protection/>
    </xf>
    <xf numFmtId="0" fontId="23" fillId="0" borderId="15" xfId="96" applyFont="1" applyFill="1" applyBorder="1" applyAlignment="1">
      <alignment vertical="center" wrapText="1"/>
      <protection/>
    </xf>
    <xf numFmtId="3" fontId="23" fillId="0" borderId="44" xfId="97" applyNumberFormat="1" applyFont="1" applyFill="1" applyBorder="1" applyAlignment="1">
      <alignment horizontal="right" vertical="center"/>
      <protection/>
    </xf>
    <xf numFmtId="3" fontId="23" fillId="0" borderId="59" xfId="97" applyNumberFormat="1" applyFont="1" applyFill="1" applyBorder="1" applyAlignment="1">
      <alignment horizontal="right" vertical="center"/>
      <protection/>
    </xf>
    <xf numFmtId="0" fontId="23" fillId="0" borderId="64" xfId="97" applyFont="1" applyFill="1" applyBorder="1" applyAlignment="1">
      <alignment vertical="center" wrapText="1"/>
      <protection/>
    </xf>
    <xf numFmtId="3" fontId="23" fillId="0" borderId="64" xfId="97" applyNumberFormat="1" applyFont="1" applyFill="1" applyBorder="1" applyAlignment="1">
      <alignment vertical="center"/>
      <protection/>
    </xf>
    <xf numFmtId="3" fontId="23" fillId="0" borderId="70" xfId="97" applyNumberFormat="1" applyFont="1" applyFill="1" applyBorder="1" applyAlignment="1">
      <alignment vertical="center"/>
      <protection/>
    </xf>
    <xf numFmtId="3" fontId="23" fillId="0" borderId="25" xfId="94" applyNumberFormat="1" applyFont="1" applyBorder="1">
      <alignment/>
      <protection/>
    </xf>
    <xf numFmtId="3" fontId="23" fillId="0" borderId="99" xfId="94" applyNumberFormat="1" applyFont="1" applyBorder="1" applyAlignment="1">
      <alignment horizontal="center"/>
      <protection/>
    </xf>
    <xf numFmtId="3" fontId="38" fillId="0" borderId="90" xfId="94" applyNumberFormat="1" applyFont="1" applyBorder="1">
      <alignment/>
      <protection/>
    </xf>
    <xf numFmtId="3" fontId="23" fillId="0" borderId="90" xfId="94" applyNumberFormat="1" applyFont="1" applyBorder="1">
      <alignment/>
      <protection/>
    </xf>
    <xf numFmtId="3" fontId="43" fillId="0" borderId="98" xfId="94" applyNumberFormat="1" applyFont="1" applyBorder="1">
      <alignment/>
      <protection/>
    </xf>
    <xf numFmtId="3" fontId="23" fillId="0" borderId="98" xfId="94" applyNumberFormat="1" applyFont="1" applyBorder="1">
      <alignment/>
      <protection/>
    </xf>
    <xf numFmtId="3" fontId="24" fillId="0" borderId="90" xfId="0" applyNumberFormat="1" applyFont="1" applyBorder="1" applyAlignment="1">
      <alignment horizontal="right"/>
    </xf>
    <xf numFmtId="3" fontId="22" fillId="0" borderId="90" xfId="0" applyNumberFormat="1" applyFont="1" applyBorder="1" applyAlignment="1">
      <alignment horizontal="right"/>
    </xf>
    <xf numFmtId="3" fontId="22" fillId="0" borderId="98" xfId="0" applyNumberFormat="1" applyFont="1" applyBorder="1" applyAlignment="1">
      <alignment horizontal="right"/>
    </xf>
    <xf numFmtId="0" fontId="0" fillId="0" borderId="90" xfId="0" applyBorder="1" applyAlignment="1">
      <alignment/>
    </xf>
    <xf numFmtId="0" fontId="0" fillId="0" borderId="15" xfId="0" applyBorder="1" applyAlignment="1">
      <alignment/>
    </xf>
    <xf numFmtId="3" fontId="23" fillId="0" borderId="99" xfId="94" applyNumberFormat="1" applyFont="1" applyBorder="1" applyAlignment="1">
      <alignment horizontal="center"/>
      <protection/>
    </xf>
    <xf numFmtId="3" fontId="38" fillId="0" borderId="90" xfId="94" applyNumberFormat="1" applyFont="1" applyBorder="1">
      <alignment/>
      <protection/>
    </xf>
    <xf numFmtId="3" fontId="45" fillId="0" borderId="90" xfId="94" applyNumberFormat="1" applyFont="1" applyBorder="1">
      <alignment/>
      <protection/>
    </xf>
    <xf numFmtId="3" fontId="45" fillId="0" borderId="91" xfId="94" applyNumberFormat="1" applyFont="1" applyBorder="1">
      <alignment/>
      <protection/>
    </xf>
    <xf numFmtId="3" fontId="23" fillId="0" borderId="91" xfId="94" applyNumberFormat="1" applyFont="1" applyBorder="1">
      <alignment/>
      <protection/>
    </xf>
    <xf numFmtId="3" fontId="38" fillId="0" borderId="91" xfId="94" applyNumberFormat="1" applyFont="1" applyBorder="1">
      <alignment/>
      <protection/>
    </xf>
    <xf numFmtId="3" fontId="23" fillId="0" borderId="46" xfId="94" applyNumberFormat="1" applyFont="1" applyBorder="1" applyAlignment="1">
      <alignment horizontal="center"/>
      <protection/>
    </xf>
    <xf numFmtId="3" fontId="38" fillId="0" borderId="15" xfId="94" applyNumberFormat="1" applyFont="1" applyBorder="1">
      <alignment/>
      <protection/>
    </xf>
    <xf numFmtId="3" fontId="45" fillId="0" borderId="15" xfId="94" applyNumberFormat="1" applyFont="1" applyBorder="1">
      <alignment/>
      <protection/>
    </xf>
    <xf numFmtId="3" fontId="45" fillId="0" borderId="48" xfId="94" applyNumberFormat="1" applyFont="1" applyBorder="1">
      <alignment/>
      <protection/>
    </xf>
    <xf numFmtId="3" fontId="23" fillId="0" borderId="48" xfId="94" applyNumberFormat="1" applyFont="1" applyBorder="1">
      <alignment/>
      <protection/>
    </xf>
    <xf numFmtId="3" fontId="38" fillId="0" borderId="48" xfId="94" applyNumberFormat="1" applyFont="1" applyBorder="1">
      <alignment/>
      <protection/>
    </xf>
    <xf numFmtId="3" fontId="23" fillId="0" borderId="90" xfId="94" applyNumberFormat="1" applyFont="1" applyBorder="1">
      <alignment/>
      <protection/>
    </xf>
    <xf numFmtId="3" fontId="45" fillId="0" borderId="98" xfId="94" applyNumberFormat="1" applyFont="1" applyBorder="1">
      <alignment/>
      <protection/>
    </xf>
    <xf numFmtId="3" fontId="23" fillId="0" borderId="15" xfId="94" applyNumberFormat="1" applyFont="1" applyBorder="1">
      <alignment/>
      <protection/>
    </xf>
    <xf numFmtId="0" fontId="23" fillId="0" borderId="99" xfId="94" applyFont="1" applyBorder="1" applyAlignment="1">
      <alignment horizontal="center"/>
      <protection/>
    </xf>
    <xf numFmtId="0" fontId="38" fillId="0" borderId="90" xfId="94" applyFont="1" applyBorder="1">
      <alignment/>
      <protection/>
    </xf>
    <xf numFmtId="3" fontId="45" fillId="0" borderId="90" xfId="94" applyNumberFormat="1" applyFont="1" applyBorder="1">
      <alignment/>
      <protection/>
    </xf>
    <xf numFmtId="0" fontId="45" fillId="0" borderId="90" xfId="94" applyFont="1" applyBorder="1">
      <alignment/>
      <protection/>
    </xf>
    <xf numFmtId="3" fontId="23" fillId="0" borderId="98" xfId="94" applyNumberFormat="1" applyFont="1" applyBorder="1">
      <alignment/>
      <protection/>
    </xf>
    <xf numFmtId="0" fontId="23" fillId="0" borderId="46" xfId="94" applyFont="1" applyBorder="1" applyAlignment="1">
      <alignment horizontal="center"/>
      <protection/>
    </xf>
    <xf numFmtId="0" fontId="38" fillId="0" borderId="15" xfId="94" applyFont="1" applyBorder="1">
      <alignment/>
      <protection/>
    </xf>
    <xf numFmtId="0" fontId="45" fillId="0" borderId="15" xfId="94" applyFont="1" applyBorder="1">
      <alignment/>
      <protection/>
    </xf>
    <xf numFmtId="0" fontId="23" fillId="0" borderId="90" xfId="94" applyFont="1" applyBorder="1">
      <alignment/>
      <protection/>
    </xf>
    <xf numFmtId="0" fontId="23" fillId="0" borderId="99" xfId="0" applyFont="1" applyBorder="1" applyAlignment="1">
      <alignment horizontal="center" vertical="center" wrapText="1"/>
    </xf>
    <xf numFmtId="0" fontId="23" fillId="0" borderId="98" xfId="0" applyFont="1" applyBorder="1" applyAlignment="1">
      <alignment horizontal="center"/>
    </xf>
    <xf numFmtId="2" fontId="38" fillId="0" borderId="89" xfId="0" applyNumberFormat="1" applyFont="1" applyBorder="1" applyAlignment="1">
      <alignment horizontal="center" vertical="top" wrapText="1"/>
    </xf>
    <xf numFmtId="2" fontId="38" fillId="0" borderId="90" xfId="0" applyNumberFormat="1" applyFont="1" applyBorder="1" applyAlignment="1">
      <alignment horizontal="center" vertical="top" wrapText="1"/>
    </xf>
    <xf numFmtId="2" fontId="49" fillId="0" borderId="90" xfId="0" applyNumberFormat="1" applyFont="1" applyBorder="1" applyAlignment="1">
      <alignment horizontal="center" vertical="top" wrapText="1"/>
    </xf>
    <xf numFmtId="2" fontId="45" fillId="0" borderId="89" xfId="0" applyNumberFormat="1" applyFont="1" applyBorder="1" applyAlignment="1">
      <alignment horizontal="center" vertical="top" wrapText="1"/>
    </xf>
    <xf numFmtId="0" fontId="38" fillId="0" borderId="90" xfId="0" applyFont="1" applyBorder="1" applyAlignment="1">
      <alignment/>
    </xf>
    <xf numFmtId="2" fontId="23" fillId="0" borderId="90" xfId="0" applyNumberFormat="1" applyFont="1" applyBorder="1" applyAlignment="1">
      <alignment horizontal="center" vertical="top" wrapText="1"/>
    </xf>
    <xf numFmtId="0" fontId="38" fillId="0" borderId="91" xfId="0" applyFont="1" applyBorder="1" applyAlignment="1">
      <alignment/>
    </xf>
    <xf numFmtId="2" fontId="23" fillId="0" borderId="102" xfId="0" applyNumberFormat="1" applyFont="1" applyBorder="1" applyAlignment="1">
      <alignment horizontal="center" vertical="top" wrapText="1"/>
    </xf>
    <xf numFmtId="0" fontId="23" fillId="0" borderId="4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/>
    </xf>
    <xf numFmtId="2" fontId="38" fillId="0" borderId="22" xfId="0" applyNumberFormat="1" applyFont="1" applyBorder="1" applyAlignment="1">
      <alignment horizontal="center" vertical="top" wrapText="1"/>
    </xf>
    <xf numFmtId="2" fontId="49" fillId="0" borderId="15" xfId="0" applyNumberFormat="1" applyFont="1" applyBorder="1" applyAlignment="1">
      <alignment horizontal="center" vertical="top" wrapText="1"/>
    </xf>
    <xf numFmtId="2" fontId="45" fillId="0" borderId="22" xfId="0" applyNumberFormat="1" applyFont="1" applyBorder="1" applyAlignment="1">
      <alignment horizontal="center" vertical="top" wrapText="1"/>
    </xf>
    <xf numFmtId="0" fontId="38" fillId="0" borderId="15" xfId="0" applyFont="1" applyBorder="1" applyAlignment="1">
      <alignment/>
    </xf>
    <xf numFmtId="0" fontId="38" fillId="0" borderId="48" xfId="0" applyFont="1" applyBorder="1" applyAlignment="1">
      <alignment/>
    </xf>
    <xf numFmtId="2" fontId="23" fillId="0" borderId="74" xfId="0" applyNumberFormat="1" applyFont="1" applyBorder="1" applyAlignment="1">
      <alignment horizontal="center" vertical="top" wrapText="1"/>
    </xf>
    <xf numFmtId="3" fontId="23" fillId="0" borderId="80" xfId="93" applyNumberFormat="1" applyFont="1" applyFill="1" applyBorder="1">
      <alignment/>
      <protection/>
    </xf>
    <xf numFmtId="0" fontId="38" fillId="0" borderId="59" xfId="93" applyFont="1" applyFill="1" applyBorder="1" applyAlignment="1">
      <alignment/>
      <protection/>
    </xf>
    <xf numFmtId="3" fontId="23" fillId="0" borderId="80" xfId="93" applyNumberFormat="1" applyFont="1" applyFill="1" applyBorder="1" applyAlignment="1">
      <alignment/>
      <protection/>
    </xf>
    <xf numFmtId="3" fontId="23" fillId="0" borderId="59" xfId="93" applyNumberFormat="1" applyFont="1" applyFill="1" applyBorder="1" applyAlignment="1" quotePrefix="1">
      <alignment/>
      <protection/>
    </xf>
    <xf numFmtId="3" fontId="23" fillId="0" borderId="107" xfId="93" applyNumberFormat="1" applyFont="1" applyFill="1" applyBorder="1" applyAlignment="1">
      <alignment/>
      <protection/>
    </xf>
    <xf numFmtId="3" fontId="23" fillId="0" borderId="110" xfId="93" applyNumberFormat="1" applyFont="1" applyFill="1" applyBorder="1" applyAlignment="1">
      <alignment horizontal="right" vertical="center"/>
      <protection/>
    </xf>
    <xf numFmtId="3" fontId="23" fillId="0" borderId="44" xfId="93" applyNumberFormat="1" applyFont="1" applyFill="1" applyBorder="1" applyAlignment="1">
      <alignment horizontal="right" vertical="center"/>
      <protection/>
    </xf>
    <xf numFmtId="3" fontId="23" fillId="0" borderId="80" xfId="93" applyNumberFormat="1" applyFont="1" applyFill="1" applyBorder="1" applyAlignment="1">
      <alignment horizontal="right" vertical="center"/>
      <protection/>
    </xf>
    <xf numFmtId="3" fontId="23" fillId="0" borderId="56" xfId="93" applyNumberFormat="1" applyFont="1" applyFill="1" applyBorder="1" applyAlignment="1">
      <alignment horizontal="right" vertical="center"/>
      <protection/>
    </xf>
    <xf numFmtId="3" fontId="23" fillId="0" borderId="80" xfId="93" applyNumberFormat="1" applyFont="1" applyBorder="1" applyAlignment="1">
      <alignment horizontal="right"/>
      <protection/>
    </xf>
    <xf numFmtId="3" fontId="23" fillId="0" borderId="59" xfId="93" applyNumberFormat="1" applyFont="1" applyBorder="1">
      <alignment/>
      <protection/>
    </xf>
    <xf numFmtId="3" fontId="23" fillId="0" borderId="80" xfId="93" applyNumberFormat="1" applyFont="1" applyBorder="1">
      <alignment/>
      <protection/>
    </xf>
    <xf numFmtId="3" fontId="23" fillId="0" borderId="107" xfId="93" applyNumberFormat="1" applyFont="1" applyBorder="1">
      <alignment/>
      <protection/>
    </xf>
    <xf numFmtId="3" fontId="23" fillId="0" borderId="80" xfId="93" applyNumberFormat="1" applyFont="1" applyFill="1" applyBorder="1" applyAlignment="1">
      <alignment/>
      <protection/>
    </xf>
    <xf numFmtId="3" fontId="23" fillId="0" borderId="107" xfId="93" applyNumberFormat="1" applyFont="1" applyFill="1" applyBorder="1" applyAlignment="1">
      <alignment/>
      <protection/>
    </xf>
    <xf numFmtId="0" fontId="40" fillId="0" borderId="62" xfId="93" applyFont="1" applyFill="1" applyBorder="1">
      <alignment/>
      <protection/>
    </xf>
    <xf numFmtId="3" fontId="23" fillId="0" borderId="80" xfId="97" applyNumberFormat="1" applyFont="1" applyFill="1" applyBorder="1" applyAlignment="1">
      <alignment vertical="center"/>
      <protection/>
    </xf>
    <xf numFmtId="3" fontId="23" fillId="0" borderId="107" xfId="97" applyNumberFormat="1" applyFont="1" applyFill="1" applyBorder="1" applyAlignment="1">
      <alignment vertical="center"/>
      <protection/>
    </xf>
    <xf numFmtId="3" fontId="23" fillId="0" borderId="107" xfId="97" applyNumberFormat="1" applyFont="1" applyFill="1" applyBorder="1" applyAlignment="1">
      <alignment horizontal="right" vertical="center"/>
      <protection/>
    </xf>
    <xf numFmtId="3" fontId="23" fillId="0" borderId="59" xfId="97" applyNumberFormat="1" applyFont="1" applyFill="1" applyBorder="1" applyAlignment="1">
      <alignment vertical="center"/>
      <protection/>
    </xf>
    <xf numFmtId="3" fontId="23" fillId="0" borderId="80" xfId="97" applyNumberFormat="1" applyFont="1" applyFill="1" applyBorder="1" applyAlignment="1">
      <alignment horizontal="right" vertical="center"/>
      <protection/>
    </xf>
    <xf numFmtId="3" fontId="23" fillId="0" borderId="82" xfId="97" applyNumberFormat="1" applyFont="1" applyFill="1" applyBorder="1" applyAlignment="1">
      <alignment horizontal="right" vertical="center"/>
      <protection/>
    </xf>
    <xf numFmtId="3" fontId="23" fillId="0" borderId="50" xfId="94" applyNumberFormat="1" applyFont="1" applyBorder="1" applyAlignment="1">
      <alignment horizontal="center"/>
      <protection/>
    </xf>
    <xf numFmtId="3" fontId="23" fillId="0" borderId="27" xfId="94" applyNumberFormat="1" applyFont="1" applyBorder="1">
      <alignment/>
      <protection/>
    </xf>
    <xf numFmtId="0" fontId="51" fillId="0" borderId="111" xfId="93" applyFont="1" applyFill="1" applyBorder="1">
      <alignment/>
      <protection/>
    </xf>
    <xf numFmtId="0" fontId="51" fillId="0" borderId="112" xfId="93" applyFont="1" applyFill="1" applyBorder="1">
      <alignment/>
      <protection/>
    </xf>
    <xf numFmtId="0" fontId="51" fillId="0" borderId="69" xfId="93" applyFont="1" applyFill="1" applyBorder="1">
      <alignment/>
      <protection/>
    </xf>
    <xf numFmtId="1" fontId="38" fillId="0" borderId="82" xfId="93" applyNumberFormat="1" applyFont="1" applyFill="1" applyBorder="1" applyAlignment="1">
      <alignment horizontal="center"/>
      <protection/>
    </xf>
    <xf numFmtId="0" fontId="38" fillId="0" borderId="113" xfId="93" applyFont="1" applyFill="1" applyBorder="1" applyAlignment="1">
      <alignment/>
      <protection/>
    </xf>
    <xf numFmtId="3" fontId="23" fillId="0" borderId="82" xfId="93" applyNumberFormat="1" applyFont="1" applyFill="1" applyBorder="1">
      <alignment/>
      <protection/>
    </xf>
    <xf numFmtId="3" fontId="38" fillId="0" borderId="80" xfId="93" applyNumberFormat="1" applyFont="1" applyFill="1" applyBorder="1">
      <alignment/>
      <protection/>
    </xf>
    <xf numFmtId="3" fontId="38" fillId="0" borderId="113" xfId="93" applyNumberFormat="1" applyFont="1" applyFill="1" applyBorder="1">
      <alignment/>
      <protection/>
    </xf>
    <xf numFmtId="0" fontId="51" fillId="0" borderId="114" xfId="93" applyFont="1" applyFill="1" applyBorder="1">
      <alignment/>
      <protection/>
    </xf>
    <xf numFmtId="1" fontId="38" fillId="0" borderId="67" xfId="93" applyNumberFormat="1" applyFont="1" applyFill="1" applyBorder="1" applyAlignment="1">
      <alignment horizontal="center"/>
      <protection/>
    </xf>
    <xf numFmtId="0" fontId="51" fillId="0" borderId="115" xfId="93" applyFont="1" applyFill="1" applyBorder="1">
      <alignment/>
      <protection/>
    </xf>
    <xf numFmtId="3" fontId="51" fillId="0" borderId="112" xfId="93" applyNumberFormat="1" applyFont="1" applyFill="1" applyBorder="1">
      <alignment/>
      <protection/>
    </xf>
    <xf numFmtId="3" fontId="38" fillId="0" borderId="80" xfId="93" applyNumberFormat="1" applyFont="1" applyFill="1" applyBorder="1" applyAlignment="1">
      <alignment horizontal="right"/>
      <protection/>
    </xf>
    <xf numFmtId="3" fontId="38" fillId="0" borderId="113" xfId="93" applyNumberFormat="1" applyFont="1" applyFill="1" applyBorder="1" applyAlignment="1">
      <alignment horizontal="right"/>
      <protection/>
    </xf>
    <xf numFmtId="3" fontId="51" fillId="0" borderId="114" xfId="93" applyNumberFormat="1" applyFont="1" applyFill="1" applyBorder="1">
      <alignment/>
      <protection/>
    </xf>
    <xf numFmtId="3" fontId="38" fillId="0" borderId="45" xfId="93" applyNumberFormat="1" applyFont="1" applyFill="1" applyBorder="1" applyAlignment="1">
      <alignment horizontal="right"/>
      <protection/>
    </xf>
    <xf numFmtId="3" fontId="38" fillId="0" borderId="65" xfId="93" applyNumberFormat="1" applyFont="1" applyFill="1" applyBorder="1" applyAlignment="1">
      <alignment horizontal="right"/>
      <protection/>
    </xf>
    <xf numFmtId="0" fontId="38" fillId="0" borderId="112" xfId="93" applyFont="1" applyFill="1" applyBorder="1">
      <alignment/>
      <protection/>
    </xf>
    <xf numFmtId="0" fontId="51" fillId="0" borderId="116" xfId="93" applyFont="1" applyFill="1" applyBorder="1">
      <alignment/>
      <protection/>
    </xf>
    <xf numFmtId="0" fontId="51" fillId="0" borderId="117" xfId="93" applyFont="1" applyFill="1" applyBorder="1">
      <alignment/>
      <protection/>
    </xf>
    <xf numFmtId="3" fontId="23" fillId="0" borderId="45" xfId="93" applyNumberFormat="1" applyFont="1" applyFill="1" applyBorder="1" applyAlignment="1">
      <alignment horizontal="right" vertical="center"/>
      <protection/>
    </xf>
    <xf numFmtId="3" fontId="38" fillId="0" borderId="52" xfId="93" applyNumberFormat="1" applyFont="1" applyFill="1" applyBorder="1" applyAlignment="1">
      <alignment horizontal="right"/>
      <protection/>
    </xf>
    <xf numFmtId="3" fontId="38" fillId="0" borderId="107" xfId="93" applyNumberFormat="1" applyFont="1" applyFill="1" applyBorder="1" applyAlignment="1">
      <alignment horizontal="right"/>
      <protection/>
    </xf>
    <xf numFmtId="0" fontId="23" fillId="0" borderId="118" xfId="0" applyFont="1" applyBorder="1" applyAlignment="1">
      <alignment horizontal="center" vertical="center" wrapText="1"/>
    </xf>
    <xf numFmtId="2" fontId="38" fillId="0" borderId="76" xfId="0" applyNumberFormat="1" applyFont="1" applyBorder="1" applyAlignment="1">
      <alignment horizontal="center"/>
    </xf>
    <xf numFmtId="0" fontId="38" fillId="0" borderId="73" xfId="0" applyFont="1" applyBorder="1" applyAlignment="1">
      <alignment/>
    </xf>
    <xf numFmtId="2" fontId="23" fillId="0" borderId="102" xfId="0" applyNumberFormat="1" applyFont="1" applyBorder="1" applyAlignment="1">
      <alignment horizontal="center"/>
    </xf>
    <xf numFmtId="0" fontId="23" fillId="0" borderId="4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2" fontId="38" fillId="0" borderId="22" xfId="0" applyNumberFormat="1" applyFont="1" applyBorder="1" applyAlignment="1">
      <alignment horizontal="center"/>
    </xf>
    <xf numFmtId="2" fontId="38" fillId="0" borderId="48" xfId="0" applyNumberFormat="1" applyFont="1" applyBorder="1" applyAlignment="1">
      <alignment horizontal="center"/>
    </xf>
    <xf numFmtId="2" fontId="23" fillId="0" borderId="74" xfId="0" applyNumberFormat="1" applyFont="1" applyBorder="1" applyAlignment="1">
      <alignment horizontal="center"/>
    </xf>
    <xf numFmtId="0" fontId="51" fillId="0" borderId="69" xfId="93" applyFont="1" applyFill="1" applyBorder="1" applyAlignment="1">
      <alignment horizontal="left"/>
      <protection/>
    </xf>
    <xf numFmtId="0" fontId="40" fillId="0" borderId="53" xfId="93" applyFont="1" applyFill="1" applyBorder="1" applyAlignment="1">
      <alignment horizontal="left"/>
      <protection/>
    </xf>
    <xf numFmtId="0" fontId="40" fillId="0" borderId="69" xfId="93" applyFont="1" applyFill="1" applyBorder="1" applyAlignment="1">
      <alignment horizontal="left"/>
      <protection/>
    </xf>
    <xf numFmtId="0" fontId="54" fillId="0" borderId="69" xfId="93" applyFont="1" applyFill="1" applyBorder="1">
      <alignment/>
      <protection/>
    </xf>
    <xf numFmtId="0" fontId="65" fillId="0" borderId="69" xfId="93" applyFont="1" applyFill="1" applyBorder="1">
      <alignment/>
      <protection/>
    </xf>
    <xf numFmtId="0" fontId="40" fillId="0" borderId="80" xfId="93" applyFont="1" applyBorder="1">
      <alignment/>
      <protection/>
    </xf>
    <xf numFmtId="0" fontId="40" fillId="0" borderId="53" xfId="93" applyFont="1" applyFill="1" applyBorder="1">
      <alignment/>
      <protection/>
    </xf>
    <xf numFmtId="0" fontId="40" fillId="0" borderId="69" xfId="93" applyFont="1" applyFill="1" applyBorder="1">
      <alignment/>
      <protection/>
    </xf>
    <xf numFmtId="0" fontId="23" fillId="0" borderId="80" xfId="97" applyFont="1" applyFill="1" applyBorder="1" applyAlignment="1">
      <alignment vertical="center" wrapText="1"/>
      <protection/>
    </xf>
    <xf numFmtId="3" fontId="22" fillId="0" borderId="50" xfId="0" applyNumberFormat="1" applyFont="1" applyBorder="1" applyAlignment="1">
      <alignment horizontal="center" vertical="center" wrapText="1"/>
    </xf>
    <xf numFmtId="3" fontId="45" fillId="0" borderId="35" xfId="94" applyNumberFormat="1" applyFont="1" applyBorder="1">
      <alignment/>
      <protection/>
    </xf>
    <xf numFmtId="3" fontId="45" fillId="0" borderId="35" xfId="94" applyNumberFormat="1" applyFont="1" applyBorder="1">
      <alignment/>
      <protection/>
    </xf>
    <xf numFmtId="0" fontId="32" fillId="0" borderId="0" xfId="96" applyFont="1">
      <alignment/>
      <protection/>
    </xf>
    <xf numFmtId="0" fontId="37" fillId="0" borderId="16" xfId="96" applyFont="1" applyFill="1" applyBorder="1" applyAlignment="1">
      <alignment horizontal="center" vertical="center" wrapText="1"/>
      <protection/>
    </xf>
    <xf numFmtId="0" fontId="37" fillId="0" borderId="46" xfId="96" applyFont="1" applyFill="1" applyBorder="1" applyAlignment="1">
      <alignment horizontal="center" vertical="center"/>
      <protection/>
    </xf>
    <xf numFmtId="0" fontId="37" fillId="0" borderId="15" xfId="96" applyFont="1" applyFill="1" applyBorder="1" applyAlignment="1">
      <alignment horizontal="center" vertical="center" wrapText="1"/>
      <protection/>
    </xf>
    <xf numFmtId="0" fontId="37" fillId="0" borderId="13" xfId="96" applyFont="1" applyFill="1" applyBorder="1" applyAlignment="1">
      <alignment horizontal="center" vertical="center" wrapText="1"/>
      <protection/>
    </xf>
    <xf numFmtId="0" fontId="37" fillId="0" borderId="119" xfId="96" applyFont="1" applyFill="1" applyBorder="1" applyAlignment="1">
      <alignment horizontal="center" vertical="center" wrapText="1"/>
      <protection/>
    </xf>
    <xf numFmtId="0" fontId="38" fillId="0" borderId="15" xfId="96" applyFont="1" applyBorder="1" applyAlignment="1">
      <alignment horizontal="left" vertical="center" wrapText="1"/>
      <protection/>
    </xf>
    <xf numFmtId="0" fontId="38" fillId="0" borderId="15" xfId="96" applyFont="1" applyBorder="1" applyAlignment="1">
      <alignment vertical="center" wrapText="1"/>
      <protection/>
    </xf>
    <xf numFmtId="3" fontId="38" fillId="0" borderId="15" xfId="96" applyNumberFormat="1" applyFont="1" applyBorder="1" applyAlignment="1">
      <alignment vertical="center"/>
      <protection/>
    </xf>
    <xf numFmtId="3" fontId="38" fillId="0" borderId="14" xfId="96" applyNumberFormat="1" applyFont="1" applyBorder="1" applyAlignment="1">
      <alignment vertical="center"/>
      <protection/>
    </xf>
    <xf numFmtId="3" fontId="38" fillId="0" borderId="35" xfId="96" applyNumberFormat="1" applyFont="1" applyBorder="1" applyAlignment="1">
      <alignment vertical="center"/>
      <protection/>
    </xf>
    <xf numFmtId="3" fontId="38" fillId="0" borderId="15" xfId="96" applyNumberFormat="1" applyFont="1" applyFill="1" applyBorder="1" applyAlignment="1">
      <alignment vertical="center"/>
      <protection/>
    </xf>
    <xf numFmtId="3" fontId="32" fillId="0" borderId="0" xfId="96" applyNumberFormat="1" applyFont="1">
      <alignment/>
      <protection/>
    </xf>
    <xf numFmtId="0" fontId="23" fillId="0" borderId="15" xfId="96" applyFont="1" applyBorder="1" applyAlignment="1">
      <alignment vertical="center" wrapText="1"/>
      <protection/>
    </xf>
    <xf numFmtId="3" fontId="23" fillId="0" borderId="15" xfId="96" applyNumberFormat="1" applyFont="1" applyFill="1" applyBorder="1" applyAlignment="1">
      <alignment vertical="center"/>
      <protection/>
    </xf>
    <xf numFmtId="3" fontId="23" fillId="0" borderId="15" xfId="96" applyNumberFormat="1" applyFont="1" applyBorder="1" applyAlignment="1">
      <alignment vertical="center"/>
      <protection/>
    </xf>
    <xf numFmtId="3" fontId="38" fillId="46" borderId="15" xfId="96" applyNumberFormat="1" applyFont="1" applyFill="1" applyBorder="1" applyAlignment="1">
      <alignment vertical="center"/>
      <protection/>
    </xf>
    <xf numFmtId="0" fontId="39" fillId="0" borderId="0" xfId="96" applyFont="1">
      <alignment/>
      <protection/>
    </xf>
    <xf numFmtId="0" fontId="39" fillId="0" borderId="0" xfId="96" applyFont="1">
      <alignment/>
      <protection/>
    </xf>
    <xf numFmtId="3" fontId="23" fillId="0" borderId="0" xfId="96" applyNumberFormat="1" applyFont="1" applyBorder="1" applyAlignment="1">
      <alignment vertical="center"/>
      <protection/>
    </xf>
    <xf numFmtId="0" fontId="38" fillId="0" borderId="15" xfId="96" applyFont="1" applyFill="1" applyBorder="1" applyAlignment="1">
      <alignment vertical="center" wrapText="1"/>
      <protection/>
    </xf>
    <xf numFmtId="0" fontId="38" fillId="0" borderId="15" xfId="96" applyFont="1" applyFill="1" applyBorder="1" applyAlignment="1">
      <alignment horizontal="left" vertical="center" wrapText="1"/>
      <protection/>
    </xf>
    <xf numFmtId="3" fontId="38" fillId="0" borderId="35" xfId="96" applyNumberFormat="1" applyFont="1" applyFill="1" applyBorder="1" applyAlignment="1">
      <alignment vertical="center"/>
      <protection/>
    </xf>
    <xf numFmtId="3" fontId="38" fillId="0" borderId="14" xfId="96" applyNumberFormat="1" applyFont="1" applyFill="1" applyBorder="1" applyAlignment="1">
      <alignment vertical="center"/>
      <protection/>
    </xf>
    <xf numFmtId="0" fontId="32" fillId="0" borderId="0" xfId="96" applyFont="1" applyFill="1">
      <alignment/>
      <protection/>
    </xf>
    <xf numFmtId="3" fontId="32" fillId="0" borderId="0" xfId="96" applyNumberFormat="1" applyFont="1" applyFill="1">
      <alignment/>
      <protection/>
    </xf>
    <xf numFmtId="0" fontId="23" fillId="0" borderId="15" xfId="96" applyFont="1" applyFill="1" applyBorder="1" applyAlignment="1">
      <alignment vertical="center" wrapText="1"/>
      <protection/>
    </xf>
    <xf numFmtId="0" fontId="23" fillId="0" borderId="15" xfId="96" applyFont="1" applyFill="1" applyBorder="1" applyAlignment="1">
      <alignment horizontal="left" vertical="center" wrapText="1"/>
      <protection/>
    </xf>
    <xf numFmtId="0" fontId="39" fillId="0" borderId="0" xfId="96" applyFont="1" applyFill="1">
      <alignment/>
      <protection/>
    </xf>
    <xf numFmtId="3" fontId="39" fillId="0" borderId="0" xfId="96" applyNumberFormat="1" applyFont="1">
      <alignment/>
      <protection/>
    </xf>
    <xf numFmtId="3" fontId="39" fillId="0" borderId="0" xfId="96" applyNumberFormat="1" applyFont="1" applyFill="1">
      <alignment/>
      <protection/>
    </xf>
    <xf numFmtId="0" fontId="23" fillId="0" borderId="15" xfId="96" applyFont="1" applyBorder="1" applyAlignment="1">
      <alignment horizontal="left" vertical="center" wrapText="1"/>
      <protection/>
    </xf>
    <xf numFmtId="3" fontId="39" fillId="0" borderId="0" xfId="96" applyNumberFormat="1" applyFont="1" applyBorder="1">
      <alignment/>
      <protection/>
    </xf>
    <xf numFmtId="0" fontId="39" fillId="0" borderId="0" xfId="96" applyFont="1" applyFill="1">
      <alignment/>
      <protection/>
    </xf>
    <xf numFmtId="3" fontId="23" fillId="0" borderId="35" xfId="96" applyNumberFormat="1" applyFont="1" applyFill="1" applyBorder="1" applyAlignment="1">
      <alignment vertical="center"/>
      <protection/>
    </xf>
    <xf numFmtId="3" fontId="23" fillId="0" borderId="15" xfId="96" applyNumberFormat="1" applyFont="1" applyBorder="1" applyAlignment="1">
      <alignment vertical="center" wrapText="1"/>
      <protection/>
    </xf>
    <xf numFmtId="0" fontId="39" fillId="0" borderId="0" xfId="96" applyFont="1" applyBorder="1" applyAlignment="1">
      <alignment wrapText="1"/>
      <protection/>
    </xf>
    <xf numFmtId="0" fontId="23" fillId="0" borderId="0" xfId="96" applyFont="1" applyBorder="1" applyAlignment="1">
      <alignment horizontal="left" vertical="center" wrapText="1"/>
      <protection/>
    </xf>
    <xf numFmtId="0" fontId="23" fillId="0" borderId="0" xfId="96" applyFont="1" applyBorder="1" applyAlignment="1">
      <alignment vertical="center" wrapText="1"/>
      <protection/>
    </xf>
    <xf numFmtId="3" fontId="23" fillId="0" borderId="0" xfId="96" applyNumberFormat="1" applyFont="1" applyBorder="1" applyAlignment="1">
      <alignment vertical="center" wrapText="1"/>
      <protection/>
    </xf>
    <xf numFmtId="0" fontId="39" fillId="0" borderId="0" xfId="96" applyFont="1">
      <alignment/>
      <protection/>
    </xf>
    <xf numFmtId="0" fontId="37" fillId="0" borderId="14" xfId="96" applyFont="1" applyFill="1" applyBorder="1" applyAlignment="1">
      <alignment horizontal="center" vertical="center" wrapText="1"/>
      <protection/>
    </xf>
    <xf numFmtId="0" fontId="37" fillId="0" borderId="78" xfId="96" applyFont="1" applyFill="1" applyBorder="1" applyAlignment="1">
      <alignment horizontal="center" vertical="center"/>
      <protection/>
    </xf>
    <xf numFmtId="0" fontId="39" fillId="0" borderId="0" xfId="96" applyFont="1" applyBorder="1" applyAlignment="1">
      <alignment horizontal="center" vertical="center" wrapText="1"/>
      <protection/>
    </xf>
    <xf numFmtId="0" fontId="38" fillId="0" borderId="0" xfId="96" applyFont="1" applyBorder="1" applyAlignment="1">
      <alignment vertical="center" wrapText="1"/>
      <protection/>
    </xf>
    <xf numFmtId="49" fontId="38" fillId="0" borderId="13" xfId="94" applyNumberFormat="1" applyFont="1" applyBorder="1">
      <alignment/>
      <protection/>
    </xf>
    <xf numFmtId="49" fontId="38" fillId="0" borderId="13" xfId="94" applyNumberFormat="1" applyFont="1" applyBorder="1" applyAlignment="1">
      <alignment wrapText="1"/>
      <protection/>
    </xf>
    <xf numFmtId="0" fontId="47" fillId="0" borderId="13" xfId="95" applyFont="1" applyBorder="1" applyAlignment="1">
      <alignment horizontal="center" vertical="center" wrapText="1"/>
      <protection/>
    </xf>
    <xf numFmtId="0" fontId="47" fillId="0" borderId="15" xfId="95" applyFont="1" applyBorder="1" applyAlignment="1">
      <alignment horizontal="center" vertical="center" wrapText="1"/>
      <protection/>
    </xf>
    <xf numFmtId="0" fontId="47" fillId="0" borderId="35" xfId="95" applyFont="1" applyBorder="1" applyAlignment="1">
      <alignment horizontal="center" vertical="center" wrapText="1"/>
      <protection/>
    </xf>
    <xf numFmtId="0" fontId="47" fillId="0" borderId="72" xfId="95" applyFont="1" applyBorder="1" applyAlignment="1">
      <alignment horizontal="center" vertical="center" wrapText="1"/>
      <protection/>
    </xf>
    <xf numFmtId="0" fontId="47" fillId="0" borderId="33" xfId="94" applyFont="1" applyBorder="1" applyAlignment="1">
      <alignment horizontal="left" vertical="center" wrapText="1"/>
      <protection/>
    </xf>
    <xf numFmtId="3" fontId="47" fillId="0" borderId="13" xfId="94" applyNumberFormat="1" applyFont="1" applyBorder="1" applyAlignment="1">
      <alignment horizontal="right" vertical="center" wrapText="1"/>
      <protection/>
    </xf>
    <xf numFmtId="3" fontId="47" fillId="0" borderId="15" xfId="94" applyNumberFormat="1" applyFont="1" applyBorder="1" applyAlignment="1">
      <alignment horizontal="right" vertical="center" wrapText="1"/>
      <protection/>
    </xf>
    <xf numFmtId="3" fontId="47" fillId="0" borderId="35" xfId="94" applyNumberFormat="1" applyFont="1" applyBorder="1" applyAlignment="1">
      <alignment horizontal="right" vertical="center" wrapText="1"/>
      <protection/>
    </xf>
    <xf numFmtId="0" fontId="47" fillId="0" borderId="34" xfId="94" applyFont="1" applyBorder="1" applyAlignment="1">
      <alignment horizontal="left" vertical="center" wrapText="1"/>
      <protection/>
    </xf>
    <xf numFmtId="3" fontId="47" fillId="0" borderId="72" xfId="94" applyNumberFormat="1" applyFont="1" applyBorder="1" applyAlignment="1">
      <alignment horizontal="right" vertical="center" wrapText="1"/>
      <protection/>
    </xf>
    <xf numFmtId="3" fontId="47" fillId="0" borderId="15" xfId="95" applyNumberFormat="1" applyFont="1" applyBorder="1" applyAlignment="1">
      <alignment horizontal="right" vertical="center" wrapText="1"/>
      <protection/>
    </xf>
    <xf numFmtId="3" fontId="47" fillId="0" borderId="35" xfId="95" applyNumberFormat="1" applyFont="1" applyBorder="1" applyAlignment="1">
      <alignment horizontal="right" vertical="center" wrapText="1"/>
      <protection/>
    </xf>
    <xf numFmtId="3" fontId="48" fillId="0" borderId="33" xfId="94" applyNumberFormat="1" applyFont="1" applyBorder="1" applyAlignment="1">
      <alignment horizontal="center" vertical="center" wrapText="1"/>
      <protection/>
    </xf>
    <xf numFmtId="3" fontId="48" fillId="0" borderId="13" xfId="94" applyNumberFormat="1" applyFont="1" applyBorder="1" applyAlignment="1">
      <alignment horizontal="right" vertical="center" wrapText="1"/>
      <protection/>
    </xf>
    <xf numFmtId="3" fontId="48" fillId="0" borderId="15" xfId="94" applyNumberFormat="1" applyFont="1" applyBorder="1" applyAlignment="1">
      <alignment horizontal="right" vertical="center" wrapText="1"/>
      <protection/>
    </xf>
    <xf numFmtId="3" fontId="48" fillId="0" borderId="35" xfId="94" applyNumberFormat="1" applyFont="1" applyBorder="1" applyAlignment="1">
      <alignment horizontal="right" vertical="center" wrapText="1"/>
      <protection/>
    </xf>
    <xf numFmtId="3" fontId="48" fillId="0" borderId="13" xfId="95" applyNumberFormat="1" applyFont="1" applyBorder="1" applyAlignment="1">
      <alignment horizontal="right" vertical="center" wrapText="1"/>
      <protection/>
    </xf>
    <xf numFmtId="3" fontId="48" fillId="0" borderId="15" xfId="95" applyNumberFormat="1" applyFont="1" applyBorder="1" applyAlignment="1">
      <alignment horizontal="right" vertical="center" wrapText="1"/>
      <protection/>
    </xf>
    <xf numFmtId="3" fontId="48" fillId="0" borderId="35" xfId="95" applyNumberFormat="1" applyFont="1" applyBorder="1" applyAlignment="1">
      <alignment horizontal="right" vertical="center" wrapText="1"/>
      <protection/>
    </xf>
    <xf numFmtId="3" fontId="48" fillId="0" borderId="34" xfId="94" applyNumberFormat="1" applyFont="1" applyBorder="1" applyAlignment="1">
      <alignment horizontal="center" vertical="center" wrapText="1"/>
      <protection/>
    </xf>
    <xf numFmtId="3" fontId="48" fillId="0" borderId="72" xfId="95" applyNumberFormat="1" applyFont="1" applyBorder="1" applyAlignment="1">
      <alignment horizontal="right" vertical="center" wrapText="1"/>
      <protection/>
    </xf>
    <xf numFmtId="3" fontId="48" fillId="0" borderId="13" xfId="95" applyNumberFormat="1" applyFont="1" applyBorder="1">
      <alignment/>
      <protection/>
    </xf>
    <xf numFmtId="3" fontId="48" fillId="0" borderId="15" xfId="95" applyNumberFormat="1" applyFont="1" applyBorder="1">
      <alignment/>
      <protection/>
    </xf>
    <xf numFmtId="3" fontId="48" fillId="0" borderId="35" xfId="95" applyNumberFormat="1" applyFont="1" applyBorder="1">
      <alignment/>
      <protection/>
    </xf>
    <xf numFmtId="3" fontId="48" fillId="0" borderId="72" xfId="95" applyNumberFormat="1" applyFont="1" applyBorder="1">
      <alignment/>
      <protection/>
    </xf>
    <xf numFmtId="0" fontId="48" fillId="0" borderId="35" xfId="95" applyFont="1" applyBorder="1">
      <alignment/>
      <protection/>
    </xf>
    <xf numFmtId="3" fontId="47" fillId="0" borderId="33" xfId="94" applyNumberFormat="1" applyFont="1" applyBorder="1" applyAlignment="1">
      <alignment horizontal="left" vertical="center" wrapText="1"/>
      <protection/>
    </xf>
    <xf numFmtId="3" fontId="47" fillId="0" borderId="34" xfId="94" applyNumberFormat="1" applyFont="1" applyBorder="1" applyAlignment="1">
      <alignment horizontal="left" vertical="center" wrapText="1"/>
      <protection/>
    </xf>
    <xf numFmtId="0" fontId="48" fillId="0" borderId="33" xfId="94" applyFont="1" applyBorder="1" applyAlignment="1">
      <alignment horizontal="left" vertical="center" wrapText="1"/>
      <protection/>
    </xf>
    <xf numFmtId="0" fontId="48" fillId="0" borderId="34" xfId="94" applyFont="1" applyBorder="1" applyAlignment="1">
      <alignment horizontal="left" vertical="center" wrapText="1"/>
      <protection/>
    </xf>
    <xf numFmtId="0" fontId="48" fillId="0" borderId="33" xfId="94" applyFont="1" applyBorder="1" applyAlignment="1">
      <alignment wrapText="1"/>
      <protection/>
    </xf>
    <xf numFmtId="3" fontId="48" fillId="0" borderId="13" xfId="94" applyNumberFormat="1" applyFont="1" applyBorder="1">
      <alignment/>
      <protection/>
    </xf>
    <xf numFmtId="3" fontId="48" fillId="0" borderId="15" xfId="94" applyNumberFormat="1" applyFont="1" applyBorder="1">
      <alignment/>
      <protection/>
    </xf>
    <xf numFmtId="3" fontId="48" fillId="0" borderId="35" xfId="94" applyNumberFormat="1" applyFont="1" applyBorder="1">
      <alignment/>
      <protection/>
    </xf>
    <xf numFmtId="0" fontId="48" fillId="0" borderId="34" xfId="94" applyFont="1" applyBorder="1" applyAlignment="1">
      <alignment wrapText="1"/>
      <protection/>
    </xf>
    <xf numFmtId="0" fontId="48" fillId="0" borderId="33" xfId="94" applyFont="1" applyBorder="1">
      <alignment/>
      <protection/>
    </xf>
    <xf numFmtId="0" fontId="48" fillId="0" borderId="34" xfId="94" applyFont="1" applyBorder="1">
      <alignment/>
      <protection/>
    </xf>
    <xf numFmtId="0" fontId="48" fillId="0" borderId="33" xfId="95" applyFont="1" applyBorder="1" applyAlignment="1">
      <alignment horizontal="center" vertical="center" wrapText="1"/>
      <protection/>
    </xf>
    <xf numFmtId="0" fontId="48" fillId="0" borderId="13" xfId="95" applyFont="1" applyBorder="1" applyAlignment="1">
      <alignment horizontal="center" vertical="center" wrapText="1"/>
      <protection/>
    </xf>
    <xf numFmtId="0" fontId="48" fillId="0" borderId="15" xfId="95" applyFont="1" applyBorder="1" applyAlignment="1">
      <alignment horizontal="center" vertical="center" wrapText="1"/>
      <protection/>
    </xf>
    <xf numFmtId="0" fontId="48" fillId="0" borderId="35" xfId="95" applyFont="1" applyBorder="1" applyAlignment="1">
      <alignment horizontal="center" vertical="center" wrapText="1"/>
      <protection/>
    </xf>
    <xf numFmtId="0" fontId="48" fillId="0" borderId="34" xfId="95" applyFont="1" applyBorder="1" applyAlignment="1">
      <alignment horizontal="center" vertical="center" wrapText="1"/>
      <protection/>
    </xf>
    <xf numFmtId="0" fontId="48" fillId="0" borderId="72" xfId="95" applyFont="1" applyBorder="1" applyAlignment="1">
      <alignment horizontal="center" vertical="center" wrapText="1"/>
      <protection/>
    </xf>
    <xf numFmtId="0" fontId="47" fillId="0" borderId="17" xfId="95" applyFont="1" applyBorder="1" applyAlignment="1">
      <alignment horizontal="left" vertical="center" wrapText="1"/>
      <protection/>
    </xf>
    <xf numFmtId="3" fontId="47" fillId="0" borderId="24" xfId="95" applyNumberFormat="1" applyFont="1" applyBorder="1" applyAlignment="1">
      <alignment horizontal="right" vertical="center" wrapText="1"/>
      <protection/>
    </xf>
    <xf numFmtId="3" fontId="47" fillId="0" borderId="25" xfId="95" applyNumberFormat="1" applyFont="1" applyBorder="1" applyAlignment="1">
      <alignment horizontal="right" vertical="center" wrapText="1"/>
      <protection/>
    </xf>
    <xf numFmtId="3" fontId="47" fillId="0" borderId="27" xfId="95" applyNumberFormat="1" applyFont="1" applyBorder="1" applyAlignment="1">
      <alignment horizontal="right" vertical="center" wrapText="1"/>
      <protection/>
    </xf>
    <xf numFmtId="0" fontId="47" fillId="0" borderId="26" xfId="95" applyFont="1" applyBorder="1" applyAlignment="1">
      <alignment horizontal="left" vertical="center" wrapText="1"/>
      <protection/>
    </xf>
    <xf numFmtId="3" fontId="47" fillId="0" borderId="18" xfId="95" applyNumberFormat="1" applyFont="1" applyBorder="1" applyAlignment="1">
      <alignment horizontal="right" vertical="center" wrapText="1"/>
      <protection/>
    </xf>
    <xf numFmtId="0" fontId="23" fillId="25" borderId="75" xfId="96" applyFont="1" applyFill="1" applyBorder="1" applyAlignment="1">
      <alignment horizontal="center" vertical="center" wrapText="1"/>
      <protection/>
    </xf>
    <xf numFmtId="0" fontId="23" fillId="25" borderId="15" xfId="96" applyFont="1" applyFill="1" applyBorder="1" applyAlignment="1">
      <alignment horizontal="left" vertical="center" wrapText="1"/>
      <protection/>
    </xf>
    <xf numFmtId="0" fontId="38" fillId="25" borderId="15" xfId="96" applyFont="1" applyFill="1" applyBorder="1" applyAlignment="1">
      <alignment vertical="center" wrapText="1"/>
      <protection/>
    </xf>
    <xf numFmtId="3" fontId="23" fillId="25" borderId="15" xfId="96" applyNumberFormat="1" applyFont="1" applyFill="1" applyBorder="1" applyAlignment="1">
      <alignment vertical="center"/>
      <protection/>
    </xf>
    <xf numFmtId="0" fontId="39" fillId="25" borderId="0" xfId="96" applyFont="1" applyFill="1">
      <alignment/>
      <protection/>
    </xf>
    <xf numFmtId="3" fontId="39" fillId="25" borderId="0" xfId="96" applyNumberFormat="1" applyFont="1" applyFill="1">
      <alignment/>
      <protection/>
    </xf>
    <xf numFmtId="0" fontId="32" fillId="0" borderId="0" xfId="96" applyFont="1" applyBorder="1">
      <alignment/>
      <protection/>
    </xf>
    <xf numFmtId="0" fontId="32" fillId="0" borderId="0" xfId="96" applyFont="1" applyFill="1" applyBorder="1">
      <alignment/>
      <protection/>
    </xf>
    <xf numFmtId="0" fontId="39" fillId="0" borderId="0" xfId="96" applyFont="1" applyFill="1" applyBorder="1">
      <alignment/>
      <protection/>
    </xf>
    <xf numFmtId="3" fontId="32" fillId="0" borderId="0" xfId="96" applyNumberFormat="1" applyFont="1" applyFill="1" applyBorder="1">
      <alignment/>
      <protection/>
    </xf>
    <xf numFmtId="0" fontId="39" fillId="0" borderId="0" xfId="96" applyFont="1" applyBorder="1">
      <alignment/>
      <protection/>
    </xf>
    <xf numFmtId="0" fontId="39" fillId="0" borderId="0" xfId="96" applyFont="1" applyFill="1" applyBorder="1">
      <alignment/>
      <protection/>
    </xf>
    <xf numFmtId="3" fontId="39" fillId="0" borderId="0" xfId="96" applyNumberFormat="1" applyFont="1" applyFill="1" applyBorder="1">
      <alignment/>
      <protection/>
    </xf>
    <xf numFmtId="3" fontId="39" fillId="0" borderId="0" xfId="96" applyNumberFormat="1" applyFont="1">
      <alignment/>
      <protection/>
    </xf>
    <xf numFmtId="3" fontId="32" fillId="0" borderId="0" xfId="96" applyNumberFormat="1" applyFont="1" applyFill="1" applyBorder="1">
      <alignment/>
      <protection/>
    </xf>
    <xf numFmtId="0" fontId="32" fillId="0" borderId="0" xfId="96" applyFont="1">
      <alignment/>
      <protection/>
    </xf>
    <xf numFmtId="3" fontId="23" fillId="0" borderId="15" xfId="96" applyNumberFormat="1" applyFont="1" applyFill="1" applyBorder="1" applyAlignment="1">
      <alignment vertical="center" wrapText="1"/>
      <protection/>
    </xf>
    <xf numFmtId="3" fontId="23" fillId="0" borderId="14" xfId="96" applyNumberFormat="1" applyFont="1" applyFill="1" applyBorder="1" applyAlignment="1">
      <alignment vertical="center"/>
      <protection/>
    </xf>
    <xf numFmtId="0" fontId="39" fillId="0" borderId="15" xfId="96" applyFont="1" applyBorder="1">
      <alignment/>
      <protection/>
    </xf>
    <xf numFmtId="0" fontId="39" fillId="0" borderId="15" xfId="96" applyFont="1" applyBorder="1">
      <alignment/>
      <protection/>
    </xf>
    <xf numFmtId="0" fontId="32" fillId="0" borderId="15" xfId="96" applyFont="1" applyBorder="1">
      <alignment/>
      <protection/>
    </xf>
    <xf numFmtId="0" fontId="32" fillId="0" borderId="15" xfId="96" applyFont="1" applyFill="1" applyBorder="1">
      <alignment/>
      <protection/>
    </xf>
    <xf numFmtId="0" fontId="39" fillId="0" borderId="15" xfId="96" applyFont="1" applyFill="1" applyBorder="1">
      <alignment/>
      <protection/>
    </xf>
    <xf numFmtId="3" fontId="32" fillId="0" borderId="15" xfId="96" applyNumberFormat="1" applyFont="1" applyFill="1" applyBorder="1">
      <alignment/>
      <protection/>
    </xf>
    <xf numFmtId="3" fontId="32" fillId="0" borderId="14" xfId="96" applyNumberFormat="1" applyFont="1" applyFill="1" applyBorder="1">
      <alignment/>
      <protection/>
    </xf>
    <xf numFmtId="3" fontId="32" fillId="0" borderId="15" xfId="96" applyNumberFormat="1" applyFont="1" applyBorder="1">
      <alignment/>
      <protection/>
    </xf>
    <xf numFmtId="3" fontId="39" fillId="0" borderId="15" xfId="96" applyNumberFormat="1" applyFont="1" applyBorder="1">
      <alignment/>
      <protection/>
    </xf>
    <xf numFmtId="0" fontId="39" fillId="0" borderId="0" xfId="96" applyFont="1" applyBorder="1">
      <alignment/>
      <protection/>
    </xf>
    <xf numFmtId="3" fontId="32" fillId="0" borderId="0" xfId="96" applyNumberFormat="1" applyFont="1" applyBorder="1">
      <alignment/>
      <protection/>
    </xf>
    <xf numFmtId="3" fontId="29" fillId="0" borderId="35" xfId="0" applyNumberFormat="1" applyFont="1" applyBorder="1" applyAlignment="1">
      <alignment/>
    </xf>
    <xf numFmtId="49" fontId="21" fillId="0" borderId="33" xfId="98" applyNumberFormat="1" applyFont="1" applyBorder="1">
      <alignment/>
      <protection/>
    </xf>
    <xf numFmtId="49" fontId="34" fillId="0" borderId="33" xfId="100" applyNumberFormat="1" applyFont="1" applyBorder="1" applyAlignment="1">
      <alignment wrapText="1"/>
      <protection/>
    </xf>
    <xf numFmtId="49" fontId="33" fillId="0" borderId="34" xfId="98" applyNumberFormat="1" applyFont="1" applyBorder="1" applyAlignment="1">
      <alignment wrapText="1"/>
      <protection/>
    </xf>
    <xf numFmtId="3" fontId="32" fillId="0" borderId="0" xfId="94" applyNumberFormat="1" applyFont="1">
      <alignment/>
      <protection/>
    </xf>
    <xf numFmtId="1" fontId="38" fillId="0" borderId="54" xfId="93" applyNumberFormat="1" applyFont="1" applyFill="1" applyBorder="1" applyAlignment="1">
      <alignment horizontal="center"/>
      <protection/>
    </xf>
    <xf numFmtId="3" fontId="38" fillId="0" borderId="56" xfId="93" applyNumberFormat="1" applyFont="1" applyFill="1" applyBorder="1" applyAlignment="1">
      <alignment horizontal="right"/>
      <protection/>
    </xf>
    <xf numFmtId="0" fontId="38" fillId="0" borderId="56" xfId="93" applyFont="1" applyFill="1" applyBorder="1" applyAlignment="1">
      <alignment horizontal="right"/>
      <protection/>
    </xf>
    <xf numFmtId="3" fontId="38" fillId="0" borderId="55" xfId="93" applyNumberFormat="1" applyFont="1" applyFill="1" applyBorder="1" applyAlignment="1">
      <alignment horizontal="right"/>
      <protection/>
    </xf>
    <xf numFmtId="0" fontId="51" fillId="0" borderId="120" xfId="93" applyFont="1" applyFill="1" applyBorder="1">
      <alignment/>
      <protection/>
    </xf>
    <xf numFmtId="0" fontId="51" fillId="0" borderId="108" xfId="93" applyFont="1" applyFill="1" applyBorder="1" applyAlignment="1">
      <alignment horizontal="left"/>
      <protection/>
    </xf>
    <xf numFmtId="0" fontId="38" fillId="0" borderId="44" xfId="93" applyFont="1" applyFill="1" applyBorder="1" applyAlignment="1">
      <alignment/>
      <protection/>
    </xf>
    <xf numFmtId="0" fontId="23" fillId="0" borderId="0" xfId="93" applyFont="1" applyFill="1" applyBorder="1" applyAlignment="1">
      <alignment/>
      <protection/>
    </xf>
    <xf numFmtId="0" fontId="39" fillId="0" borderId="72" xfId="96" applyFont="1" applyBorder="1">
      <alignment/>
      <protection/>
    </xf>
    <xf numFmtId="0" fontId="23" fillId="0" borderId="103" xfId="96" applyFont="1" applyBorder="1" applyAlignment="1">
      <alignment horizontal="left" vertical="center" wrapText="1"/>
      <protection/>
    </xf>
    <xf numFmtId="3" fontId="39" fillId="0" borderId="103" xfId="96" applyNumberFormat="1" applyFont="1" applyBorder="1">
      <alignment/>
      <protection/>
    </xf>
    <xf numFmtId="3" fontId="39" fillId="0" borderId="35" xfId="96" applyNumberFormat="1" applyFont="1" applyBorder="1">
      <alignment/>
      <protection/>
    </xf>
    <xf numFmtId="0" fontId="23" fillId="0" borderId="25" xfId="96" applyFont="1" applyBorder="1" applyAlignment="1">
      <alignment vertical="center" wrapText="1"/>
      <protection/>
    </xf>
    <xf numFmtId="3" fontId="23" fillId="0" borderId="103" xfId="96" applyNumberFormat="1" applyFont="1" applyBorder="1" applyAlignment="1">
      <alignment vertical="center" wrapText="1"/>
      <protection/>
    </xf>
    <xf numFmtId="0" fontId="51" fillId="0" borderId="68" xfId="93" applyFont="1" applyFill="1" applyBorder="1">
      <alignment/>
      <protection/>
    </xf>
    <xf numFmtId="0" fontId="51" fillId="0" borderId="121" xfId="93" applyFont="1" applyFill="1" applyBorder="1" applyAlignment="1">
      <alignment horizontal="left"/>
      <protection/>
    </xf>
    <xf numFmtId="3" fontId="38" fillId="0" borderId="64" xfId="93" applyNumberFormat="1" applyFont="1" applyFill="1" applyBorder="1" applyAlignment="1">
      <alignment horizontal="right"/>
      <protection/>
    </xf>
    <xf numFmtId="3" fontId="38" fillId="0" borderId="63" xfId="93" applyNumberFormat="1" applyFont="1" applyFill="1" applyBorder="1" applyAlignment="1">
      <alignment horizontal="right"/>
      <protection/>
    </xf>
    <xf numFmtId="0" fontId="51" fillId="0" borderId="122" xfId="93" applyFont="1" applyFill="1" applyBorder="1">
      <alignment/>
      <protection/>
    </xf>
    <xf numFmtId="0" fontId="51" fillId="0" borderId="44" xfId="93" applyFont="1" applyFill="1" applyBorder="1" applyAlignment="1">
      <alignment horizontal="left"/>
      <protection/>
    </xf>
    <xf numFmtId="0" fontId="51" fillId="0" borderId="59" xfId="93" applyFont="1" applyFill="1" applyBorder="1">
      <alignment/>
      <protection/>
    </xf>
    <xf numFmtId="0" fontId="40" fillId="0" borderId="54" xfId="93" applyFont="1" applyFill="1" applyBorder="1" applyAlignment="1">
      <alignment horizontal="left"/>
      <protection/>
    </xf>
    <xf numFmtId="1" fontId="23" fillId="0" borderId="0" xfId="92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0" fillId="0" borderId="0" xfId="93" applyFont="1" applyFill="1" applyBorder="1">
      <alignment/>
      <protection/>
    </xf>
    <xf numFmtId="3" fontId="23" fillId="0" borderId="0" xfId="93" applyNumberFormat="1" applyFont="1" applyFill="1" applyBorder="1" applyAlignment="1">
      <alignment/>
      <protection/>
    </xf>
    <xf numFmtId="0" fontId="38" fillId="0" borderId="24" xfId="94" applyFont="1" applyBorder="1" applyAlignment="1">
      <alignment wrapText="1"/>
      <protection/>
    </xf>
    <xf numFmtId="3" fontId="38" fillId="0" borderId="25" xfId="94" applyNumberFormat="1" applyFont="1" applyBorder="1">
      <alignment/>
      <protection/>
    </xf>
    <xf numFmtId="3" fontId="38" fillId="0" borderId="27" xfId="94" applyNumberFormat="1" applyFont="1" applyBorder="1">
      <alignment/>
      <protection/>
    </xf>
    <xf numFmtId="0" fontId="38" fillId="0" borderId="16" xfId="94" applyFont="1" applyBorder="1">
      <alignment/>
      <protection/>
    </xf>
    <xf numFmtId="3" fontId="38" fillId="0" borderId="46" xfId="94" applyNumberFormat="1" applyFont="1" applyBorder="1">
      <alignment/>
      <protection/>
    </xf>
    <xf numFmtId="3" fontId="38" fillId="0" borderId="99" xfId="94" applyNumberFormat="1" applyFont="1" applyBorder="1">
      <alignment/>
      <protection/>
    </xf>
    <xf numFmtId="49" fontId="38" fillId="0" borderId="75" xfId="94" applyNumberFormat="1" applyFont="1" applyBorder="1">
      <alignment/>
      <protection/>
    </xf>
    <xf numFmtId="0" fontId="58" fillId="0" borderId="123" xfId="0" applyFont="1" applyFill="1" applyBorder="1" applyAlignment="1">
      <alignment/>
    </xf>
    <xf numFmtId="0" fontId="29" fillId="0" borderId="124" xfId="0" applyFont="1" applyFill="1" applyBorder="1" applyAlignment="1">
      <alignment/>
    </xf>
    <xf numFmtId="0" fontId="59" fillId="0" borderId="124" xfId="0" applyFont="1" applyFill="1" applyBorder="1" applyAlignment="1">
      <alignment/>
    </xf>
    <xf numFmtId="3" fontId="59" fillId="0" borderId="125" xfId="0" applyNumberFormat="1" applyFont="1" applyFill="1" applyBorder="1" applyAlignment="1">
      <alignment horizontal="right"/>
    </xf>
    <xf numFmtId="0" fontId="58" fillId="0" borderId="124" xfId="0" applyFont="1" applyFill="1" applyBorder="1" applyAlignment="1">
      <alignment/>
    </xf>
    <xf numFmtId="3" fontId="58" fillId="0" borderId="125" xfId="0" applyNumberFormat="1" applyFont="1" applyFill="1" applyBorder="1" applyAlignment="1">
      <alignment horizontal="right"/>
    </xf>
    <xf numFmtId="3" fontId="29" fillId="0" borderId="125" xfId="0" applyNumberFormat="1" applyFont="1" applyFill="1" applyBorder="1" applyAlignment="1">
      <alignment horizontal="right"/>
    </xf>
    <xf numFmtId="3" fontId="30" fillId="0" borderId="125" xfId="0" applyNumberFormat="1" applyFont="1" applyFill="1" applyBorder="1" applyAlignment="1">
      <alignment horizontal="right"/>
    </xf>
    <xf numFmtId="0" fontId="30" fillId="0" borderId="126" xfId="0" applyFont="1" applyFill="1" applyBorder="1" applyAlignment="1">
      <alignment horizontal="center" vertical="center" wrapText="1"/>
    </xf>
    <xf numFmtId="0" fontId="30" fillId="0" borderId="124" xfId="0" applyFont="1" applyFill="1" applyBorder="1" applyAlignment="1">
      <alignment/>
    </xf>
    <xf numFmtId="0" fontId="29" fillId="0" borderId="124" xfId="0" applyFont="1" applyFill="1" applyBorder="1" applyAlignment="1">
      <alignment/>
    </xf>
    <xf numFmtId="49" fontId="30" fillId="0" borderId="124" xfId="0" applyNumberFormat="1" applyFont="1" applyFill="1" applyBorder="1" applyAlignment="1">
      <alignment vertical="center" wrapText="1"/>
    </xf>
    <xf numFmtId="0" fontId="58" fillId="0" borderId="127" xfId="0" applyFont="1" applyFill="1" applyBorder="1" applyAlignment="1">
      <alignment/>
    </xf>
    <xf numFmtId="49" fontId="60" fillId="0" borderId="128" xfId="0" applyNumberFormat="1" applyFont="1" applyFill="1" applyBorder="1" applyAlignment="1">
      <alignment/>
    </xf>
    <xf numFmtId="0" fontId="60" fillId="0" borderId="129" xfId="0" applyFont="1" applyFill="1" applyBorder="1" applyAlignment="1">
      <alignment/>
    </xf>
    <xf numFmtId="0" fontId="23" fillId="0" borderId="0" xfId="93" applyFont="1" applyFill="1" applyAlignment="1">
      <alignment/>
      <protection/>
    </xf>
    <xf numFmtId="0" fontId="0" fillId="0" borderId="0" xfId="0" applyFont="1" applyFill="1" applyAlignment="1">
      <alignment/>
    </xf>
    <xf numFmtId="0" fontId="47" fillId="0" borderId="0" xfId="93" applyFont="1" applyFill="1" applyBorder="1" applyAlignment="1">
      <alignment horizontal="center"/>
      <protection/>
    </xf>
    <xf numFmtId="0" fontId="52" fillId="0" borderId="0" xfId="93" applyFont="1" applyFill="1" applyBorder="1" applyAlignment="1">
      <alignment horizontal="center"/>
      <protection/>
    </xf>
    <xf numFmtId="3" fontId="58" fillId="0" borderId="129" xfId="0" applyNumberFormat="1" applyFont="1" applyFill="1" applyBorder="1" applyAlignment="1">
      <alignment horizontal="center"/>
    </xf>
    <xf numFmtId="3" fontId="58" fillId="0" borderId="129" xfId="0" applyNumberFormat="1" applyFont="1" applyFill="1" applyBorder="1" applyAlignment="1">
      <alignment/>
    </xf>
    <xf numFmtId="3" fontId="30" fillId="0" borderId="130" xfId="0" applyNumberFormat="1" applyFont="1" applyFill="1" applyBorder="1" applyAlignment="1">
      <alignment/>
    </xf>
    <xf numFmtId="3" fontId="30" fillId="0" borderId="129" xfId="0" applyNumberFormat="1" applyFont="1" applyFill="1" applyBorder="1" applyAlignment="1">
      <alignment/>
    </xf>
    <xf numFmtId="3" fontId="30" fillId="0" borderId="131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3" fontId="28" fillId="0" borderId="132" xfId="0" applyNumberFormat="1" applyFont="1" applyFill="1" applyBorder="1" applyAlignment="1">
      <alignment/>
    </xf>
    <xf numFmtId="0" fontId="23" fillId="0" borderId="59" xfId="93" applyFont="1" applyFill="1" applyBorder="1" applyAlignment="1">
      <alignment horizontal="left"/>
      <protection/>
    </xf>
    <xf numFmtId="0" fontId="23" fillId="0" borderId="133" xfId="93" applyFont="1" applyFill="1" applyBorder="1" applyAlignment="1">
      <alignment horizontal="center" vertical="center" wrapText="1"/>
      <protection/>
    </xf>
    <xf numFmtId="0" fontId="23" fillId="0" borderId="45" xfId="93" applyFont="1" applyFill="1" applyBorder="1" applyAlignment="1">
      <alignment horizontal="center"/>
      <protection/>
    </xf>
    <xf numFmtId="0" fontId="23" fillId="0" borderId="44" xfId="93" applyFont="1" applyFill="1" applyBorder="1" applyAlignment="1">
      <alignment horizontal="left"/>
      <protection/>
    </xf>
    <xf numFmtId="0" fontId="23" fillId="0" borderId="134" xfId="93" applyFont="1" applyFill="1" applyBorder="1" applyAlignment="1">
      <alignment horizontal="center" vertical="center" wrapText="1"/>
      <protection/>
    </xf>
    <xf numFmtId="0" fontId="40" fillId="0" borderId="135" xfId="93" applyFont="1" applyFill="1" applyBorder="1" applyAlignment="1">
      <alignment horizontal="center" vertical="center" wrapText="1"/>
      <protection/>
    </xf>
    <xf numFmtId="0" fontId="40" fillId="0" borderId="136" xfId="93" applyFont="1" applyFill="1" applyBorder="1" applyAlignment="1">
      <alignment horizontal="center" vertical="center" wrapText="1"/>
      <protection/>
    </xf>
    <xf numFmtId="3" fontId="23" fillId="0" borderId="137" xfId="93" applyNumberFormat="1" applyFont="1" applyFill="1" applyBorder="1" applyAlignment="1">
      <alignment horizontal="center" vertical="center" wrapText="1"/>
      <protection/>
    </xf>
    <xf numFmtId="3" fontId="23" fillId="0" borderId="138" xfId="93" applyNumberFormat="1" applyFont="1" applyFill="1" applyBorder="1" applyAlignment="1">
      <alignment horizontal="center" vertical="center" wrapText="1"/>
      <protection/>
    </xf>
    <xf numFmtId="3" fontId="23" fillId="0" borderId="139" xfId="93" applyNumberFormat="1" applyFont="1" applyFill="1" applyBorder="1" applyAlignment="1">
      <alignment horizontal="center" vertical="center" wrapText="1"/>
      <protection/>
    </xf>
    <xf numFmtId="0" fontId="23" fillId="0" borderId="140" xfId="93" applyFont="1" applyFill="1" applyBorder="1" applyAlignment="1">
      <alignment horizontal="center" vertical="center" wrapText="1"/>
      <protection/>
    </xf>
    <xf numFmtId="0" fontId="51" fillId="0" borderId="141" xfId="93" applyFont="1" applyFill="1" applyBorder="1" applyAlignment="1">
      <alignment horizontal="center"/>
      <protection/>
    </xf>
    <xf numFmtId="0" fontId="51" fillId="0" borderId="121" xfId="93" applyFont="1" applyFill="1" applyBorder="1" applyAlignment="1">
      <alignment horizontal="center"/>
      <protection/>
    </xf>
    <xf numFmtId="0" fontId="51" fillId="0" borderId="108" xfId="93" applyFont="1" applyFill="1" applyBorder="1" applyAlignment="1">
      <alignment horizontal="center"/>
      <protection/>
    </xf>
    <xf numFmtId="0" fontId="40" fillId="0" borderId="142" xfId="93" applyFont="1" applyFill="1" applyBorder="1" applyAlignment="1">
      <alignment horizontal="center" vertical="center" wrapText="1"/>
      <protection/>
    </xf>
    <xf numFmtId="0" fontId="23" fillId="0" borderId="143" xfId="93" applyFont="1" applyFill="1" applyBorder="1" applyAlignment="1">
      <alignment horizontal="center" vertical="center" wrapText="1"/>
      <protection/>
    </xf>
    <xf numFmtId="0" fontId="23" fillId="0" borderId="80" xfId="93" applyFont="1" applyFill="1" applyBorder="1" applyAlignment="1">
      <alignment horizontal="center" vertical="center" wrapText="1"/>
      <protection/>
    </xf>
    <xf numFmtId="0" fontId="23" fillId="0" borderId="143" xfId="93" applyFont="1" applyFill="1" applyBorder="1" applyAlignment="1">
      <alignment horizontal="center" vertical="center"/>
      <protection/>
    </xf>
    <xf numFmtId="0" fontId="23" fillId="0" borderId="80" xfId="93" applyFont="1" applyFill="1" applyBorder="1" applyAlignment="1">
      <alignment horizontal="center" vertical="center"/>
      <protection/>
    </xf>
    <xf numFmtId="0" fontId="42" fillId="0" borderId="78" xfId="0" applyFont="1" applyBorder="1" applyAlignment="1">
      <alignment horizontal="center" vertical="center"/>
    </xf>
    <xf numFmtId="0" fontId="42" fillId="0" borderId="118" xfId="0" applyFont="1" applyBorder="1" applyAlignment="1">
      <alignment horizontal="center" vertical="center"/>
    </xf>
    <xf numFmtId="0" fontId="42" fillId="0" borderId="9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62" fillId="0" borderId="0" xfId="0" applyFont="1" applyAlignment="1">
      <alignment/>
    </xf>
    <xf numFmtId="0" fontId="42" fillId="0" borderId="46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9" fontId="26" fillId="0" borderId="13" xfId="0" applyNumberFormat="1" applyFont="1" applyBorder="1" applyAlignment="1">
      <alignment horizontal="left" wrapText="1"/>
    </xf>
    <xf numFmtId="49" fontId="26" fillId="0" borderId="15" xfId="0" applyNumberFormat="1" applyFont="1" applyBorder="1" applyAlignment="1">
      <alignment horizontal="left" wrapText="1"/>
    </xf>
    <xf numFmtId="0" fontId="22" fillId="0" borderId="13" xfId="0" applyFont="1" applyBorder="1" applyAlignment="1">
      <alignment/>
    </xf>
    <xf numFmtId="0" fontId="0" fillId="0" borderId="15" xfId="0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2" fillId="0" borderId="13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2" fillId="0" borderId="29" xfId="0" applyFont="1" applyBorder="1" applyAlignment="1">
      <alignment horizontal="center" vertical="center" wrapText="1"/>
    </xf>
    <xf numFmtId="0" fontId="22" fillId="0" borderId="118" xfId="0" applyFont="1" applyBorder="1" applyAlignment="1">
      <alignment horizontal="center" vertical="center" wrapText="1"/>
    </xf>
    <xf numFmtId="0" fontId="22" fillId="0" borderId="99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/>
    </xf>
    <xf numFmtId="0" fontId="22" fillId="0" borderId="118" xfId="0" applyFont="1" applyBorder="1" applyAlignment="1">
      <alignment horizontal="center"/>
    </xf>
    <xf numFmtId="0" fontId="22" fillId="0" borderId="99" xfId="0" applyFont="1" applyBorder="1" applyAlignment="1">
      <alignment horizontal="center"/>
    </xf>
    <xf numFmtId="0" fontId="22" fillId="0" borderId="33" xfId="0" applyFont="1" applyBorder="1" applyAlignment="1">
      <alignment horizontal="left"/>
    </xf>
    <xf numFmtId="0" fontId="22" fillId="0" borderId="72" xfId="0" applyFont="1" applyBorder="1" applyAlignment="1">
      <alignment horizontal="left"/>
    </xf>
    <xf numFmtId="0" fontId="20" fillId="0" borderId="0" xfId="98" applyFont="1" applyAlignment="1">
      <alignment horizontal="center"/>
      <protection/>
    </xf>
    <xf numFmtId="0" fontId="20" fillId="0" borderId="29" xfId="98" applyFont="1" applyBorder="1" applyAlignment="1">
      <alignment horizontal="center"/>
      <protection/>
    </xf>
    <xf numFmtId="0" fontId="20" fillId="0" borderId="118" xfId="98" applyFont="1" applyBorder="1" applyAlignment="1">
      <alignment horizontal="center"/>
      <protection/>
    </xf>
    <xf numFmtId="0" fontId="20" fillId="0" borderId="99" xfId="98" applyFont="1" applyBorder="1" applyAlignment="1">
      <alignment horizontal="center"/>
      <protection/>
    </xf>
    <xf numFmtId="0" fontId="42" fillId="0" borderId="78" xfId="0" applyFont="1" applyBorder="1" applyAlignment="1">
      <alignment horizontal="center" vertical="center" wrapText="1"/>
    </xf>
    <xf numFmtId="0" fontId="42" fillId="0" borderId="118" xfId="0" applyFont="1" applyBorder="1" applyAlignment="1">
      <alignment horizontal="center" vertical="center" wrapText="1"/>
    </xf>
    <xf numFmtId="0" fontId="42" fillId="0" borderId="144" xfId="0" applyFont="1" applyBorder="1" applyAlignment="1">
      <alignment horizontal="center" vertical="center" wrapText="1"/>
    </xf>
    <xf numFmtId="0" fontId="30" fillId="0" borderId="0" xfId="0" applyFont="1" applyAlignment="1">
      <alignment horizontal="center" shrinkToFit="1"/>
    </xf>
    <xf numFmtId="0" fontId="23" fillId="0" borderId="145" xfId="93" applyFont="1" applyFill="1" applyBorder="1" applyAlignment="1">
      <alignment horizontal="center" vertical="center"/>
      <protection/>
    </xf>
    <xf numFmtId="0" fontId="23" fillId="0" borderId="146" xfId="93" applyFont="1" applyFill="1" applyBorder="1" applyAlignment="1">
      <alignment horizontal="center" vertical="center"/>
      <protection/>
    </xf>
    <xf numFmtId="0" fontId="23" fillId="0" borderId="147" xfId="93" applyFont="1" applyFill="1" applyBorder="1" applyAlignment="1">
      <alignment horizontal="center" vertical="center"/>
      <protection/>
    </xf>
    <xf numFmtId="0" fontId="23" fillId="0" borderId="148" xfId="93" applyFont="1" applyFill="1" applyBorder="1" applyAlignment="1">
      <alignment horizontal="center" vertical="center"/>
      <protection/>
    </xf>
    <xf numFmtId="0" fontId="23" fillId="0" borderId="149" xfId="93" applyFont="1" applyFill="1" applyBorder="1" applyAlignment="1">
      <alignment horizontal="center" vertical="center"/>
      <protection/>
    </xf>
    <xf numFmtId="0" fontId="23" fillId="0" borderId="150" xfId="93" applyFont="1" applyFill="1" applyBorder="1" applyAlignment="1">
      <alignment horizontal="center" vertical="center"/>
      <protection/>
    </xf>
    <xf numFmtId="0" fontId="23" fillId="0" borderId="140" xfId="92" applyFont="1" applyFill="1" applyBorder="1" applyAlignment="1">
      <alignment horizontal="center" vertical="center"/>
      <protection/>
    </xf>
    <xf numFmtId="0" fontId="23" fillId="0" borderId="134" xfId="92" applyFont="1" applyFill="1" applyBorder="1" applyAlignment="1">
      <alignment horizontal="center" vertical="center"/>
      <protection/>
    </xf>
    <xf numFmtId="0" fontId="23" fillId="0" borderId="133" xfId="92" applyFont="1" applyFill="1" applyBorder="1" applyAlignment="1">
      <alignment horizontal="center" vertical="center"/>
      <protection/>
    </xf>
    <xf numFmtId="0" fontId="23" fillId="0" borderId="140" xfId="93" applyFont="1" applyFill="1" applyBorder="1" applyAlignment="1">
      <alignment horizontal="center" vertical="center"/>
      <protection/>
    </xf>
    <xf numFmtId="0" fontId="23" fillId="0" borderId="134" xfId="93" applyFont="1" applyFill="1" applyBorder="1" applyAlignment="1">
      <alignment horizontal="center" vertical="center"/>
      <protection/>
    </xf>
    <xf numFmtId="0" fontId="23" fillId="0" borderId="133" xfId="93" applyFont="1" applyFill="1" applyBorder="1" applyAlignment="1">
      <alignment horizontal="center" vertical="center"/>
      <protection/>
    </xf>
    <xf numFmtId="0" fontId="23" fillId="0" borderId="44" xfId="93" applyFont="1" applyFill="1" applyBorder="1" applyAlignment="1">
      <alignment horizontal="left"/>
      <protection/>
    </xf>
    <xf numFmtId="0" fontId="23" fillId="0" borderId="59" xfId="93" applyFont="1" applyFill="1" applyBorder="1" applyAlignment="1">
      <alignment horizontal="left"/>
      <protection/>
    </xf>
    <xf numFmtId="0" fontId="23" fillId="0" borderId="64" xfId="93" applyFont="1" applyFill="1" applyBorder="1" applyAlignment="1">
      <alignment horizontal="left"/>
      <protection/>
    </xf>
    <xf numFmtId="0" fontId="23" fillId="0" borderId="70" xfId="93" applyFont="1" applyFill="1" applyBorder="1" applyAlignment="1">
      <alignment horizontal="left"/>
      <protection/>
    </xf>
    <xf numFmtId="0" fontId="23" fillId="0" borderId="80" xfId="93" applyFont="1" applyFill="1" applyBorder="1" applyAlignment="1">
      <alignment horizontal="left"/>
      <protection/>
    </xf>
    <xf numFmtId="0" fontId="23" fillId="0" borderId="107" xfId="93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38" fillId="0" borderId="66" xfId="93" applyFont="1" applyFill="1" applyBorder="1" applyAlignment="1">
      <alignment horizontal="center"/>
      <protection/>
    </xf>
    <xf numFmtId="0" fontId="38" fillId="0" borderId="58" xfId="93" applyFont="1" applyFill="1" applyBorder="1" applyAlignment="1">
      <alignment horizontal="center"/>
      <protection/>
    </xf>
    <xf numFmtId="0" fontId="38" fillId="0" borderId="69" xfId="93" applyFont="1" applyFill="1" applyBorder="1" applyAlignment="1">
      <alignment horizontal="center"/>
      <protection/>
    </xf>
    <xf numFmtId="3" fontId="23" fillId="0" borderId="151" xfId="93" applyNumberFormat="1" applyFont="1" applyFill="1" applyBorder="1" applyAlignment="1">
      <alignment horizontal="center" vertical="center" wrapText="1"/>
      <protection/>
    </xf>
    <xf numFmtId="3" fontId="23" fillId="0" borderId="152" xfId="93" applyNumberFormat="1" applyFont="1" applyFill="1" applyBorder="1" applyAlignment="1">
      <alignment horizontal="center" vertical="center" wrapText="1"/>
      <protection/>
    </xf>
    <xf numFmtId="3" fontId="23" fillId="0" borderId="153" xfId="93" applyNumberFormat="1" applyFont="1" applyFill="1" applyBorder="1" applyAlignment="1">
      <alignment horizontal="center" vertical="center" wrapText="1"/>
      <protection/>
    </xf>
    <xf numFmtId="1" fontId="23" fillId="0" borderId="62" xfId="92" applyNumberFormat="1" applyFont="1" applyFill="1" applyBorder="1" applyAlignment="1">
      <alignment horizontal="left" vertical="center"/>
      <protection/>
    </xf>
    <xf numFmtId="1" fontId="23" fillId="0" borderId="63" xfId="92" applyNumberFormat="1" applyFont="1" applyFill="1" applyBorder="1" applyAlignment="1">
      <alignment horizontal="left" vertical="center"/>
      <protection/>
    </xf>
    <xf numFmtId="0" fontId="23" fillId="0" borderId="64" xfId="93" applyFont="1" applyFill="1" applyBorder="1" applyAlignment="1">
      <alignment horizontal="left"/>
      <protection/>
    </xf>
    <xf numFmtId="0" fontId="27" fillId="0" borderId="44" xfId="0" applyFont="1" applyFill="1" applyBorder="1" applyAlignment="1">
      <alignment horizontal="left"/>
    </xf>
    <xf numFmtId="1" fontId="23" fillId="0" borderId="64" xfId="92" applyNumberFormat="1" applyFont="1" applyFill="1" applyBorder="1" applyAlignment="1">
      <alignment horizontal="left" vertical="center"/>
      <protection/>
    </xf>
    <xf numFmtId="0" fontId="23" fillId="0" borderId="44" xfId="93" applyFont="1" applyBorder="1" applyAlignment="1">
      <alignment horizontal="left"/>
      <protection/>
    </xf>
    <xf numFmtId="0" fontId="23" fillId="0" borderId="154" xfId="93" applyFont="1" applyBorder="1" applyAlignment="1">
      <alignment horizontal="left"/>
      <protection/>
    </xf>
    <xf numFmtId="0" fontId="38" fillId="0" borderId="141" xfId="93" applyFont="1" applyBorder="1" applyAlignment="1">
      <alignment horizontal="center"/>
      <protection/>
    </xf>
    <xf numFmtId="0" fontId="38" fillId="0" borderId="121" xfId="93" applyFont="1" applyBorder="1" applyAlignment="1">
      <alignment horizontal="center"/>
      <protection/>
    </xf>
    <xf numFmtId="0" fontId="38" fillId="0" borderId="108" xfId="93" applyFont="1" applyBorder="1" applyAlignment="1">
      <alignment horizontal="center"/>
      <protection/>
    </xf>
    <xf numFmtId="0" fontId="23" fillId="0" borderId="140" xfId="93" applyFont="1" applyBorder="1" applyAlignment="1">
      <alignment horizontal="center" vertical="center" wrapText="1"/>
      <protection/>
    </xf>
    <xf numFmtId="0" fontId="23" fillId="0" borderId="134" xfId="93" applyFont="1" applyBorder="1" applyAlignment="1">
      <alignment horizontal="center" vertical="center" wrapText="1"/>
      <protection/>
    </xf>
    <xf numFmtId="0" fontId="23" fillId="0" borderId="133" xfId="93" applyFont="1" applyBorder="1" applyAlignment="1">
      <alignment horizontal="center" vertical="center" wrapText="1"/>
      <protection/>
    </xf>
    <xf numFmtId="0" fontId="23" fillId="0" borderId="145" xfId="93" applyFont="1" applyBorder="1" applyAlignment="1">
      <alignment horizontal="center" vertical="center"/>
      <protection/>
    </xf>
    <xf numFmtId="0" fontId="23" fillId="0" borderId="146" xfId="93" applyFont="1" applyBorder="1" applyAlignment="1">
      <alignment horizontal="center" vertical="center"/>
      <protection/>
    </xf>
    <xf numFmtId="0" fontId="23" fillId="0" borderId="147" xfId="93" applyFont="1" applyBorder="1" applyAlignment="1">
      <alignment horizontal="center" vertical="center"/>
      <protection/>
    </xf>
    <xf numFmtId="0" fontId="23" fillId="0" borderId="148" xfId="93" applyFont="1" applyBorder="1" applyAlignment="1">
      <alignment horizontal="center" vertical="center"/>
      <protection/>
    </xf>
    <xf numFmtId="0" fontId="23" fillId="0" borderId="149" xfId="93" applyFont="1" applyBorder="1" applyAlignment="1">
      <alignment horizontal="center" vertical="center"/>
      <protection/>
    </xf>
    <xf numFmtId="0" fontId="23" fillId="0" borderId="150" xfId="93" applyFont="1" applyBorder="1" applyAlignment="1">
      <alignment horizontal="center" vertical="center"/>
      <protection/>
    </xf>
    <xf numFmtId="3" fontId="23" fillId="0" borderId="151" xfId="93" applyNumberFormat="1" applyFont="1" applyBorder="1" applyAlignment="1">
      <alignment horizontal="center" vertical="center" wrapText="1"/>
      <protection/>
    </xf>
    <xf numFmtId="3" fontId="23" fillId="0" borderId="152" xfId="93" applyNumberFormat="1" applyFont="1" applyBorder="1" applyAlignment="1">
      <alignment horizontal="center" vertical="center" wrapText="1"/>
      <protection/>
    </xf>
    <xf numFmtId="3" fontId="23" fillId="0" borderId="153" xfId="93" applyNumberFormat="1" applyFont="1" applyBorder="1" applyAlignment="1">
      <alignment horizontal="center" vertical="center" wrapText="1"/>
      <protection/>
    </xf>
    <xf numFmtId="0" fontId="23" fillId="0" borderId="143" xfId="93" applyFont="1" applyBorder="1" applyAlignment="1">
      <alignment horizontal="center" vertical="center" wrapText="1"/>
      <protection/>
    </xf>
    <xf numFmtId="0" fontId="23" fillId="0" borderId="80" xfId="93" applyFont="1" applyBorder="1" applyAlignment="1">
      <alignment horizontal="center" vertical="center" wrapText="1"/>
      <protection/>
    </xf>
    <xf numFmtId="0" fontId="23" fillId="0" borderId="140" xfId="92" applyFont="1" applyBorder="1" applyAlignment="1">
      <alignment horizontal="center" vertical="center"/>
      <protection/>
    </xf>
    <xf numFmtId="0" fontId="23" fillId="0" borderId="134" xfId="92" applyFont="1" applyBorder="1" applyAlignment="1">
      <alignment horizontal="center" vertical="center"/>
      <protection/>
    </xf>
    <xf numFmtId="0" fontId="23" fillId="0" borderId="133" xfId="92" applyFont="1" applyBorder="1" applyAlignment="1">
      <alignment horizontal="center" vertical="center"/>
      <protection/>
    </xf>
    <xf numFmtId="0" fontId="23" fillId="0" borderId="140" xfId="93" applyFont="1" applyBorder="1" applyAlignment="1">
      <alignment horizontal="center" vertical="center"/>
      <protection/>
    </xf>
    <xf numFmtId="0" fontId="23" fillId="0" borderId="134" xfId="93" applyFont="1" applyBorder="1" applyAlignment="1">
      <alignment horizontal="center" vertical="center"/>
      <protection/>
    </xf>
    <xf numFmtId="0" fontId="23" fillId="0" borderId="133" xfId="93" applyFont="1" applyBorder="1" applyAlignment="1">
      <alignment horizontal="center" vertical="center"/>
      <protection/>
    </xf>
    <xf numFmtId="0" fontId="23" fillId="0" borderId="45" xfId="93" applyFont="1" applyBorder="1" applyAlignment="1">
      <alignment horizontal="center"/>
      <protection/>
    </xf>
    <xf numFmtId="0" fontId="47" fillId="0" borderId="0" xfId="93" applyFont="1" applyBorder="1" applyAlignment="1">
      <alignment horizontal="center"/>
      <protection/>
    </xf>
    <xf numFmtId="0" fontId="23" fillId="0" borderId="143" xfId="93" applyFont="1" applyBorder="1" applyAlignment="1">
      <alignment horizontal="center" vertical="center"/>
      <protection/>
    </xf>
    <xf numFmtId="0" fontId="23" fillId="0" borderId="80" xfId="93" applyFont="1" applyBorder="1" applyAlignment="1">
      <alignment horizontal="center" vertical="center"/>
      <protection/>
    </xf>
    <xf numFmtId="1" fontId="23" fillId="0" borderId="44" xfId="92" applyNumberFormat="1" applyFont="1" applyBorder="1" applyAlignment="1">
      <alignment horizontal="left" vertical="center"/>
      <protection/>
    </xf>
    <xf numFmtId="0" fontId="52" fillId="0" borderId="0" xfId="93" applyFont="1" applyBorder="1" applyAlignment="1">
      <alignment horizontal="center"/>
      <protection/>
    </xf>
    <xf numFmtId="0" fontId="23" fillId="0" borderId="86" xfId="93" applyFont="1" applyFill="1" applyBorder="1" applyAlignment="1">
      <alignment horizontal="left"/>
      <protection/>
    </xf>
    <xf numFmtId="0" fontId="23" fillId="0" borderId="97" xfId="93" applyFont="1" applyFill="1" applyBorder="1" applyAlignment="1">
      <alignment horizontal="left"/>
      <protection/>
    </xf>
    <xf numFmtId="0" fontId="23" fillId="0" borderId="93" xfId="93" applyFont="1" applyFill="1" applyBorder="1" applyAlignment="1">
      <alignment horizontal="left"/>
      <protection/>
    </xf>
    <xf numFmtId="0" fontId="23" fillId="0" borderId="155" xfId="93" applyFont="1" applyFill="1" applyBorder="1" applyAlignment="1">
      <alignment horizontal="left"/>
      <protection/>
    </xf>
    <xf numFmtId="0" fontId="23" fillId="0" borderId="156" xfId="93" applyFont="1" applyFill="1" applyBorder="1" applyAlignment="1">
      <alignment horizontal="left"/>
      <protection/>
    </xf>
    <xf numFmtId="0" fontId="23" fillId="0" borderId="67" xfId="93" applyFont="1" applyFill="1" applyBorder="1" applyAlignment="1">
      <alignment horizontal="left"/>
      <protection/>
    </xf>
    <xf numFmtId="1" fontId="23" fillId="0" borderId="86" xfId="92" applyNumberFormat="1" applyFont="1" applyFill="1" applyBorder="1" applyAlignment="1">
      <alignment horizontal="left" vertical="center"/>
      <protection/>
    </xf>
    <xf numFmtId="1" fontId="23" fillId="0" borderId="97" xfId="92" applyNumberFormat="1" applyFont="1" applyFill="1" applyBorder="1" applyAlignment="1">
      <alignment horizontal="left" vertical="center"/>
      <protection/>
    </xf>
    <xf numFmtId="1" fontId="23" fillId="0" borderId="93" xfId="92" applyNumberFormat="1" applyFont="1" applyFill="1" applyBorder="1" applyAlignment="1">
      <alignment horizontal="left" vertical="center"/>
      <protection/>
    </xf>
    <xf numFmtId="1" fontId="23" fillId="0" borderId="86" xfId="92" applyNumberFormat="1" applyFont="1" applyFill="1" applyBorder="1" applyAlignment="1">
      <alignment horizontal="center" vertical="center"/>
      <protection/>
    </xf>
    <xf numFmtId="1" fontId="23" fillId="0" borderId="97" xfId="92" applyNumberFormat="1" applyFont="1" applyFill="1" applyBorder="1" applyAlignment="1">
      <alignment horizontal="center" vertical="center"/>
      <protection/>
    </xf>
    <xf numFmtId="1" fontId="23" fillId="0" borderId="93" xfId="92" applyNumberFormat="1" applyFont="1" applyFill="1" applyBorder="1" applyAlignment="1">
      <alignment horizontal="center" vertical="center"/>
      <protection/>
    </xf>
    <xf numFmtId="1" fontId="23" fillId="0" borderId="157" xfId="92" applyNumberFormat="1" applyFont="1" applyFill="1" applyBorder="1" applyAlignment="1">
      <alignment horizontal="center" vertical="center"/>
      <protection/>
    </xf>
    <xf numFmtId="0" fontId="0" fillId="0" borderId="158" xfId="0" applyBorder="1" applyAlignment="1">
      <alignment horizontal="center" vertical="center"/>
    </xf>
    <xf numFmtId="0" fontId="0" fillId="0" borderId="159" xfId="0" applyBorder="1" applyAlignment="1">
      <alignment horizontal="center" vertical="center"/>
    </xf>
    <xf numFmtId="0" fontId="38" fillId="0" borderId="86" xfId="93" applyFont="1" applyFill="1" applyBorder="1" applyAlignment="1">
      <alignment horizontal="center"/>
      <protection/>
    </xf>
    <xf numFmtId="0" fontId="38" fillId="0" borderId="97" xfId="93" applyFont="1" applyFill="1" applyBorder="1" applyAlignment="1">
      <alignment horizontal="center"/>
      <protection/>
    </xf>
    <xf numFmtId="0" fontId="38" fillId="0" borderId="93" xfId="93" applyFont="1" applyFill="1" applyBorder="1" applyAlignment="1">
      <alignment horizontal="center"/>
      <protection/>
    </xf>
    <xf numFmtId="0" fontId="23" fillId="0" borderId="160" xfId="93" applyFont="1" applyFill="1" applyBorder="1" applyAlignment="1">
      <alignment horizontal="left" vertical="center"/>
      <protection/>
    </xf>
    <xf numFmtId="0" fontId="23" fillId="0" borderId="161" xfId="93" applyFont="1" applyFill="1" applyBorder="1" applyAlignment="1">
      <alignment horizontal="left" vertical="center"/>
      <protection/>
    </xf>
    <xf numFmtId="0" fontId="23" fillId="0" borderId="162" xfId="93" applyFont="1" applyFill="1" applyBorder="1" applyAlignment="1">
      <alignment horizontal="left" vertical="center"/>
      <protection/>
    </xf>
    <xf numFmtId="0" fontId="0" fillId="0" borderId="97" xfId="0" applyBorder="1" applyAlignment="1">
      <alignment horizontal="left"/>
    </xf>
    <xf numFmtId="0" fontId="0" fillId="0" borderId="93" xfId="0" applyBorder="1" applyAlignment="1">
      <alignment horizontal="left"/>
    </xf>
    <xf numFmtId="0" fontId="23" fillId="0" borderId="58" xfId="93" applyFont="1" applyFill="1" applyBorder="1" applyAlignment="1">
      <alignment horizontal="left"/>
      <protection/>
    </xf>
    <xf numFmtId="0" fontId="23" fillId="0" borderId="86" xfId="93" applyFont="1" applyFill="1" applyBorder="1" applyAlignment="1">
      <alignment horizontal="center"/>
      <protection/>
    </xf>
    <xf numFmtId="0" fontId="23" fillId="0" borderId="97" xfId="93" applyFont="1" applyFill="1" applyBorder="1" applyAlignment="1">
      <alignment horizontal="center"/>
      <protection/>
    </xf>
    <xf numFmtId="0" fontId="23" fillId="0" borderId="93" xfId="93" applyFont="1" applyFill="1" applyBorder="1" applyAlignment="1">
      <alignment horizontal="center"/>
      <protection/>
    </xf>
    <xf numFmtId="0" fontId="38" fillId="0" borderId="163" xfId="93" applyFont="1" applyFill="1" applyBorder="1" applyAlignment="1">
      <alignment horizontal="center"/>
      <protection/>
    </xf>
    <xf numFmtId="0" fontId="38" fillId="0" borderId="87" xfId="93" applyFont="1" applyFill="1" applyBorder="1" applyAlignment="1">
      <alignment horizontal="center"/>
      <protection/>
    </xf>
    <xf numFmtId="0" fontId="38" fillId="0" borderId="164" xfId="93" applyFont="1" applyFill="1" applyBorder="1" applyAlignment="1">
      <alignment horizontal="center"/>
      <protection/>
    </xf>
    <xf numFmtId="0" fontId="39" fillId="0" borderId="36" xfId="96" applyFont="1" applyBorder="1" applyAlignment="1">
      <alignment horizontal="center" vertical="center" wrapText="1"/>
      <protection/>
    </xf>
    <xf numFmtId="0" fontId="39" fillId="0" borderId="75" xfId="96" applyFont="1" applyBorder="1" applyAlignment="1">
      <alignment horizontal="center" vertical="center" wrapText="1"/>
      <protection/>
    </xf>
    <xf numFmtId="0" fontId="39" fillId="0" borderId="38" xfId="96" applyFont="1" applyBorder="1" applyAlignment="1">
      <alignment horizontal="center" vertical="center" wrapText="1"/>
      <protection/>
    </xf>
    <xf numFmtId="0" fontId="38" fillId="0" borderId="47" xfId="96" applyFont="1" applyBorder="1" applyAlignment="1">
      <alignment horizontal="center" vertical="center" wrapText="1"/>
      <protection/>
    </xf>
    <xf numFmtId="0" fontId="38" fillId="0" borderId="95" xfId="96" applyFont="1" applyBorder="1" applyAlignment="1">
      <alignment horizontal="center" vertical="center" wrapText="1"/>
      <protection/>
    </xf>
    <xf numFmtId="0" fontId="38" fillId="0" borderId="21" xfId="96" applyFont="1" applyBorder="1" applyAlignment="1">
      <alignment horizontal="center" vertical="center" wrapText="1"/>
      <protection/>
    </xf>
    <xf numFmtId="0" fontId="23" fillId="0" borderId="47" xfId="96" applyFont="1" applyFill="1" applyBorder="1" applyAlignment="1">
      <alignment horizontal="center" vertical="center" wrapText="1"/>
      <protection/>
    </xf>
    <xf numFmtId="0" fontId="23" fillId="0" borderId="95" xfId="96" applyFont="1" applyFill="1" applyBorder="1" applyAlignment="1">
      <alignment horizontal="center" vertical="center" wrapText="1"/>
      <protection/>
    </xf>
    <xf numFmtId="0" fontId="23" fillId="0" borderId="21" xfId="96" applyFont="1" applyFill="1" applyBorder="1" applyAlignment="1">
      <alignment horizontal="center" vertical="center" wrapText="1"/>
      <protection/>
    </xf>
    <xf numFmtId="0" fontId="23" fillId="0" borderId="36" xfId="96" applyFont="1" applyBorder="1" applyAlignment="1">
      <alignment horizontal="center" vertical="center" wrapText="1"/>
      <protection/>
    </xf>
    <xf numFmtId="0" fontId="23" fillId="0" borderId="75" xfId="96" applyFont="1" applyBorder="1" applyAlignment="1">
      <alignment horizontal="center" vertical="center" wrapText="1"/>
      <protection/>
    </xf>
    <xf numFmtId="0" fontId="23" fillId="0" borderId="31" xfId="96" applyFont="1" applyBorder="1" applyAlignment="1">
      <alignment horizontal="center" vertical="center" wrapText="1"/>
      <protection/>
    </xf>
    <xf numFmtId="0" fontId="39" fillId="0" borderId="47" xfId="96" applyFont="1" applyFill="1" applyBorder="1" applyAlignment="1">
      <alignment horizontal="center" vertical="center" wrapText="1"/>
      <protection/>
    </xf>
    <xf numFmtId="0" fontId="39" fillId="0" borderId="95" xfId="96" applyFont="1" applyFill="1" applyBorder="1" applyAlignment="1">
      <alignment horizontal="center" vertical="center" wrapText="1"/>
      <protection/>
    </xf>
    <xf numFmtId="0" fontId="39" fillId="0" borderId="21" xfId="96" applyFont="1" applyFill="1" applyBorder="1" applyAlignment="1">
      <alignment horizontal="center" vertical="center" wrapText="1"/>
      <protection/>
    </xf>
    <xf numFmtId="0" fontId="23" fillId="0" borderId="47" xfId="96" applyFont="1" applyBorder="1" applyAlignment="1">
      <alignment horizontal="center" vertical="center" wrapText="1"/>
      <protection/>
    </xf>
    <xf numFmtId="0" fontId="23" fillId="0" borderId="95" xfId="96" applyFont="1" applyBorder="1" applyAlignment="1">
      <alignment horizontal="center" vertical="center" wrapText="1"/>
      <protection/>
    </xf>
    <xf numFmtId="0" fontId="23" fillId="0" borderId="21" xfId="96" applyFont="1" applyBorder="1" applyAlignment="1">
      <alignment horizontal="center" vertical="center" wrapText="1"/>
      <protection/>
    </xf>
    <xf numFmtId="0" fontId="36" fillId="0" borderId="0" xfId="96" applyFont="1" applyFill="1" applyBorder="1" applyAlignment="1">
      <alignment horizontal="center" vertical="center"/>
      <protection/>
    </xf>
    <xf numFmtId="0" fontId="37" fillId="0" borderId="46" xfId="96" applyFont="1" applyFill="1" applyBorder="1" applyAlignment="1">
      <alignment horizontal="center" vertical="center" wrapText="1"/>
      <protection/>
    </xf>
    <xf numFmtId="0" fontId="37" fillId="0" borderId="165" xfId="96" applyFont="1" applyFill="1" applyBorder="1" applyAlignment="1">
      <alignment horizontal="center" vertical="center" wrapText="1"/>
      <protection/>
    </xf>
    <xf numFmtId="0" fontId="37" fillId="0" borderId="22" xfId="96" applyFont="1" applyFill="1" applyBorder="1" applyAlignment="1">
      <alignment horizontal="center" vertical="center" wrapText="1"/>
      <protection/>
    </xf>
    <xf numFmtId="0" fontId="37" fillId="0" borderId="78" xfId="96" applyFont="1" applyFill="1" applyBorder="1" applyAlignment="1">
      <alignment horizontal="center" vertical="center" wrapText="1"/>
      <protection/>
    </xf>
    <xf numFmtId="0" fontId="37" fillId="0" borderId="14" xfId="96" applyFont="1" applyFill="1" applyBorder="1" applyAlignment="1">
      <alignment horizontal="center" vertical="center" wrapText="1"/>
      <protection/>
    </xf>
    <xf numFmtId="0" fontId="37" fillId="0" borderId="166" xfId="96" applyFont="1" applyFill="1" applyBorder="1" applyAlignment="1">
      <alignment horizontal="center" vertical="center" wrapText="1"/>
      <protection/>
    </xf>
    <xf numFmtId="0" fontId="37" fillId="0" borderId="21" xfId="96" applyFont="1" applyFill="1" applyBorder="1" applyAlignment="1">
      <alignment horizontal="center" vertical="center" wrapText="1"/>
      <protection/>
    </xf>
    <xf numFmtId="0" fontId="37" fillId="0" borderId="49" xfId="96" applyFont="1" applyFill="1" applyBorder="1" applyAlignment="1">
      <alignment horizontal="center" vertical="center" wrapText="1"/>
      <protection/>
    </xf>
    <xf numFmtId="0" fontId="37" fillId="0" borderId="167" xfId="96" applyFont="1" applyFill="1" applyBorder="1" applyAlignment="1">
      <alignment horizontal="center" vertical="center" wrapText="1"/>
      <protection/>
    </xf>
    <xf numFmtId="0" fontId="37" fillId="0" borderId="23" xfId="96" applyFont="1" applyFill="1" applyBorder="1" applyAlignment="1">
      <alignment horizontal="center" vertical="center" wrapText="1"/>
      <protection/>
    </xf>
    <xf numFmtId="0" fontId="37" fillId="0" borderId="71" xfId="96" applyFont="1" applyFill="1" applyBorder="1" applyAlignment="1">
      <alignment horizontal="center" vertical="center" wrapText="1"/>
      <protection/>
    </xf>
    <xf numFmtId="0" fontId="37" fillId="0" borderId="15" xfId="96" applyFont="1" applyFill="1" applyBorder="1" applyAlignment="1">
      <alignment horizontal="center" vertical="center" wrapText="1"/>
      <protection/>
    </xf>
    <xf numFmtId="0" fontId="37" fillId="0" borderId="46" xfId="96" applyFont="1" applyFill="1" applyBorder="1" applyAlignment="1">
      <alignment horizontal="center" vertical="center"/>
      <protection/>
    </xf>
    <xf numFmtId="0" fontId="37" fillId="0" borderId="72" xfId="96" applyFont="1" applyFill="1" applyBorder="1" applyAlignment="1">
      <alignment horizontal="center" vertical="center" wrapText="1"/>
      <protection/>
    </xf>
    <xf numFmtId="0" fontId="37" fillId="0" borderId="168" xfId="96" applyFont="1" applyFill="1" applyBorder="1" applyAlignment="1">
      <alignment horizontal="center" vertical="center" wrapText="1"/>
      <protection/>
    </xf>
    <xf numFmtId="0" fontId="37" fillId="0" borderId="32" xfId="96" applyFont="1" applyFill="1" applyBorder="1" applyAlignment="1">
      <alignment horizontal="center" vertical="center" wrapText="1"/>
      <protection/>
    </xf>
    <xf numFmtId="0" fontId="37" fillId="0" borderId="50" xfId="96" applyFont="1" applyFill="1" applyBorder="1" applyAlignment="1">
      <alignment horizontal="center" vertical="center" wrapText="1"/>
      <protection/>
    </xf>
    <xf numFmtId="0" fontId="37" fillId="0" borderId="35" xfId="96" applyFont="1" applyFill="1" applyBorder="1" applyAlignment="1">
      <alignment horizontal="center" vertical="center" wrapText="1"/>
      <protection/>
    </xf>
    <xf numFmtId="0" fontId="37" fillId="0" borderId="118" xfId="96" applyFont="1" applyFill="1" applyBorder="1" applyAlignment="1">
      <alignment horizontal="center" vertical="center" wrapText="1"/>
      <protection/>
    </xf>
    <xf numFmtId="0" fontId="0" fillId="0" borderId="144" xfId="0" applyFont="1" applyBorder="1" applyAlignment="1">
      <alignment horizontal="center" vertical="center" wrapText="1"/>
    </xf>
    <xf numFmtId="3" fontId="23" fillId="0" borderId="68" xfId="97" applyNumberFormat="1" applyFont="1" applyFill="1" applyBorder="1" applyAlignment="1">
      <alignment horizontal="center" vertical="center"/>
      <protection/>
    </xf>
    <xf numFmtId="3" fontId="23" fillId="0" borderId="121" xfId="97" applyNumberFormat="1" applyFont="1" applyFill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08" xfId="0" applyBorder="1" applyAlignment="1">
      <alignment/>
    </xf>
    <xf numFmtId="0" fontId="38" fillId="0" borderId="68" xfId="97" applyFont="1" applyFill="1" applyBorder="1" applyAlignment="1">
      <alignment horizontal="center" vertical="center" wrapText="1"/>
      <protection/>
    </xf>
    <xf numFmtId="0" fontId="38" fillId="0" borderId="121" xfId="97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 wrapText="1"/>
    </xf>
    <xf numFmtId="0" fontId="23" fillId="0" borderId="68" xfId="97" applyFont="1" applyFill="1" applyBorder="1" applyAlignment="1">
      <alignment horizontal="center" vertical="center" wrapText="1"/>
      <protection/>
    </xf>
    <xf numFmtId="0" fontId="23" fillId="0" borderId="121" xfId="97" applyFont="1" applyFill="1" applyBorder="1" applyAlignment="1">
      <alignment horizontal="center" vertical="center" wrapText="1"/>
      <protection/>
    </xf>
    <xf numFmtId="0" fontId="0" fillId="0" borderId="108" xfId="0" applyBorder="1" applyAlignment="1">
      <alignment horizontal="center" vertical="center"/>
    </xf>
    <xf numFmtId="0" fontId="40" fillId="0" borderId="0" xfId="97" applyFont="1" applyFill="1" applyBorder="1" applyAlignment="1">
      <alignment horizontal="center" vertical="center"/>
      <protection/>
    </xf>
    <xf numFmtId="0" fontId="41" fillId="0" borderId="0" xfId="99" applyFont="1" applyFill="1" applyBorder="1" applyAlignment="1">
      <alignment horizontal="center" vertical="center"/>
      <protection/>
    </xf>
    <xf numFmtId="0" fontId="37" fillId="0" borderId="66" xfId="97" applyFont="1" applyFill="1" applyBorder="1" applyAlignment="1">
      <alignment horizontal="center" vertical="center" wrapText="1"/>
      <protection/>
    </xf>
    <xf numFmtId="0" fontId="37" fillId="0" borderId="45" xfId="97" applyFont="1" applyFill="1" applyBorder="1" applyAlignment="1">
      <alignment horizontal="center" vertical="center" wrapText="1"/>
      <protection/>
    </xf>
    <xf numFmtId="0" fontId="37" fillId="0" borderId="58" xfId="97" applyFont="1" applyFill="1" applyBorder="1" applyAlignment="1">
      <alignment horizontal="center" vertical="center" wrapText="1"/>
      <protection/>
    </xf>
    <xf numFmtId="0" fontId="37" fillId="0" borderId="44" xfId="97" applyFont="1" applyFill="1" applyBorder="1" applyAlignment="1">
      <alignment horizontal="center" vertical="center" wrapText="1"/>
      <protection/>
    </xf>
    <xf numFmtId="0" fontId="37" fillId="0" borderId="45" xfId="97" applyFont="1" applyFill="1" applyBorder="1" applyAlignment="1">
      <alignment horizontal="center" vertical="center"/>
      <protection/>
    </xf>
    <xf numFmtId="0" fontId="37" fillId="0" borderId="52" xfId="97" applyFont="1" applyFill="1" applyBorder="1" applyAlignment="1">
      <alignment horizontal="center" vertical="center" wrapText="1"/>
      <protection/>
    </xf>
    <xf numFmtId="0" fontId="37" fillId="0" borderId="59" xfId="97" applyFont="1" applyFill="1" applyBorder="1" applyAlignment="1">
      <alignment horizontal="center" vertical="center" wrapText="1"/>
      <protection/>
    </xf>
    <xf numFmtId="3" fontId="38" fillId="0" borderId="68" xfId="97" applyNumberFormat="1" applyFont="1" applyFill="1" applyBorder="1" applyAlignment="1">
      <alignment horizontal="center" vertical="center"/>
      <protection/>
    </xf>
    <xf numFmtId="3" fontId="38" fillId="0" borderId="121" xfId="97" applyNumberFormat="1" applyFont="1" applyFill="1" applyBorder="1" applyAlignment="1">
      <alignment horizontal="center" vertical="center"/>
      <protection/>
    </xf>
    <xf numFmtId="0" fontId="42" fillId="0" borderId="0" xfId="94" applyFont="1" applyAlignment="1">
      <alignment horizontal="center" vertical="center"/>
      <protection/>
    </xf>
    <xf numFmtId="0" fontId="42" fillId="0" borderId="0" xfId="94" applyFont="1" applyAlignment="1">
      <alignment horizontal="center"/>
      <protection/>
    </xf>
    <xf numFmtId="0" fontId="42" fillId="0" borderId="0" xfId="94" applyFont="1" applyBorder="1" applyAlignment="1">
      <alignment horizontal="center"/>
      <protection/>
    </xf>
    <xf numFmtId="0" fontId="42" fillId="0" borderId="0" xfId="94" applyFont="1" applyBorder="1" applyAlignment="1">
      <alignment horizontal="center" vertical="center"/>
      <protection/>
    </xf>
    <xf numFmtId="0" fontId="22" fillId="0" borderId="0" xfId="0" applyFont="1" applyAlignment="1">
      <alignment horizontal="center" wrapText="1"/>
    </xf>
    <xf numFmtId="0" fontId="22" fillId="0" borderId="0" xfId="94" applyFont="1" applyAlignment="1">
      <alignment horizontal="center"/>
      <protection/>
    </xf>
    <xf numFmtId="0" fontId="23" fillId="0" borderId="0" xfId="94" applyFont="1" applyAlignment="1">
      <alignment horizontal="center" wrapText="1"/>
      <protection/>
    </xf>
    <xf numFmtId="0" fontId="22" fillId="0" borderId="0" xfId="94" applyFont="1" applyBorder="1" applyAlignment="1">
      <alignment horizontal="center" vertical="center"/>
      <protection/>
    </xf>
    <xf numFmtId="0" fontId="22" fillId="0" borderId="0" xfId="94" applyFont="1" applyBorder="1" applyAlignment="1">
      <alignment horizontal="center"/>
      <protection/>
    </xf>
    <xf numFmtId="0" fontId="23" fillId="0" borderId="166" xfId="0" applyFont="1" applyBorder="1" applyAlignment="1">
      <alignment horizontal="center" vertical="top" wrapText="1"/>
    </xf>
    <xf numFmtId="0" fontId="23" fillId="0" borderId="169" xfId="0" applyFont="1" applyBorder="1" applyAlignment="1">
      <alignment horizontal="center" vertical="top" wrapText="1"/>
    </xf>
    <xf numFmtId="0" fontId="23" fillId="0" borderId="166" xfId="0" applyFont="1" applyBorder="1" applyAlignment="1">
      <alignment horizontal="center" vertical="center"/>
    </xf>
    <xf numFmtId="0" fontId="23" fillId="0" borderId="169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47" fillId="0" borderId="50" xfId="95" applyFont="1" applyBorder="1" applyAlignment="1">
      <alignment horizontal="center" vertical="center" wrapText="1"/>
      <protection/>
    </xf>
    <xf numFmtId="0" fontId="47" fillId="0" borderId="35" xfId="95" applyFont="1" applyBorder="1" applyAlignment="1">
      <alignment horizontal="center" vertical="center" wrapText="1"/>
      <protection/>
    </xf>
    <xf numFmtId="0" fontId="47" fillId="0" borderId="144" xfId="95" applyFont="1" applyBorder="1" applyAlignment="1">
      <alignment horizontal="center" vertical="center" wrapText="1"/>
      <protection/>
    </xf>
    <xf numFmtId="0" fontId="47" fillId="0" borderId="46" xfId="95" applyFont="1" applyBorder="1" applyAlignment="1">
      <alignment horizontal="center" vertical="center" wrapText="1"/>
      <protection/>
    </xf>
    <xf numFmtId="0" fontId="66" fillId="0" borderId="50" xfId="0" applyFont="1" applyBorder="1" applyAlignment="1">
      <alignment/>
    </xf>
    <xf numFmtId="0" fontId="47" fillId="0" borderId="29" xfId="95" applyFont="1" applyBorder="1" applyAlignment="1">
      <alignment horizontal="center" vertical="center" wrapText="1"/>
      <protection/>
    </xf>
    <xf numFmtId="0" fontId="47" fillId="0" borderId="33" xfId="95" applyFont="1" applyBorder="1" applyAlignment="1">
      <alignment horizontal="center" vertical="center" wrapText="1"/>
      <protection/>
    </xf>
    <xf numFmtId="0" fontId="47" fillId="0" borderId="16" xfId="95" applyFont="1" applyBorder="1" applyAlignment="1">
      <alignment horizontal="center" vertical="center" wrapText="1"/>
      <protection/>
    </xf>
    <xf numFmtId="0" fontId="47" fillId="0" borderId="13" xfId="95" applyFont="1" applyBorder="1" applyAlignment="1">
      <alignment horizontal="center" vertical="center" wrapText="1"/>
      <protection/>
    </xf>
    <xf numFmtId="0" fontId="47" fillId="0" borderId="15" xfId="95" applyFont="1" applyBorder="1" applyAlignment="1">
      <alignment horizontal="center" vertical="center" wrapText="1"/>
      <protection/>
    </xf>
    <xf numFmtId="0" fontId="42" fillId="0" borderId="0" xfId="95" applyFont="1" applyAlignment="1">
      <alignment horizontal="center" vertical="center" wrapText="1"/>
      <protection/>
    </xf>
    <xf numFmtId="0" fontId="47" fillId="0" borderId="118" xfId="95" applyFont="1" applyBorder="1" applyAlignment="1">
      <alignment horizontal="center" vertical="center" wrapText="1"/>
      <protection/>
    </xf>
    <xf numFmtId="0" fontId="47" fillId="0" borderId="99" xfId="95" applyFont="1" applyBorder="1" applyAlignment="1">
      <alignment horizontal="center" vertical="center" wrapText="1"/>
      <protection/>
    </xf>
    <xf numFmtId="0" fontId="47" fillId="0" borderId="28" xfId="95" applyFont="1" applyBorder="1" applyAlignment="1">
      <alignment horizontal="center" vertical="center" wrapText="1"/>
      <protection/>
    </xf>
    <xf numFmtId="0" fontId="47" fillId="0" borderId="34" xfId="95" applyFont="1" applyBorder="1" applyAlignment="1">
      <alignment horizontal="center" vertical="center" wrapText="1"/>
      <protection/>
    </xf>
    <xf numFmtId="3" fontId="22" fillId="0" borderId="170" xfId="0" applyNumberFormat="1" applyFont="1" applyFill="1" applyBorder="1" applyAlignment="1">
      <alignment horizontal="center" vertical="center" wrapText="1"/>
    </xf>
    <xf numFmtId="3" fontId="24" fillId="0" borderId="131" xfId="0" applyNumberFormat="1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17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9" fillId="0" borderId="172" xfId="0" applyFont="1" applyFill="1" applyBorder="1" applyAlignment="1">
      <alignment horizontal="center" vertical="center" wrapText="1"/>
    </xf>
    <xf numFmtId="0" fontId="29" fillId="0" borderId="173" xfId="0" applyFont="1" applyFill="1" applyBorder="1" applyAlignment="1">
      <alignment horizontal="center" vertical="center" wrapText="1"/>
    </xf>
    <xf numFmtId="49" fontId="30" fillId="0" borderId="174" xfId="0" applyNumberFormat="1" applyFont="1" applyFill="1" applyBorder="1" applyAlignment="1">
      <alignment horizontal="center" vertical="center"/>
    </xf>
    <xf numFmtId="49" fontId="30" fillId="0" borderId="175" xfId="0" applyNumberFormat="1" applyFont="1" applyFill="1" applyBorder="1" applyAlignment="1">
      <alignment horizontal="center" vertical="center"/>
    </xf>
    <xf numFmtId="0" fontId="42" fillId="0" borderId="84" xfId="0" applyFont="1" applyFill="1" applyBorder="1" applyAlignment="1">
      <alignment horizontal="center"/>
    </xf>
    <xf numFmtId="0" fontId="42" fillId="0" borderId="176" xfId="0" applyFont="1" applyFill="1" applyBorder="1" applyAlignment="1">
      <alignment horizontal="center"/>
    </xf>
    <xf numFmtId="3" fontId="57" fillId="0" borderId="85" xfId="0" applyNumberFormat="1" applyFont="1" applyFill="1" applyBorder="1" applyAlignment="1">
      <alignment horizontal="center" vertical="center" wrapText="1"/>
    </xf>
    <xf numFmtId="3" fontId="24" fillId="0" borderId="15" xfId="0" applyNumberFormat="1" applyFont="1" applyFill="1" applyBorder="1" applyAlignment="1">
      <alignment horizontal="center" vertical="center" wrapText="1"/>
    </xf>
  </cellXfs>
  <cellStyles count="9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_2011 ktv. táblák" xfId="92"/>
    <cellStyle name="Normál_9702KV1_2011 ktv. táblák" xfId="93"/>
    <cellStyle name="Normál_Beruh.felú-átadott-átvett" xfId="94"/>
    <cellStyle name="Normál_Brigitől kisebbségek" xfId="95"/>
    <cellStyle name="Normál_Int.tábla köt-ő és önk.fel.-1" xfId="96"/>
    <cellStyle name="Normál_Intézményi előir.dec. tábla" xfId="97"/>
    <cellStyle name="Normál_KTGVET98" xfId="98"/>
    <cellStyle name="Normál_Kuny Domokos ktgvetés  2013.01.16.-3" xfId="99"/>
    <cellStyle name="Normál_Munkafüzet1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3\&#193;prilis\Besz&#225;mol&#243;%20janu&#225;r-febru&#225;r\K&#233;sz%20t&#225;bl&#225;k-%201-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~1\ZSOMBO~1\LOCALS~1\Temp\2012.%20k&#246;lts&#233;gvet&#233;si%20t&#225;bl&#225;k%202012%2002%2006-2(K&#246;tv&#233;nyes%20t&#225;bla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~1\ZSOMBO~1\LOCALS~1\Temp\Local%20Settings\Temp\2012.%20&#233;vi%20k&#246;lts&#233;gvet&#233;si%20t&#225;bl&#225;k%202010.01.05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~1\ZSOMBO~1\LOCALS~1\Temp\DOCUME~1\ZSOMBO~1\LOCALS~1\Temp\DOCUME~1\ZSOMBO~1\LOCALS~1\Temp\Barbara\10.%20mell&#233;klet%20Ic&#225;nak%20(%20cellat&#246;rl&#337;s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&#233;nz&#252;gyi%20Titk&#225;rs&#225;g\Dokumentumok\el&#337;terjeszt&#233;sek\2012\M&#225;jus\T&#225;j&#233;koztat&#243;%20t&#225;bl&#225;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~1\ZSOMBO~1\LOCALS~1\Temp\T&#225;j&#233;koztat&#243;%20t&#225;bl&#225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2012.%20k&#246;lts&#233;gvet&#233;si%20t&#225;bl&#225;k%202012%2002%2006-2(K&#246;tv&#233;nyes%20t&#225;bl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Local%20Settings\Temp\2012.%20&#233;vi%20k&#246;lts&#233;gvet&#233;si%20t&#225;bl&#225;k%202010.01.05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DOCUME~1\ZSOMBO~1\LOCALS~1\Temp\DOCUME~1\ZSOMBO~1\LOCALS~1\Temp\Barbara\10.%20mell&#233;klet%20Ic&#225;nak%20(%20cellat&#246;rl&#337;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2\M&#225;jus\T&#225;j&#233;koztat&#243;%20t&#225;bl&#225;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T&#225;j&#233;koztat&#243;%20t&#225;bl&#225;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OMBOR~1\LOCALS~1\Temp\2012.%20&#233;vi%20k&#246;lts&#233;gvet&#233;si%20t&#225;bl&#225;k%202010.01.05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P&#233;nz&#252;gyi%20Titk&#225;rs&#225;g\Dokumentumok\el&#337;terjeszt&#233;sek\2013\&#193;prilis\Besz&#225;mol&#243;%20janu&#225;r-febru&#225;r\K&#233;sz%20t&#225;bl&#225;k-%20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 (2)"/>
      <sheetName val="4.....sz. melléklet"/>
      <sheetName val="5.2. sz. melléklet (2)"/>
      <sheetName val="3.... sz. melléklet"/>
      <sheetName val="5.2. sz. melléklet"/>
      <sheetName val="3.. sz. melléklet"/>
      <sheetName val="4..sz. melléklet"/>
      <sheetName val="Munka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unka1 (2)"/>
      <sheetName val="4.....sz. melléklet"/>
      <sheetName val="5.2. sz. melléklet (2)"/>
      <sheetName val="3.... sz. melléklet"/>
      <sheetName val="5.2. sz. melléklet"/>
      <sheetName val="3.. sz. melléklet"/>
      <sheetName val="4..sz. melléklet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zoomScaleSheetLayoutView="100" workbookViewId="0" topLeftCell="C22">
      <selection activeCell="F48" sqref="F48"/>
    </sheetView>
  </sheetViews>
  <sheetFormatPr defaultColWidth="9.00390625" defaultRowHeight="12.75"/>
  <cols>
    <col min="1" max="1" width="6.125" style="12" customWidth="1"/>
    <col min="2" max="2" width="57.625" style="12" customWidth="1"/>
    <col min="3" max="3" width="11.375" style="12" customWidth="1"/>
    <col min="4" max="4" width="11.625" style="12" customWidth="1"/>
    <col min="5" max="5" width="12.00390625" style="12" customWidth="1"/>
    <col min="6" max="6" width="6.125" style="12" customWidth="1"/>
    <col min="7" max="7" width="57.625" style="12" customWidth="1"/>
    <col min="8" max="8" width="11.375" style="12" customWidth="1"/>
    <col min="9" max="9" width="11.125" style="12" customWidth="1"/>
    <col min="10" max="10" width="12.00390625" style="23" customWidth="1"/>
    <col min="11" max="16384" width="9.125" style="12" customWidth="1"/>
  </cols>
  <sheetData>
    <row r="1" ht="12.75">
      <c r="A1" s="21"/>
    </row>
    <row r="2" spans="1:10" ht="12.75">
      <c r="A2" s="1147" t="s">
        <v>616</v>
      </c>
      <c r="B2" s="1147"/>
      <c r="C2" s="1147"/>
      <c r="D2" s="1147"/>
      <c r="E2" s="1147"/>
      <c r="F2" s="1147"/>
      <c r="G2" s="1147"/>
      <c r="H2" s="1147"/>
      <c r="I2" s="1147"/>
      <c r="J2" s="1147"/>
    </row>
    <row r="3" spans="3:7" ht="13.5" thickBot="1">
      <c r="C3" s="23"/>
      <c r="D3" s="23"/>
      <c r="E3" s="23"/>
      <c r="F3" s="23"/>
      <c r="G3" s="23"/>
    </row>
    <row r="4" spans="1:10" ht="13.5" customHeight="1">
      <c r="A4" s="1156" t="s">
        <v>618</v>
      </c>
      <c r="B4" s="1157"/>
      <c r="C4" s="1157"/>
      <c r="D4" s="1157"/>
      <c r="E4" s="1158"/>
      <c r="F4" s="1159" t="s">
        <v>619</v>
      </c>
      <c r="G4" s="1160"/>
      <c r="H4" s="1160"/>
      <c r="I4" s="1160"/>
      <c r="J4" s="1161"/>
    </row>
    <row r="5" spans="1:10" ht="14.25" customHeight="1" thickBot="1">
      <c r="A5" s="24"/>
      <c r="B5" s="25"/>
      <c r="C5" s="26" t="s">
        <v>521</v>
      </c>
      <c r="D5" s="745" t="s">
        <v>472</v>
      </c>
      <c r="E5" s="733" t="s">
        <v>549</v>
      </c>
      <c r="F5" s="28"/>
      <c r="G5" s="29"/>
      <c r="H5" s="27" t="s">
        <v>522</v>
      </c>
      <c r="I5" s="755" t="s">
        <v>472</v>
      </c>
      <c r="J5" s="751" t="s">
        <v>549</v>
      </c>
    </row>
    <row r="6" spans="1:10" ht="13.5" customHeight="1">
      <c r="A6" s="30" t="s">
        <v>620</v>
      </c>
      <c r="B6" s="31"/>
      <c r="C6" s="32">
        <v>271699</v>
      </c>
      <c r="D6" s="746">
        <v>288182</v>
      </c>
      <c r="E6" s="734">
        <v>363664</v>
      </c>
      <c r="F6" s="33" t="s">
        <v>582</v>
      </c>
      <c r="G6" s="34"/>
      <c r="H6" s="35">
        <v>837643</v>
      </c>
      <c r="I6" s="756">
        <v>901999</v>
      </c>
      <c r="J6" s="752">
        <v>863093</v>
      </c>
    </row>
    <row r="7" spans="1:10" ht="13.5" customHeight="1">
      <c r="A7" s="20"/>
      <c r="B7" s="36"/>
      <c r="C7" s="10"/>
      <c r="D7" s="747"/>
      <c r="E7" s="735"/>
      <c r="F7" s="16"/>
      <c r="G7" s="37"/>
      <c r="H7" s="38"/>
      <c r="I7" s="749"/>
      <c r="J7" s="741"/>
    </row>
    <row r="8" spans="1:10" ht="12.75" customHeight="1">
      <c r="A8" s="20" t="s">
        <v>621</v>
      </c>
      <c r="B8" s="39"/>
      <c r="C8" s="40">
        <f>SUM(C9:C14)</f>
        <v>1773880</v>
      </c>
      <c r="D8" s="748">
        <f>SUM(D9:D14)</f>
        <v>1773880</v>
      </c>
      <c r="E8" s="736">
        <f>SUM(E9:E14)</f>
        <v>1773988</v>
      </c>
      <c r="F8" s="16" t="s">
        <v>622</v>
      </c>
      <c r="G8" s="37"/>
      <c r="H8" s="38">
        <v>222964</v>
      </c>
      <c r="I8" s="749">
        <v>240471</v>
      </c>
      <c r="J8" s="741">
        <v>230083</v>
      </c>
    </row>
    <row r="9" spans="1:10" ht="12.75">
      <c r="A9" s="41"/>
      <c r="B9" s="42" t="s">
        <v>530</v>
      </c>
      <c r="C9" s="6">
        <v>1567000</v>
      </c>
      <c r="D9" s="5">
        <v>1567000</v>
      </c>
      <c r="E9" s="737">
        <v>1567000</v>
      </c>
      <c r="F9" s="19"/>
      <c r="G9" s="37"/>
      <c r="H9" s="43"/>
      <c r="I9" s="5"/>
      <c r="J9" s="739"/>
    </row>
    <row r="10" spans="1:10" ht="25.5">
      <c r="A10" s="7"/>
      <c r="B10" s="44" t="s">
        <v>623</v>
      </c>
      <c r="C10" s="10">
        <v>115200</v>
      </c>
      <c r="D10" s="747">
        <v>115200</v>
      </c>
      <c r="E10" s="738">
        <v>115200</v>
      </c>
      <c r="F10" s="16" t="s">
        <v>624</v>
      </c>
      <c r="G10" s="37"/>
      <c r="H10" s="38">
        <f>1335278+5000</f>
        <v>1340278</v>
      </c>
      <c r="I10" s="749">
        <v>1457319</v>
      </c>
      <c r="J10" s="741">
        <v>1434866</v>
      </c>
    </row>
    <row r="11" spans="1:10" ht="12.75">
      <c r="A11" s="7"/>
      <c r="B11" s="45" t="s">
        <v>625</v>
      </c>
      <c r="C11" s="10">
        <v>2300</v>
      </c>
      <c r="D11" s="747">
        <v>2300</v>
      </c>
      <c r="E11" s="738">
        <v>2300</v>
      </c>
      <c r="F11" s="19"/>
      <c r="G11" s="37"/>
      <c r="H11" s="43"/>
      <c r="I11" s="5"/>
      <c r="J11" s="739"/>
    </row>
    <row r="12" spans="1:10" ht="12.75">
      <c r="A12" s="3"/>
      <c r="B12" s="45" t="s">
        <v>541</v>
      </c>
      <c r="C12" s="10">
        <v>10000</v>
      </c>
      <c r="D12" s="747">
        <v>10000</v>
      </c>
      <c r="E12" s="738">
        <v>10000</v>
      </c>
      <c r="F12" s="20" t="s">
        <v>626</v>
      </c>
      <c r="G12" s="39"/>
      <c r="H12" s="46">
        <f>SUM(H13:H14)</f>
        <v>576345</v>
      </c>
      <c r="I12" s="757">
        <f>SUM(I13:I14)</f>
        <v>674743</v>
      </c>
      <c r="J12" s="753">
        <f>SUM(J13:J14)</f>
        <v>780392</v>
      </c>
    </row>
    <row r="13" spans="1:10" ht="12.75">
      <c r="A13" s="19"/>
      <c r="B13" s="37" t="s">
        <v>627</v>
      </c>
      <c r="C13" s="6">
        <v>32380</v>
      </c>
      <c r="D13" s="5">
        <v>32380</v>
      </c>
      <c r="E13" s="737">
        <v>32488</v>
      </c>
      <c r="F13" s="19"/>
      <c r="G13" s="37" t="s">
        <v>628</v>
      </c>
      <c r="H13" s="47">
        <v>420631</v>
      </c>
      <c r="I13" s="5">
        <v>513314</v>
      </c>
      <c r="J13" s="739">
        <v>616463</v>
      </c>
    </row>
    <row r="14" spans="1:10" ht="12.75">
      <c r="A14" s="19"/>
      <c r="B14" s="37" t="s">
        <v>543</v>
      </c>
      <c r="C14" s="6">
        <v>47000</v>
      </c>
      <c r="D14" s="5">
        <v>47000</v>
      </c>
      <c r="E14" s="737">
        <v>47000</v>
      </c>
      <c r="F14" s="16"/>
      <c r="G14" s="36" t="s">
        <v>588</v>
      </c>
      <c r="H14" s="48">
        <v>155714</v>
      </c>
      <c r="I14" s="5">
        <v>161429</v>
      </c>
      <c r="J14" s="739">
        <v>163929</v>
      </c>
    </row>
    <row r="15" spans="1:10" ht="12.75">
      <c r="A15" s="19"/>
      <c r="B15" s="37"/>
      <c r="C15" s="6"/>
      <c r="D15" s="5"/>
      <c r="E15" s="739"/>
      <c r="F15" s="19"/>
      <c r="G15" s="37"/>
      <c r="H15" s="43"/>
      <c r="I15" s="5"/>
      <c r="J15" s="739"/>
    </row>
    <row r="16" spans="1:10" ht="14.25" customHeight="1">
      <c r="A16" s="49" t="s">
        <v>629</v>
      </c>
      <c r="B16" s="50"/>
      <c r="C16" s="40">
        <f>SUM(C17:C19)</f>
        <v>855379</v>
      </c>
      <c r="D16" s="748">
        <f>SUM(D17:D19)</f>
        <v>979552</v>
      </c>
      <c r="E16" s="736">
        <f>SUM(E17:E19)</f>
        <v>966062</v>
      </c>
      <c r="F16" s="16" t="s">
        <v>630</v>
      </c>
      <c r="G16" s="51"/>
      <c r="H16" s="46">
        <v>2136937</v>
      </c>
      <c r="I16" s="749">
        <v>2675765</v>
      </c>
      <c r="J16" s="741">
        <v>2716565</v>
      </c>
    </row>
    <row r="17" spans="1:10" ht="12.75">
      <c r="A17" s="19"/>
      <c r="B17" s="5" t="s">
        <v>545</v>
      </c>
      <c r="C17" s="6">
        <v>778320</v>
      </c>
      <c r="D17" s="5">
        <v>870196</v>
      </c>
      <c r="E17" s="739">
        <v>837078</v>
      </c>
      <c r="F17" s="19"/>
      <c r="G17" s="37"/>
      <c r="H17" s="43"/>
      <c r="I17" s="5"/>
      <c r="J17" s="739"/>
    </row>
    <row r="18" spans="1:10" ht="12.75">
      <c r="A18" s="52"/>
      <c r="B18" s="53" t="s">
        <v>631</v>
      </c>
      <c r="C18" s="6">
        <v>77059</v>
      </c>
      <c r="D18" s="5">
        <v>77059</v>
      </c>
      <c r="E18" s="739">
        <v>77059</v>
      </c>
      <c r="F18" s="16" t="s">
        <v>632</v>
      </c>
      <c r="G18" s="51"/>
      <c r="H18" s="38">
        <v>138549</v>
      </c>
      <c r="I18" s="749">
        <v>180549</v>
      </c>
      <c r="J18" s="741">
        <v>185117</v>
      </c>
    </row>
    <row r="19" spans="1:10" ht="12.75">
      <c r="A19" s="19"/>
      <c r="B19" s="37" t="s">
        <v>269</v>
      </c>
      <c r="C19" s="6"/>
      <c r="D19" s="5">
        <v>32297</v>
      </c>
      <c r="E19" s="739">
        <v>51925</v>
      </c>
      <c r="F19" s="16"/>
      <c r="G19" s="36"/>
      <c r="H19" s="47"/>
      <c r="I19" s="5"/>
      <c r="J19" s="739"/>
    </row>
    <row r="20" spans="1:10" ht="27.75" customHeight="1">
      <c r="A20" s="54" t="s">
        <v>633</v>
      </c>
      <c r="B20" s="55"/>
      <c r="C20" s="40">
        <f>SUM(C21:C23)</f>
        <v>105021</v>
      </c>
      <c r="D20" s="748">
        <f>SUM(D21:D23)</f>
        <v>123209</v>
      </c>
      <c r="E20" s="736">
        <f>SUM(E21:E23)</f>
        <v>148048</v>
      </c>
      <c r="F20" s="1154" t="s">
        <v>634</v>
      </c>
      <c r="G20" s="1155"/>
      <c r="H20" s="46">
        <v>134081</v>
      </c>
      <c r="I20" s="749">
        <v>134099</v>
      </c>
      <c r="J20" s="741">
        <v>76603</v>
      </c>
    </row>
    <row r="21" spans="1:10" ht="12.75">
      <c r="A21" s="56"/>
      <c r="B21" s="57" t="s">
        <v>548</v>
      </c>
      <c r="C21" s="10">
        <v>82410</v>
      </c>
      <c r="D21" s="747">
        <v>109029</v>
      </c>
      <c r="E21" s="735">
        <v>138286</v>
      </c>
      <c r="F21" s="16"/>
      <c r="G21" s="51"/>
      <c r="H21" s="38"/>
      <c r="I21" s="5"/>
      <c r="J21" s="739"/>
    </row>
    <row r="22" spans="1:10" ht="12.75">
      <c r="A22" s="19"/>
      <c r="B22" s="45" t="s">
        <v>559</v>
      </c>
      <c r="C22" s="6">
        <v>22611</v>
      </c>
      <c r="D22" s="5">
        <v>14180</v>
      </c>
      <c r="E22" s="739">
        <v>9762</v>
      </c>
      <c r="F22" s="20" t="s">
        <v>635</v>
      </c>
      <c r="G22" s="37"/>
      <c r="H22" s="40">
        <f>SUM(H23:H25)</f>
        <v>159632</v>
      </c>
      <c r="I22" s="749">
        <f>SUM(I23:I25)</f>
        <v>120944</v>
      </c>
      <c r="J22" s="741">
        <f>SUM(J23:J25)</f>
        <v>149755</v>
      </c>
    </row>
    <row r="23" spans="1:10" ht="12.75">
      <c r="A23" s="19"/>
      <c r="B23" s="37"/>
      <c r="C23" s="43"/>
      <c r="D23" s="37"/>
      <c r="E23" s="740"/>
      <c r="F23" s="19"/>
      <c r="G23" s="37" t="s">
        <v>593</v>
      </c>
      <c r="H23" s="6">
        <v>13000</v>
      </c>
      <c r="I23" s="5">
        <v>10110</v>
      </c>
      <c r="J23" s="739">
        <v>5584</v>
      </c>
    </row>
    <row r="24" spans="1:10" ht="13.5" customHeight="1">
      <c r="A24" s="49" t="s">
        <v>636</v>
      </c>
      <c r="B24" s="39"/>
      <c r="C24" s="40">
        <f>SUM(C25:C31)</f>
        <v>450279</v>
      </c>
      <c r="D24" s="748">
        <f>SUM(D25:D31)</f>
        <v>450279</v>
      </c>
      <c r="E24" s="736">
        <f>SUM(E25:E30)</f>
        <v>489276</v>
      </c>
      <c r="F24" s="19"/>
      <c r="G24" s="37" t="s">
        <v>594</v>
      </c>
      <c r="H24" s="6">
        <v>100000</v>
      </c>
      <c r="I24" s="5">
        <v>67913</v>
      </c>
      <c r="J24" s="739">
        <v>56853</v>
      </c>
    </row>
    <row r="25" spans="1:10" ht="12.75">
      <c r="A25" s="19"/>
      <c r="B25" s="37" t="s">
        <v>561</v>
      </c>
      <c r="C25" s="6">
        <v>250</v>
      </c>
      <c r="D25" s="5">
        <v>250</v>
      </c>
      <c r="E25" s="737">
        <v>4935</v>
      </c>
      <c r="F25" s="19"/>
      <c r="G25" s="36" t="s">
        <v>595</v>
      </c>
      <c r="H25" s="48">
        <v>46632</v>
      </c>
      <c r="I25" s="5">
        <v>42921</v>
      </c>
      <c r="J25" s="739">
        <v>87318</v>
      </c>
    </row>
    <row r="26" spans="1:10" ht="12.75" customHeight="1">
      <c r="A26" s="3"/>
      <c r="B26" s="58" t="s">
        <v>637</v>
      </c>
      <c r="C26" s="10">
        <v>277977</v>
      </c>
      <c r="D26" s="747">
        <v>277977</v>
      </c>
      <c r="E26" s="738">
        <v>277977</v>
      </c>
      <c r="F26" s="19"/>
      <c r="G26" s="37"/>
      <c r="H26" s="43"/>
      <c r="I26" s="5"/>
      <c r="J26" s="739"/>
    </row>
    <row r="27" spans="1:10" ht="12.75" customHeight="1">
      <c r="A27" s="19"/>
      <c r="B27" s="59" t="s">
        <v>638</v>
      </c>
      <c r="C27" s="6">
        <v>162972</v>
      </c>
      <c r="D27" s="5">
        <v>162972</v>
      </c>
      <c r="E27" s="737">
        <v>162972</v>
      </c>
      <c r="F27" s="20" t="s">
        <v>639</v>
      </c>
      <c r="G27" s="60"/>
      <c r="H27" s="46">
        <f>SUM(H28:H30)</f>
        <v>2330302</v>
      </c>
      <c r="I27" s="757">
        <f>SUM(I28:I30)</f>
        <v>2006101</v>
      </c>
      <c r="J27" s="753">
        <f>SUM(J28:J30)</f>
        <v>1887517</v>
      </c>
    </row>
    <row r="28" spans="1:10" ht="12.75" customHeight="1">
      <c r="A28" s="16"/>
      <c r="B28" s="58" t="s">
        <v>564</v>
      </c>
      <c r="C28" s="6">
        <v>7080</v>
      </c>
      <c r="D28" s="5">
        <v>7080</v>
      </c>
      <c r="E28" s="737">
        <v>13080</v>
      </c>
      <c r="F28" s="19"/>
      <c r="G28" s="37" t="s">
        <v>639</v>
      </c>
      <c r="H28" s="6">
        <v>50000</v>
      </c>
      <c r="I28" s="5">
        <v>193895</v>
      </c>
      <c r="J28" s="739">
        <v>8293</v>
      </c>
    </row>
    <row r="29" spans="1:10" ht="12.75" customHeight="1">
      <c r="A29" s="16"/>
      <c r="B29" s="37" t="s">
        <v>640</v>
      </c>
      <c r="C29" s="6">
        <v>2000</v>
      </c>
      <c r="D29" s="5">
        <v>2000</v>
      </c>
      <c r="E29" s="737">
        <v>29600</v>
      </c>
      <c r="F29" s="19"/>
      <c r="G29" s="37" t="s">
        <v>387</v>
      </c>
      <c r="H29" s="6"/>
      <c r="I29" s="5"/>
      <c r="J29" s="739">
        <v>78118</v>
      </c>
    </row>
    <row r="30" spans="1:10" ht="12.75" customHeight="1">
      <c r="A30" s="19"/>
      <c r="B30" s="37" t="s">
        <v>865</v>
      </c>
      <c r="C30" s="6"/>
      <c r="D30" s="5"/>
      <c r="E30" s="737">
        <v>712</v>
      </c>
      <c r="F30" s="19"/>
      <c r="G30" s="37" t="s">
        <v>597</v>
      </c>
      <c r="H30" s="6">
        <v>2280302</v>
      </c>
      <c r="I30" s="5">
        <v>1812206</v>
      </c>
      <c r="J30" s="739">
        <v>1801106</v>
      </c>
    </row>
    <row r="31" spans="1:10" ht="14.25" customHeight="1">
      <c r="A31" s="19"/>
      <c r="B31" s="37"/>
      <c r="C31" s="43"/>
      <c r="D31" s="37"/>
      <c r="E31" s="740"/>
      <c r="F31" s="19"/>
      <c r="G31" s="37"/>
      <c r="H31" s="43"/>
      <c r="I31" s="5"/>
      <c r="J31" s="739"/>
    </row>
    <row r="32" spans="1:10" ht="12.75">
      <c r="A32" s="54" t="s">
        <v>567</v>
      </c>
      <c r="B32" s="55"/>
      <c r="C32" s="8">
        <f>SUM(C33:C34)</f>
        <v>3256122</v>
      </c>
      <c r="D32" s="749">
        <f>SUM(D33:D34)</f>
        <v>3256425</v>
      </c>
      <c r="E32" s="741">
        <f>SUM(E33:E34)</f>
        <v>3250918</v>
      </c>
      <c r="F32" s="20" t="s">
        <v>608</v>
      </c>
      <c r="G32" s="37"/>
      <c r="H32" s="40">
        <f>30246-2200</f>
        <v>28046</v>
      </c>
      <c r="I32" s="749">
        <v>28046</v>
      </c>
      <c r="J32" s="741">
        <v>28046</v>
      </c>
    </row>
    <row r="33" spans="1:10" ht="12.75" customHeight="1">
      <c r="A33" s="20"/>
      <c r="B33" s="36" t="s">
        <v>270</v>
      </c>
      <c r="C33" s="10">
        <v>0</v>
      </c>
      <c r="D33" s="747">
        <v>18</v>
      </c>
      <c r="E33" s="735">
        <v>1099</v>
      </c>
      <c r="F33" s="19"/>
      <c r="G33" s="37"/>
      <c r="H33" s="43"/>
      <c r="I33" s="5"/>
      <c r="J33" s="739"/>
    </row>
    <row r="34" spans="1:10" ht="12.75" customHeight="1">
      <c r="A34" s="3"/>
      <c r="B34" s="45" t="s">
        <v>569</v>
      </c>
      <c r="C34" s="10">
        <f>SUM(C35,C37,C39)</f>
        <v>3256122</v>
      </c>
      <c r="D34" s="747">
        <v>3256407</v>
      </c>
      <c r="E34" s="735">
        <v>3249819</v>
      </c>
      <c r="F34" s="20" t="s">
        <v>641</v>
      </c>
      <c r="G34" s="36"/>
      <c r="H34" s="46">
        <f>SUM(H35:H37)</f>
        <v>10100</v>
      </c>
      <c r="I34" s="757">
        <f>SUM(I35:I37)</f>
        <v>19313</v>
      </c>
      <c r="J34" s="753">
        <f>SUM(J35:J37)</f>
        <v>244945</v>
      </c>
    </row>
    <row r="35" spans="1:10" ht="12.75" customHeight="1">
      <c r="A35" s="3"/>
      <c r="B35" s="61" t="s">
        <v>570</v>
      </c>
      <c r="C35" s="4">
        <v>1537265</v>
      </c>
      <c r="D35" s="750">
        <v>1976927</v>
      </c>
      <c r="E35" s="742">
        <v>1965339</v>
      </c>
      <c r="F35" s="19"/>
      <c r="G35" s="36" t="s">
        <v>642</v>
      </c>
      <c r="H35" s="10">
        <v>5300</v>
      </c>
      <c r="I35" s="5">
        <v>5300</v>
      </c>
      <c r="J35" s="739">
        <v>5300</v>
      </c>
    </row>
    <row r="36" spans="1:10" ht="12.75" customHeight="1">
      <c r="A36" s="3"/>
      <c r="B36" s="61" t="s">
        <v>643</v>
      </c>
      <c r="C36" s="4">
        <v>11084</v>
      </c>
      <c r="D36" s="750">
        <v>11084</v>
      </c>
      <c r="E36" s="742">
        <v>11084</v>
      </c>
      <c r="F36" s="19"/>
      <c r="G36" s="36" t="s">
        <v>605</v>
      </c>
      <c r="H36" s="10">
        <v>4800</v>
      </c>
      <c r="I36" s="5">
        <v>14013</v>
      </c>
      <c r="J36" s="739">
        <v>239645</v>
      </c>
    </row>
    <row r="37" spans="1:10" ht="27" customHeight="1">
      <c r="A37" s="3"/>
      <c r="B37" s="62" t="s">
        <v>571</v>
      </c>
      <c r="C37" s="4">
        <f>1591726+127081</f>
        <v>1718807</v>
      </c>
      <c r="D37" s="750">
        <v>1279430</v>
      </c>
      <c r="E37" s="742">
        <v>1279430</v>
      </c>
      <c r="F37" s="19"/>
      <c r="G37" s="36"/>
      <c r="H37" s="10"/>
      <c r="I37" s="5"/>
      <c r="J37" s="739"/>
    </row>
    <row r="38" spans="1:10" ht="13.5" customHeight="1">
      <c r="A38" s="3"/>
      <c r="B38" s="62" t="s">
        <v>643</v>
      </c>
      <c r="C38" s="4">
        <v>329362</v>
      </c>
      <c r="D38" s="750">
        <v>329362</v>
      </c>
      <c r="E38" s="742">
        <v>329362</v>
      </c>
      <c r="F38" s="1162" t="s">
        <v>400</v>
      </c>
      <c r="G38" s="1163"/>
      <c r="H38" s="10"/>
      <c r="I38" s="749">
        <v>17778</v>
      </c>
      <c r="J38" s="741">
        <v>17778</v>
      </c>
    </row>
    <row r="39" spans="1:10" ht="12.75" customHeight="1">
      <c r="A39" s="3"/>
      <c r="B39" s="61" t="s">
        <v>644</v>
      </c>
      <c r="C39" s="4">
        <v>50</v>
      </c>
      <c r="D39" s="750">
        <v>50</v>
      </c>
      <c r="E39" s="742">
        <v>5050</v>
      </c>
      <c r="F39" s="19"/>
      <c r="G39" s="37"/>
      <c r="H39" s="43"/>
      <c r="I39" s="5"/>
      <c r="J39" s="739"/>
    </row>
    <row r="40" spans="1:10" ht="12.75" customHeight="1">
      <c r="A40" s="3"/>
      <c r="B40" s="61"/>
      <c r="C40" s="4"/>
      <c r="D40" s="750"/>
      <c r="E40" s="742"/>
      <c r="F40" s="19"/>
      <c r="G40" s="37"/>
      <c r="H40" s="43"/>
      <c r="I40" s="5"/>
      <c r="J40" s="739"/>
    </row>
    <row r="41" spans="1:10" ht="12.75" customHeight="1">
      <c r="A41" s="1162" t="s">
        <v>400</v>
      </c>
      <c r="B41" s="1163"/>
      <c r="C41" s="4"/>
      <c r="D41" s="749">
        <v>47464</v>
      </c>
      <c r="E41" s="741">
        <v>47464</v>
      </c>
      <c r="F41" s="19"/>
      <c r="G41" s="37"/>
      <c r="H41" s="43"/>
      <c r="I41" s="5"/>
      <c r="J41" s="739"/>
    </row>
    <row r="42" spans="1:10" ht="12.75" customHeight="1">
      <c r="A42" s="19"/>
      <c r="B42" s="37"/>
      <c r="C42" s="43"/>
      <c r="D42" s="37"/>
      <c r="E42" s="740"/>
      <c r="F42" s="19"/>
      <c r="G42" s="37"/>
      <c r="H42" s="43"/>
      <c r="I42" s="5"/>
      <c r="J42" s="739"/>
    </row>
    <row r="43" spans="1:10" ht="12.75" customHeight="1">
      <c r="A43" s="49" t="s">
        <v>573</v>
      </c>
      <c r="B43" s="58"/>
      <c r="C43" s="40">
        <v>109449</v>
      </c>
      <c r="D43" s="748">
        <v>150389</v>
      </c>
      <c r="E43" s="736">
        <v>173389</v>
      </c>
      <c r="F43" s="19"/>
      <c r="G43" s="37"/>
      <c r="H43" s="43"/>
      <c r="I43" s="5"/>
      <c r="J43" s="739"/>
    </row>
    <row r="44" spans="1:10" ht="12.75" customHeight="1">
      <c r="A44" s="19"/>
      <c r="B44" s="37"/>
      <c r="C44" s="43"/>
      <c r="D44" s="37"/>
      <c r="E44" s="740"/>
      <c r="F44" s="19"/>
      <c r="G44" s="37"/>
      <c r="H44" s="6"/>
      <c r="I44" s="5"/>
      <c r="J44" s="739"/>
    </row>
    <row r="45" spans="1:10" s="21" customFormat="1" ht="12.75" customHeight="1">
      <c r="A45" s="20" t="s">
        <v>574</v>
      </c>
      <c r="B45" s="39"/>
      <c r="C45" s="40">
        <v>1507660</v>
      </c>
      <c r="D45" s="748">
        <v>1577721</v>
      </c>
      <c r="E45" s="736">
        <v>1486358</v>
      </c>
      <c r="F45" s="20" t="s">
        <v>645</v>
      </c>
      <c r="G45" s="39"/>
      <c r="H45" s="40">
        <v>1507660</v>
      </c>
      <c r="I45" s="748">
        <v>1577721</v>
      </c>
      <c r="J45" s="736">
        <v>1486358</v>
      </c>
    </row>
    <row r="46" spans="1:10" ht="12.75" customHeight="1">
      <c r="A46" s="19"/>
      <c r="B46" s="37"/>
      <c r="C46" s="43"/>
      <c r="D46" s="37"/>
      <c r="E46" s="740"/>
      <c r="F46" s="19"/>
      <c r="G46" s="37"/>
      <c r="H46" s="6"/>
      <c r="I46" s="5"/>
      <c r="J46" s="739"/>
    </row>
    <row r="47" spans="1:10" ht="12.75" customHeight="1">
      <c r="A47" s="63" t="s">
        <v>646</v>
      </c>
      <c r="B47" s="64"/>
      <c r="C47" s="8">
        <f>SUM(C6,C8,C16,C20,C24,C32,C43,C45)</f>
        <v>8329489</v>
      </c>
      <c r="D47" s="749">
        <f>SUM(D6,D8,D16,D20,D24,D32,D43,D45+D41)</f>
        <v>8647101</v>
      </c>
      <c r="E47" s="743">
        <f>SUM(E6+E8+E16+E20+E24+E32+E41+E43+E45)</f>
        <v>8699167</v>
      </c>
      <c r="F47" s="65" t="s">
        <v>647</v>
      </c>
      <c r="G47" s="66"/>
      <c r="H47" s="38">
        <f>SUM(H6,H8,H10,H12,H16,H18,H20,H22,H27,H32,H34,H45)</f>
        <v>9422537</v>
      </c>
      <c r="I47" s="757">
        <f>SUM(I6,I8,I10,I12,I16,I18,I20,I22,I27,I32,I34,I45+I38)</f>
        <v>10034848</v>
      </c>
      <c r="J47" s="753">
        <f>SUM(J6+J8+J10+J12+J16+J18+J20+J22+J27+J32+J34+J38+J45)</f>
        <v>10101118</v>
      </c>
    </row>
    <row r="48" spans="1:10" ht="12.75" customHeight="1">
      <c r="A48" s="19"/>
      <c r="B48" s="37"/>
      <c r="C48" s="43"/>
      <c r="D48" s="37"/>
      <c r="E48" s="740"/>
      <c r="F48" s="19"/>
      <c r="G48" s="66"/>
      <c r="H48" s="67"/>
      <c r="I48" s="5"/>
      <c r="J48" s="739"/>
    </row>
    <row r="49" spans="1:10" ht="12.75" customHeight="1">
      <c r="A49" s="68" t="s">
        <v>648</v>
      </c>
      <c r="B49" s="55"/>
      <c r="C49" s="40">
        <f>C47-H47</f>
        <v>-1093048</v>
      </c>
      <c r="D49" s="748">
        <v>-1387747</v>
      </c>
      <c r="E49" s="736">
        <v>-1402951</v>
      </c>
      <c r="F49" s="20"/>
      <c r="G49" s="66"/>
      <c r="H49" s="67"/>
      <c r="I49" s="5"/>
      <c r="J49" s="739"/>
    </row>
    <row r="50" spans="1:10" ht="12.75" customHeight="1">
      <c r="A50" s="68"/>
      <c r="B50" s="55"/>
      <c r="C50" s="40"/>
      <c r="D50" s="748"/>
      <c r="E50" s="736"/>
      <c r="F50" s="20"/>
      <c r="G50" s="66"/>
      <c r="H50" s="67"/>
      <c r="I50" s="5"/>
      <c r="J50" s="739"/>
    </row>
    <row r="51" spans="1:10" ht="12" customHeight="1">
      <c r="A51" s="69" t="s">
        <v>649</v>
      </c>
      <c r="B51" s="70"/>
      <c r="C51" s="6"/>
      <c r="D51" s="5"/>
      <c r="E51" s="739"/>
      <c r="F51" s="19" t="s">
        <v>650</v>
      </c>
      <c r="G51" s="51"/>
      <c r="H51" s="48">
        <v>123539</v>
      </c>
      <c r="I51" s="5">
        <v>123539</v>
      </c>
      <c r="J51" s="739">
        <v>98235</v>
      </c>
    </row>
    <row r="52" spans="1:10" ht="12.75" customHeight="1">
      <c r="A52" s="22" t="s">
        <v>651</v>
      </c>
      <c r="B52" s="71"/>
      <c r="C52" s="4">
        <v>501869</v>
      </c>
      <c r="D52" s="750">
        <v>825287</v>
      </c>
      <c r="E52" s="742">
        <v>825287</v>
      </c>
      <c r="F52" s="65"/>
      <c r="G52" s="37"/>
      <c r="H52" s="10"/>
      <c r="I52" s="5"/>
      <c r="J52" s="739"/>
    </row>
    <row r="53" spans="1:10" ht="12.75" customHeight="1">
      <c r="A53" s="1148" t="s">
        <v>652</v>
      </c>
      <c r="B53" s="1149"/>
      <c r="C53" s="4">
        <v>714718</v>
      </c>
      <c r="D53" s="750">
        <v>685999</v>
      </c>
      <c r="E53" s="742">
        <v>674899</v>
      </c>
      <c r="F53" s="65"/>
      <c r="G53" s="51"/>
      <c r="H53" s="46"/>
      <c r="I53" s="5"/>
      <c r="J53" s="739"/>
    </row>
    <row r="54" spans="1:10" ht="12.75" customHeight="1">
      <c r="A54" s="72"/>
      <c r="B54" s="73"/>
      <c r="C54" s="6"/>
      <c r="D54" s="5"/>
      <c r="E54" s="739"/>
      <c r="F54" s="65"/>
      <c r="G54" s="51"/>
      <c r="H54" s="46"/>
      <c r="I54" s="5"/>
      <c r="J54" s="739"/>
    </row>
    <row r="55" spans="1:10" ht="12.75" customHeight="1">
      <c r="A55" s="1150" t="s">
        <v>653</v>
      </c>
      <c r="B55" s="1151"/>
      <c r="C55" s="8">
        <f>SUM(C52:C53)</f>
        <v>1216587</v>
      </c>
      <c r="D55" s="749">
        <f>SUM(D52:D53)</f>
        <v>1511286</v>
      </c>
      <c r="E55" s="741">
        <f>SUM(E52:E53)</f>
        <v>1500186</v>
      </c>
      <c r="F55" s="16" t="s">
        <v>654</v>
      </c>
      <c r="G55" s="74"/>
      <c r="H55" s="40">
        <f>SUM(H51)</f>
        <v>123539</v>
      </c>
      <c r="I55" s="749">
        <v>123539</v>
      </c>
      <c r="J55" s="741">
        <v>98235</v>
      </c>
    </row>
    <row r="56" spans="1:10" ht="12.75" customHeight="1">
      <c r="A56" s="1152"/>
      <c r="B56" s="1153"/>
      <c r="C56" s="10"/>
      <c r="D56" s="747"/>
      <c r="E56" s="735"/>
      <c r="F56" s="16"/>
      <c r="G56" s="37"/>
      <c r="H56" s="43"/>
      <c r="I56" s="5"/>
      <c r="J56" s="739"/>
    </row>
    <row r="57" spans="1:10" ht="12.75" customHeight="1" thickBot="1">
      <c r="A57" s="75" t="s">
        <v>577</v>
      </c>
      <c r="B57" s="76"/>
      <c r="C57" s="77">
        <f>SUM(C47,C55)</f>
        <v>9546076</v>
      </c>
      <c r="D57" s="76">
        <f>SUM(D47+D55)</f>
        <v>10158387</v>
      </c>
      <c r="E57" s="744">
        <f>SUM(E47+E55)</f>
        <v>10199353</v>
      </c>
      <c r="F57" s="78" t="s">
        <v>615</v>
      </c>
      <c r="G57" s="79"/>
      <c r="H57" s="80">
        <f>SUM(H47,H55)</f>
        <v>9546076</v>
      </c>
      <c r="I57" s="758">
        <f>SUM(I47,I55)</f>
        <v>10158387</v>
      </c>
      <c r="J57" s="754">
        <f>SUM(J47,J55)</f>
        <v>10199353</v>
      </c>
    </row>
    <row r="58" ht="15" customHeight="1">
      <c r="I58" s="81"/>
    </row>
    <row r="59" ht="15" customHeight="1">
      <c r="I59" s="81"/>
    </row>
    <row r="60" ht="15" customHeight="1">
      <c r="I60" s="81"/>
    </row>
    <row r="61" spans="6:9" ht="27" customHeight="1">
      <c r="F61" s="18"/>
      <c r="I61" s="81"/>
    </row>
    <row r="62" ht="15" customHeight="1">
      <c r="I62" s="81"/>
    </row>
    <row r="63" ht="15" customHeight="1">
      <c r="I63" s="81"/>
    </row>
    <row r="64" ht="15" customHeight="1">
      <c r="I64" s="81"/>
    </row>
    <row r="65" ht="15" customHeight="1">
      <c r="I65" s="81"/>
    </row>
    <row r="66" spans="1:9" ht="15" customHeight="1">
      <c r="A66" s="18"/>
      <c r="B66" s="17"/>
      <c r="C66" s="82"/>
      <c r="D66" s="82"/>
      <c r="E66" s="82"/>
      <c r="I66" s="81"/>
    </row>
    <row r="67" ht="15" customHeight="1">
      <c r="I67" s="81"/>
    </row>
    <row r="68" ht="12.75" customHeight="1">
      <c r="I68" s="81"/>
    </row>
  </sheetData>
  <mergeCells count="9">
    <mergeCell ref="A2:J2"/>
    <mergeCell ref="A53:B53"/>
    <mergeCell ref="A55:B55"/>
    <mergeCell ref="A56:B56"/>
    <mergeCell ref="F20:G20"/>
    <mergeCell ref="A4:E4"/>
    <mergeCell ref="F4:J4"/>
    <mergeCell ref="A41:B41"/>
    <mergeCell ref="F38:G38"/>
  </mergeCells>
  <printOptions horizontalCentered="1"/>
  <pageMargins left="0" right="0" top="0.72" bottom="0.37" header="0.47" footer="0"/>
  <pageSetup horizontalDpi="600" verticalDpi="600" orientation="landscape" paperSize="9" scale="65" r:id="rId1"/>
  <headerFooter alignWithMargins="0">
    <oddHeader>&amp;L1. melléklet a 24/2013.(IX.13.) önkormányzati rendelethez
"1. melléklet az 1/2013.(II.01.) önkormányzati rendelethez"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SheetLayoutView="100" workbookViewId="0" topLeftCell="A1">
      <selection activeCell="H34" sqref="H34"/>
    </sheetView>
  </sheetViews>
  <sheetFormatPr defaultColWidth="9.00390625" defaultRowHeight="12.75"/>
  <cols>
    <col min="1" max="1" width="17.875" style="577" customWidth="1"/>
    <col min="2" max="2" width="11.75390625" style="577" customWidth="1"/>
    <col min="3" max="3" width="9.00390625" style="577" customWidth="1"/>
    <col min="4" max="4" width="10.25390625" style="577" customWidth="1"/>
    <col min="5" max="5" width="7.625" style="577" customWidth="1"/>
    <col min="6" max="6" width="11.25390625" style="577" customWidth="1"/>
    <col min="7" max="7" width="9.75390625" style="577" customWidth="1"/>
    <col min="8" max="8" width="11.75390625" style="577" customWidth="1"/>
    <col min="9" max="9" width="7.625" style="577" customWidth="1"/>
    <col min="10" max="10" width="7.75390625" style="577" customWidth="1"/>
    <col min="11" max="11" width="12.75390625" style="577" customWidth="1"/>
    <col min="12" max="12" width="8.125" style="577" customWidth="1"/>
    <col min="13" max="13" width="6.875" style="577" customWidth="1"/>
    <col min="14" max="15" width="13.75390625" style="577" customWidth="1"/>
    <col min="16" max="17" width="9.125" style="577" hidden="1" customWidth="1"/>
    <col min="18" max="16384" width="9.125" style="577" customWidth="1"/>
  </cols>
  <sheetData>
    <row r="1" spans="1:15" ht="12.75">
      <c r="A1" s="1312"/>
      <c r="B1" s="1312"/>
      <c r="C1" s="1312"/>
      <c r="D1" s="1312"/>
      <c r="E1" s="1312"/>
      <c r="F1" s="1312"/>
      <c r="G1" s="1312"/>
      <c r="H1" s="1312"/>
      <c r="I1" s="1312"/>
      <c r="J1" s="1312"/>
      <c r="K1" s="1312"/>
      <c r="L1" s="1312"/>
      <c r="M1" s="1312"/>
      <c r="N1" s="1312"/>
      <c r="O1" s="1312"/>
    </row>
    <row r="2" spans="1:15" ht="12.75">
      <c r="A2" s="1312" t="s">
        <v>770</v>
      </c>
      <c r="B2" s="1312"/>
      <c r="C2" s="1312"/>
      <c r="D2" s="1312"/>
      <c r="E2" s="1312"/>
      <c r="F2" s="1312"/>
      <c r="G2" s="1312"/>
      <c r="H2" s="1312"/>
      <c r="I2" s="1312"/>
      <c r="J2" s="1312"/>
      <c r="K2" s="1312"/>
      <c r="L2" s="1312"/>
      <c r="M2" s="1312"/>
      <c r="N2" s="1312"/>
      <c r="O2" s="1312"/>
    </row>
    <row r="3" spans="1:15" ht="13.5" thickBo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12.75">
      <c r="A4" s="1314" t="s">
        <v>771</v>
      </c>
      <c r="B4" s="1315"/>
      <c r="C4" s="1315" t="s">
        <v>657</v>
      </c>
      <c r="D4" s="1315" t="s">
        <v>772</v>
      </c>
      <c r="E4" s="1315"/>
      <c r="F4" s="1315" t="s">
        <v>715</v>
      </c>
      <c r="G4" s="1315" t="s">
        <v>716</v>
      </c>
      <c r="H4" s="1315"/>
      <c r="I4" s="1315" t="s">
        <v>717</v>
      </c>
      <c r="J4" s="1315"/>
      <c r="K4" s="1315" t="s">
        <v>718</v>
      </c>
      <c r="L4" s="1315" t="s">
        <v>719</v>
      </c>
      <c r="M4" s="1315"/>
      <c r="N4" s="1315" t="s">
        <v>775</v>
      </c>
      <c r="O4" s="1319" t="s">
        <v>721</v>
      </c>
    </row>
    <row r="5" spans="1:15" ht="21">
      <c r="A5" s="1316"/>
      <c r="B5" s="1317"/>
      <c r="C5" s="1317"/>
      <c r="D5" s="152" t="s">
        <v>776</v>
      </c>
      <c r="E5" s="152" t="s">
        <v>714</v>
      </c>
      <c r="F5" s="1317"/>
      <c r="G5" s="152" t="s">
        <v>725</v>
      </c>
      <c r="H5" s="152" t="s">
        <v>726</v>
      </c>
      <c r="I5" s="152" t="s">
        <v>725</v>
      </c>
      <c r="J5" s="152" t="s">
        <v>726</v>
      </c>
      <c r="K5" s="1317"/>
      <c r="L5" s="152" t="s">
        <v>727</v>
      </c>
      <c r="M5" s="152" t="s">
        <v>728</v>
      </c>
      <c r="N5" s="1317"/>
      <c r="O5" s="1320"/>
    </row>
    <row r="6" spans="1:15" ht="12.75">
      <c r="A6" s="1306" t="s">
        <v>777</v>
      </c>
      <c r="B6" s="578" t="s">
        <v>521</v>
      </c>
      <c r="C6" s="579">
        <f>7666281/1000</f>
        <v>7666.281</v>
      </c>
      <c r="D6" s="579">
        <v>0</v>
      </c>
      <c r="E6" s="579">
        <f>1176627/1000</f>
        <v>1176.627</v>
      </c>
      <c r="F6" s="579"/>
      <c r="G6" s="579">
        <f>500000/1000</f>
        <v>500</v>
      </c>
      <c r="H6" s="579">
        <v>0</v>
      </c>
      <c r="I6" s="579">
        <v>0</v>
      </c>
      <c r="J6" s="579">
        <v>0</v>
      </c>
      <c r="K6" s="579">
        <v>0</v>
      </c>
      <c r="L6" s="579"/>
      <c r="M6" s="579"/>
      <c r="N6" s="579">
        <v>134516</v>
      </c>
      <c r="O6" s="580">
        <f>SUM(C6+F6+G6+H6+I6+J6+K6+L6+M6+N6)</f>
        <v>142682.281</v>
      </c>
    </row>
    <row r="7" spans="1:15" ht="12.75">
      <c r="A7" s="1307"/>
      <c r="B7" s="581" t="s">
        <v>473</v>
      </c>
      <c r="C7" s="582">
        <v>7666</v>
      </c>
      <c r="D7" s="582">
        <v>0</v>
      </c>
      <c r="E7" s="582">
        <v>1177</v>
      </c>
      <c r="F7" s="582"/>
      <c r="G7" s="582">
        <v>500</v>
      </c>
      <c r="H7" s="582">
        <v>0</v>
      </c>
      <c r="I7" s="582">
        <v>0</v>
      </c>
      <c r="J7" s="582">
        <v>0</v>
      </c>
      <c r="K7" s="582">
        <v>0</v>
      </c>
      <c r="L7" s="582"/>
      <c r="M7" s="582">
        <v>29686</v>
      </c>
      <c r="N7" s="582">
        <v>103726</v>
      </c>
      <c r="O7" s="580">
        <f aca="true" t="shared" si="0" ref="O7:O17">SUM(C7+F7+G7+H7+I7+J7+K7+L7+M7+N7)</f>
        <v>141578</v>
      </c>
    </row>
    <row r="8" spans="1:15" ht="12.75">
      <c r="A8" s="1308"/>
      <c r="B8" s="581" t="s">
        <v>549</v>
      </c>
      <c r="C8" s="582">
        <v>8503</v>
      </c>
      <c r="D8" s="582">
        <v>340</v>
      </c>
      <c r="E8" s="582">
        <v>1457</v>
      </c>
      <c r="F8" s="582"/>
      <c r="G8" s="582">
        <v>750</v>
      </c>
      <c r="H8" s="582"/>
      <c r="I8" s="582"/>
      <c r="J8" s="582"/>
      <c r="K8" s="582"/>
      <c r="L8" s="582"/>
      <c r="M8" s="582">
        <v>29686</v>
      </c>
      <c r="N8" s="582">
        <v>104217</v>
      </c>
      <c r="O8" s="580">
        <f t="shared" si="0"/>
        <v>143156</v>
      </c>
    </row>
    <row r="9" spans="1:15" ht="12.75">
      <c r="A9" s="1306" t="s">
        <v>778</v>
      </c>
      <c r="B9" s="578" t="s">
        <v>521</v>
      </c>
      <c r="C9" s="579">
        <v>0</v>
      </c>
      <c r="D9" s="579">
        <v>0</v>
      </c>
      <c r="E9" s="579">
        <v>0</v>
      </c>
      <c r="F9" s="579"/>
      <c r="G9" s="579">
        <v>0</v>
      </c>
      <c r="H9" s="579">
        <v>0</v>
      </c>
      <c r="I9" s="579">
        <v>0</v>
      </c>
      <c r="J9" s="579">
        <v>0</v>
      </c>
      <c r="K9" s="579">
        <v>0</v>
      </c>
      <c r="L9" s="579"/>
      <c r="M9" s="579"/>
      <c r="N9" s="579">
        <v>0</v>
      </c>
      <c r="O9" s="580">
        <f t="shared" si="0"/>
        <v>0</v>
      </c>
    </row>
    <row r="10" spans="1:15" ht="12.75">
      <c r="A10" s="1307"/>
      <c r="B10" s="581" t="s">
        <v>473</v>
      </c>
      <c r="C10" s="582">
        <v>0</v>
      </c>
      <c r="D10" s="582">
        <v>0</v>
      </c>
      <c r="E10" s="582">
        <v>0</v>
      </c>
      <c r="F10" s="582">
        <v>0</v>
      </c>
      <c r="G10" s="582">
        <v>0</v>
      </c>
      <c r="H10" s="582">
        <v>0</v>
      </c>
      <c r="I10" s="582">
        <v>0</v>
      </c>
      <c r="J10" s="582">
        <v>0</v>
      </c>
      <c r="K10" s="582">
        <v>0</v>
      </c>
      <c r="L10" s="582">
        <v>0</v>
      </c>
      <c r="M10" s="582">
        <v>0</v>
      </c>
      <c r="N10" s="582">
        <v>21167</v>
      </c>
      <c r="O10" s="580">
        <f t="shared" si="0"/>
        <v>21167</v>
      </c>
    </row>
    <row r="11" spans="1:15" ht="12.75">
      <c r="A11" s="1308"/>
      <c r="B11" s="581" t="s">
        <v>549</v>
      </c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>
        <v>21167</v>
      </c>
      <c r="O11" s="580">
        <f t="shared" si="0"/>
        <v>21167</v>
      </c>
    </row>
    <row r="12" spans="1:15" ht="12.75">
      <c r="A12" s="1306" t="s">
        <v>779</v>
      </c>
      <c r="B12" s="578" t="s">
        <v>521</v>
      </c>
      <c r="C12" s="579">
        <f>200000/1000</f>
        <v>200</v>
      </c>
      <c r="D12" s="579">
        <v>0</v>
      </c>
      <c r="E12" s="579">
        <f>54000/1000</f>
        <v>54</v>
      </c>
      <c r="F12" s="579"/>
      <c r="G12" s="579">
        <v>0</v>
      </c>
      <c r="H12" s="579">
        <v>0</v>
      </c>
      <c r="I12" s="579">
        <v>0</v>
      </c>
      <c r="J12" s="579">
        <v>0</v>
      </c>
      <c r="K12" s="579">
        <v>0</v>
      </c>
      <c r="L12" s="579"/>
      <c r="M12" s="579"/>
      <c r="N12" s="579">
        <v>0</v>
      </c>
      <c r="O12" s="580">
        <f t="shared" si="0"/>
        <v>200</v>
      </c>
    </row>
    <row r="13" spans="1:15" ht="12.75">
      <c r="A13" s="1307"/>
      <c r="B13" s="581" t="s">
        <v>473</v>
      </c>
      <c r="C13" s="582">
        <v>200</v>
      </c>
      <c r="D13" s="582">
        <v>0</v>
      </c>
      <c r="E13" s="582">
        <v>54</v>
      </c>
      <c r="F13" s="582">
        <v>0</v>
      </c>
      <c r="G13" s="582">
        <v>0</v>
      </c>
      <c r="H13" s="582">
        <v>0</v>
      </c>
      <c r="I13" s="582">
        <v>0</v>
      </c>
      <c r="J13" s="582">
        <v>0</v>
      </c>
      <c r="K13" s="582">
        <v>0</v>
      </c>
      <c r="L13" s="582">
        <v>0</v>
      </c>
      <c r="M13" s="582">
        <v>0</v>
      </c>
      <c r="N13" s="582">
        <v>1751</v>
      </c>
      <c r="O13" s="580">
        <f t="shared" si="0"/>
        <v>1951</v>
      </c>
    </row>
    <row r="14" spans="1:15" ht="12.75">
      <c r="A14" s="1308"/>
      <c r="B14" s="581" t="s">
        <v>549</v>
      </c>
      <c r="C14" s="582">
        <v>200</v>
      </c>
      <c r="D14" s="582"/>
      <c r="E14" s="582">
        <v>54</v>
      </c>
      <c r="F14" s="582"/>
      <c r="G14" s="582"/>
      <c r="H14" s="582"/>
      <c r="I14" s="582"/>
      <c r="J14" s="582"/>
      <c r="K14" s="582"/>
      <c r="L14" s="582"/>
      <c r="M14" s="582"/>
      <c r="N14" s="582">
        <v>1751</v>
      </c>
      <c r="O14" s="580">
        <f t="shared" si="0"/>
        <v>1951</v>
      </c>
    </row>
    <row r="15" spans="1:15" ht="12.75">
      <c r="A15" s="1306" t="s">
        <v>780</v>
      </c>
      <c r="B15" s="578" t="s">
        <v>521</v>
      </c>
      <c r="C15" s="579">
        <f>7600000/1000</f>
        <v>7600</v>
      </c>
      <c r="D15" s="579"/>
      <c r="E15" s="579">
        <f>1800000/1000</f>
        <v>1800</v>
      </c>
      <c r="F15" s="579"/>
      <c r="G15" s="579">
        <v>0</v>
      </c>
      <c r="H15" s="579">
        <v>0</v>
      </c>
      <c r="I15" s="579">
        <v>0</v>
      </c>
      <c r="J15" s="579">
        <v>0</v>
      </c>
      <c r="K15" s="579">
        <v>0</v>
      </c>
      <c r="L15" s="579"/>
      <c r="M15" s="579"/>
      <c r="N15" s="579">
        <v>0</v>
      </c>
      <c r="O15" s="580">
        <f t="shared" si="0"/>
        <v>7600</v>
      </c>
    </row>
    <row r="16" spans="1:15" ht="12.75">
      <c r="A16" s="1307"/>
      <c r="B16" s="581" t="s">
        <v>473</v>
      </c>
      <c r="C16" s="582">
        <v>7600</v>
      </c>
      <c r="D16" s="582"/>
      <c r="E16" s="582">
        <v>1800</v>
      </c>
      <c r="F16" s="582"/>
      <c r="G16" s="582">
        <v>0</v>
      </c>
      <c r="H16" s="582">
        <v>0</v>
      </c>
      <c r="I16" s="582">
        <v>0</v>
      </c>
      <c r="J16" s="582">
        <v>0</v>
      </c>
      <c r="K16" s="582">
        <v>0</v>
      </c>
      <c r="L16" s="582">
        <v>0</v>
      </c>
      <c r="M16" s="582">
        <v>0</v>
      </c>
      <c r="N16" s="582">
        <v>8570</v>
      </c>
      <c r="O16" s="580">
        <f t="shared" si="0"/>
        <v>16170</v>
      </c>
    </row>
    <row r="17" spans="1:15" ht="12.75">
      <c r="A17" s="1308"/>
      <c r="B17" s="581" t="s">
        <v>549</v>
      </c>
      <c r="C17" s="582">
        <v>7600</v>
      </c>
      <c r="D17" s="582"/>
      <c r="E17" s="582">
        <v>1800</v>
      </c>
      <c r="F17" s="582"/>
      <c r="G17" s="582"/>
      <c r="H17" s="582"/>
      <c r="I17" s="582"/>
      <c r="J17" s="582"/>
      <c r="K17" s="582"/>
      <c r="L17" s="582"/>
      <c r="M17" s="582"/>
      <c r="N17" s="582">
        <v>8570</v>
      </c>
      <c r="O17" s="580">
        <f t="shared" si="0"/>
        <v>16170</v>
      </c>
    </row>
    <row r="18" spans="1:15" ht="12.75">
      <c r="A18" s="1309" t="s">
        <v>520</v>
      </c>
      <c r="B18" s="584" t="s">
        <v>521</v>
      </c>
      <c r="C18" s="585">
        <f>SUM(C6+C9+C12+C15)</f>
        <v>15466.280999999999</v>
      </c>
      <c r="D18" s="585">
        <f aca="true" t="shared" si="1" ref="D18:N18">SUM(D6+D9+D12+D15)</f>
        <v>0</v>
      </c>
      <c r="E18" s="585">
        <f t="shared" si="1"/>
        <v>3030.627</v>
      </c>
      <c r="F18" s="585">
        <f t="shared" si="1"/>
        <v>0</v>
      </c>
      <c r="G18" s="585">
        <f t="shared" si="1"/>
        <v>500</v>
      </c>
      <c r="H18" s="585">
        <f t="shared" si="1"/>
        <v>0</v>
      </c>
      <c r="I18" s="585">
        <f t="shared" si="1"/>
        <v>0</v>
      </c>
      <c r="J18" s="585">
        <f t="shared" si="1"/>
        <v>0</v>
      </c>
      <c r="K18" s="585">
        <f t="shared" si="1"/>
        <v>0</v>
      </c>
      <c r="L18" s="585">
        <f t="shared" si="1"/>
        <v>0</v>
      </c>
      <c r="M18" s="585">
        <f t="shared" si="1"/>
        <v>0</v>
      </c>
      <c r="N18" s="585">
        <f t="shared" si="1"/>
        <v>134516</v>
      </c>
      <c r="O18" s="883">
        <f>SUM(O6+O9+O12+O15)</f>
        <v>150482.281</v>
      </c>
    </row>
    <row r="19" spans="1:15" ht="12.75">
      <c r="A19" s="1310"/>
      <c r="B19" s="586" t="s">
        <v>473</v>
      </c>
      <c r="C19" s="585">
        <f aca="true" t="shared" si="2" ref="C19:N20">SUM(C7+C10+C13+C16)</f>
        <v>15466</v>
      </c>
      <c r="D19" s="585">
        <f t="shared" si="2"/>
        <v>0</v>
      </c>
      <c r="E19" s="585">
        <f t="shared" si="2"/>
        <v>3031</v>
      </c>
      <c r="F19" s="585">
        <f t="shared" si="2"/>
        <v>0</v>
      </c>
      <c r="G19" s="585">
        <f t="shared" si="2"/>
        <v>500</v>
      </c>
      <c r="H19" s="585">
        <f t="shared" si="2"/>
        <v>0</v>
      </c>
      <c r="I19" s="585">
        <f t="shared" si="2"/>
        <v>0</v>
      </c>
      <c r="J19" s="585">
        <f t="shared" si="2"/>
        <v>0</v>
      </c>
      <c r="K19" s="585">
        <f t="shared" si="2"/>
        <v>0</v>
      </c>
      <c r="L19" s="585">
        <f t="shared" si="2"/>
        <v>0</v>
      </c>
      <c r="M19" s="585">
        <f t="shared" si="2"/>
        <v>29686</v>
      </c>
      <c r="N19" s="585">
        <f t="shared" si="2"/>
        <v>135214</v>
      </c>
      <c r="O19" s="883">
        <f>SUM(O7+O10+O13+O16)</f>
        <v>180866</v>
      </c>
    </row>
    <row r="20" spans="1:15" ht="12.75">
      <c r="A20" s="1308"/>
      <c r="B20" s="586" t="s">
        <v>549</v>
      </c>
      <c r="C20" s="585">
        <f t="shared" si="2"/>
        <v>16303</v>
      </c>
      <c r="D20" s="585">
        <f t="shared" si="2"/>
        <v>340</v>
      </c>
      <c r="E20" s="585">
        <f t="shared" si="2"/>
        <v>3311</v>
      </c>
      <c r="F20" s="585">
        <f t="shared" si="2"/>
        <v>0</v>
      </c>
      <c r="G20" s="585">
        <f t="shared" si="2"/>
        <v>750</v>
      </c>
      <c r="H20" s="585">
        <f t="shared" si="2"/>
        <v>0</v>
      </c>
      <c r="I20" s="585">
        <f t="shared" si="2"/>
        <v>0</v>
      </c>
      <c r="J20" s="585">
        <f t="shared" si="2"/>
        <v>0</v>
      </c>
      <c r="K20" s="585">
        <f t="shared" si="2"/>
        <v>0</v>
      </c>
      <c r="L20" s="585">
        <f t="shared" si="2"/>
        <v>0</v>
      </c>
      <c r="M20" s="585">
        <f t="shared" si="2"/>
        <v>29686</v>
      </c>
      <c r="N20" s="585">
        <f t="shared" si="2"/>
        <v>135705</v>
      </c>
      <c r="O20" s="883">
        <f>SUM(O8+O11+O14+O17)</f>
        <v>182444</v>
      </c>
    </row>
    <row r="21" spans="1:15" ht="12.75">
      <c r="A21" s="1309" t="s">
        <v>781</v>
      </c>
      <c r="B21" s="584" t="s">
        <v>521</v>
      </c>
      <c r="C21" s="585">
        <f aca="true" t="shared" si="3" ref="C21:N21">SUM(C6+C9+C12+C15)</f>
        <v>15466.280999999999</v>
      </c>
      <c r="D21" s="585">
        <f t="shared" si="3"/>
        <v>0</v>
      </c>
      <c r="E21" s="585">
        <f t="shared" si="3"/>
        <v>3030.627</v>
      </c>
      <c r="F21" s="585">
        <f t="shared" si="3"/>
        <v>0</v>
      </c>
      <c r="G21" s="585">
        <f t="shared" si="3"/>
        <v>500</v>
      </c>
      <c r="H21" s="585">
        <f t="shared" si="3"/>
        <v>0</v>
      </c>
      <c r="I21" s="585">
        <f t="shared" si="3"/>
        <v>0</v>
      </c>
      <c r="J21" s="585">
        <f t="shared" si="3"/>
        <v>0</v>
      </c>
      <c r="K21" s="585">
        <f t="shared" si="3"/>
        <v>0</v>
      </c>
      <c r="L21" s="585">
        <f t="shared" si="3"/>
        <v>0</v>
      </c>
      <c r="M21" s="585">
        <f t="shared" si="3"/>
        <v>0</v>
      </c>
      <c r="N21" s="585">
        <f t="shared" si="3"/>
        <v>134516</v>
      </c>
      <c r="O21" s="807">
        <f>O18</f>
        <v>150482.281</v>
      </c>
    </row>
    <row r="22" spans="1:17" ht="13.5" thickBot="1">
      <c r="A22" s="1310"/>
      <c r="B22" s="586" t="s">
        <v>473</v>
      </c>
      <c r="C22" s="806">
        <f aca="true" t="shared" si="4" ref="C22:N22">C19</f>
        <v>15466</v>
      </c>
      <c r="D22" s="806">
        <f t="shared" si="4"/>
        <v>0</v>
      </c>
      <c r="E22" s="806">
        <f t="shared" si="4"/>
        <v>3031</v>
      </c>
      <c r="F22" s="806">
        <f t="shared" si="4"/>
        <v>0</v>
      </c>
      <c r="G22" s="806">
        <f t="shared" si="4"/>
        <v>500</v>
      </c>
      <c r="H22" s="806">
        <f t="shared" si="4"/>
        <v>0</v>
      </c>
      <c r="I22" s="806">
        <f t="shared" si="4"/>
        <v>0</v>
      </c>
      <c r="J22" s="806">
        <f t="shared" si="4"/>
        <v>0</v>
      </c>
      <c r="K22" s="806">
        <f t="shared" si="4"/>
        <v>0</v>
      </c>
      <c r="L22" s="806">
        <f t="shared" si="4"/>
        <v>0</v>
      </c>
      <c r="M22" s="806">
        <f t="shared" si="4"/>
        <v>29686</v>
      </c>
      <c r="N22" s="806">
        <f t="shared" si="4"/>
        <v>135214</v>
      </c>
      <c r="O22" s="807">
        <f>O19</f>
        <v>180866</v>
      </c>
      <c r="P22" s="601">
        <f>P19</f>
        <v>0</v>
      </c>
      <c r="Q22" s="575">
        <f>Q19</f>
        <v>0</v>
      </c>
    </row>
    <row r="23" spans="1:17" ht="13.5" thickBot="1">
      <c r="A23" s="1311"/>
      <c r="B23" s="928" t="s">
        <v>549</v>
      </c>
      <c r="C23" s="884">
        <f>C20</f>
        <v>16303</v>
      </c>
      <c r="D23" s="884">
        <f aca="true" t="shared" si="5" ref="D23:Q23">D20</f>
        <v>340</v>
      </c>
      <c r="E23" s="884">
        <f t="shared" si="5"/>
        <v>3311</v>
      </c>
      <c r="F23" s="884">
        <f t="shared" si="5"/>
        <v>0</v>
      </c>
      <c r="G23" s="884">
        <f t="shared" si="5"/>
        <v>750</v>
      </c>
      <c r="H23" s="884">
        <f t="shared" si="5"/>
        <v>0</v>
      </c>
      <c r="I23" s="884">
        <f t="shared" si="5"/>
        <v>0</v>
      </c>
      <c r="J23" s="884">
        <f t="shared" si="5"/>
        <v>0</v>
      </c>
      <c r="K23" s="884">
        <f t="shared" si="5"/>
        <v>0</v>
      </c>
      <c r="L23" s="884">
        <f t="shared" si="5"/>
        <v>0</v>
      </c>
      <c r="M23" s="884">
        <f t="shared" si="5"/>
        <v>29686</v>
      </c>
      <c r="N23" s="884">
        <f t="shared" si="5"/>
        <v>135705</v>
      </c>
      <c r="O23" s="882">
        <f t="shared" si="5"/>
        <v>182444</v>
      </c>
      <c r="P23" s="885">
        <f t="shared" si="5"/>
        <v>0</v>
      </c>
      <c r="Q23" s="884">
        <f t="shared" si="5"/>
        <v>0</v>
      </c>
    </row>
    <row r="24" spans="1:15" ht="12.75">
      <c r="A24" s="151"/>
      <c r="B24" s="151"/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</row>
    <row r="25" spans="1:15" ht="12.75">
      <c r="A25" s="588"/>
      <c r="B25" s="588"/>
      <c r="C25" s="58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8"/>
      <c r="O25" s="588"/>
    </row>
    <row r="26" spans="1:15" ht="12.75">
      <c r="A26" s="588"/>
      <c r="B26" s="588"/>
      <c r="C26" s="588"/>
      <c r="D26" s="588"/>
      <c r="E26" s="588"/>
      <c r="F26" s="588"/>
      <c r="G26" s="588"/>
      <c r="H26" s="588"/>
      <c r="I26" s="588"/>
      <c r="J26" s="588"/>
      <c r="K26" s="588"/>
      <c r="L26" s="588"/>
      <c r="M26" s="588"/>
      <c r="N26" s="588"/>
      <c r="O26" s="588"/>
    </row>
    <row r="27" spans="1:11" ht="18.75" customHeight="1">
      <c r="A27" s="1312" t="s">
        <v>782</v>
      </c>
      <c r="B27" s="1313"/>
      <c r="C27" s="1313"/>
      <c r="D27" s="1313"/>
      <c r="E27" s="1313"/>
      <c r="F27" s="1313"/>
      <c r="G27" s="1313"/>
      <c r="H27" s="1313"/>
      <c r="I27" s="1313"/>
      <c r="J27" s="1313"/>
      <c r="K27" s="1313"/>
    </row>
    <row r="28" spans="1:11" ht="18.75" customHeight="1" thickBot="1">
      <c r="A28" s="151"/>
      <c r="B28" s="589"/>
      <c r="C28" s="589"/>
      <c r="D28" s="589"/>
      <c r="E28" s="589"/>
      <c r="F28" s="589"/>
      <c r="G28" s="589"/>
      <c r="H28" s="589"/>
      <c r="I28" s="589"/>
      <c r="J28" s="589"/>
      <c r="K28" s="589"/>
    </row>
    <row r="29" spans="1:11" ht="18.75" customHeight="1">
      <c r="A29" s="1314" t="s">
        <v>771</v>
      </c>
      <c r="B29" s="1315"/>
      <c r="C29" s="1318" t="s">
        <v>722</v>
      </c>
      <c r="D29" s="1318"/>
      <c r="E29" s="1318"/>
      <c r="F29" s="1318"/>
      <c r="G29" s="1318"/>
      <c r="H29" s="153"/>
      <c r="I29" s="1318" t="s">
        <v>723</v>
      </c>
      <c r="J29" s="1318"/>
      <c r="K29" s="1319" t="s">
        <v>724</v>
      </c>
    </row>
    <row r="30" spans="1:11" ht="18.75" customHeight="1">
      <c r="A30" s="1316"/>
      <c r="B30" s="1317"/>
      <c r="C30" s="152" t="s">
        <v>656</v>
      </c>
      <c r="D30" s="152" t="s">
        <v>729</v>
      </c>
      <c r="E30" s="152" t="s">
        <v>783</v>
      </c>
      <c r="F30" s="152" t="s">
        <v>784</v>
      </c>
      <c r="G30" s="152" t="s">
        <v>785</v>
      </c>
      <c r="H30" s="152" t="s">
        <v>786</v>
      </c>
      <c r="I30" s="152" t="s">
        <v>680</v>
      </c>
      <c r="J30" s="152" t="s">
        <v>682</v>
      </c>
      <c r="K30" s="1320"/>
    </row>
    <row r="31" spans="1:12" ht="12.75" customHeight="1">
      <c r="A31" s="1306" t="s">
        <v>777</v>
      </c>
      <c r="B31" s="578" t="s">
        <v>521</v>
      </c>
      <c r="C31" s="579">
        <v>56519</v>
      </c>
      <c r="D31" s="579">
        <v>15089</v>
      </c>
      <c r="E31" s="579">
        <f>48195487/1000</f>
        <v>48195.487</v>
      </c>
      <c r="F31" s="579">
        <v>0</v>
      </c>
      <c r="G31" s="579">
        <v>0</v>
      </c>
      <c r="H31" s="579">
        <v>0</v>
      </c>
      <c r="I31" s="579">
        <v>1635</v>
      </c>
      <c r="J31" s="579">
        <v>10923</v>
      </c>
      <c r="K31" s="580">
        <f>SUM(C31:J31)</f>
        <v>132361.487</v>
      </c>
      <c r="L31" s="590"/>
    </row>
    <row r="32" spans="1:12" ht="12.75" customHeight="1">
      <c r="A32" s="1307"/>
      <c r="B32" s="581" t="s">
        <v>473</v>
      </c>
      <c r="C32" s="582">
        <v>46495</v>
      </c>
      <c r="D32" s="582">
        <v>12504</v>
      </c>
      <c r="E32" s="582">
        <v>67800</v>
      </c>
      <c r="F32" s="582">
        <v>0</v>
      </c>
      <c r="G32" s="582">
        <v>0</v>
      </c>
      <c r="H32" s="582">
        <v>0</v>
      </c>
      <c r="I32" s="582">
        <v>3856</v>
      </c>
      <c r="J32" s="582">
        <v>10923</v>
      </c>
      <c r="K32" s="583">
        <f aca="true" t="shared" si="6" ref="K32:K42">SUM(C32:J32)</f>
        <v>141578</v>
      </c>
      <c r="L32" s="590"/>
    </row>
    <row r="33" spans="1:12" ht="12.75" customHeight="1">
      <c r="A33" s="1308"/>
      <c r="B33" s="581" t="s">
        <v>549</v>
      </c>
      <c r="C33" s="582">
        <v>47675</v>
      </c>
      <c r="D33" s="582">
        <v>12902</v>
      </c>
      <c r="E33" s="582">
        <v>67800</v>
      </c>
      <c r="F33" s="582">
        <v>0</v>
      </c>
      <c r="G33" s="582">
        <v>0</v>
      </c>
      <c r="H33" s="582">
        <v>0</v>
      </c>
      <c r="I33" s="582">
        <v>3856</v>
      </c>
      <c r="J33" s="582">
        <v>10923</v>
      </c>
      <c r="K33" s="583">
        <f t="shared" si="6"/>
        <v>143156</v>
      </c>
      <c r="L33" s="590"/>
    </row>
    <row r="34" spans="1:12" ht="12.75" customHeight="1">
      <c r="A34" s="1321" t="s">
        <v>778</v>
      </c>
      <c r="B34" s="578" t="s">
        <v>521</v>
      </c>
      <c r="C34" s="579">
        <v>0</v>
      </c>
      <c r="D34" s="579">
        <f>C34*0.27</f>
        <v>0</v>
      </c>
      <c r="E34" s="579">
        <v>0</v>
      </c>
      <c r="F34" s="579">
        <v>0</v>
      </c>
      <c r="G34" s="579">
        <v>0</v>
      </c>
      <c r="H34" s="579">
        <v>0</v>
      </c>
      <c r="I34" s="579">
        <v>0</v>
      </c>
      <c r="J34" s="579">
        <v>0</v>
      </c>
      <c r="K34" s="583">
        <f t="shared" si="6"/>
        <v>0</v>
      </c>
      <c r="L34" s="590"/>
    </row>
    <row r="35" spans="1:12" ht="12.75" customHeight="1">
      <c r="A35" s="1322"/>
      <c r="B35" s="581" t="s">
        <v>473</v>
      </c>
      <c r="C35" s="582">
        <v>16368</v>
      </c>
      <c r="D35" s="582">
        <v>4419</v>
      </c>
      <c r="E35" s="582">
        <v>130</v>
      </c>
      <c r="F35" s="582">
        <v>0</v>
      </c>
      <c r="G35" s="582">
        <v>0</v>
      </c>
      <c r="H35" s="582">
        <v>0</v>
      </c>
      <c r="I35" s="582">
        <v>250</v>
      </c>
      <c r="J35" s="582">
        <v>0</v>
      </c>
      <c r="K35" s="583">
        <f t="shared" si="6"/>
        <v>21167</v>
      </c>
      <c r="L35" s="590"/>
    </row>
    <row r="36" spans="1:12" ht="12.75" customHeight="1">
      <c r="A36" s="1304"/>
      <c r="B36" s="581" t="s">
        <v>549</v>
      </c>
      <c r="C36" s="582">
        <v>16368</v>
      </c>
      <c r="D36" s="582">
        <v>4419</v>
      </c>
      <c r="E36" s="582">
        <v>130</v>
      </c>
      <c r="F36" s="582">
        <v>0</v>
      </c>
      <c r="G36" s="582">
        <v>0</v>
      </c>
      <c r="H36" s="582">
        <v>0</v>
      </c>
      <c r="I36" s="582">
        <v>250</v>
      </c>
      <c r="J36" s="582">
        <v>0</v>
      </c>
      <c r="K36" s="583">
        <f t="shared" si="6"/>
        <v>21167</v>
      </c>
      <c r="L36" s="590"/>
    </row>
    <row r="37" spans="1:12" ht="12.75" customHeight="1">
      <c r="A37" s="1321" t="s">
        <v>779</v>
      </c>
      <c r="B37" s="578" t="s">
        <v>521</v>
      </c>
      <c r="C37" s="579">
        <f>1536000/1000</f>
        <v>1536</v>
      </c>
      <c r="D37" s="579">
        <f>C37*0.27</f>
        <v>414.72</v>
      </c>
      <c r="E37" s="579">
        <v>0</v>
      </c>
      <c r="F37" s="579">
        <v>0</v>
      </c>
      <c r="G37" s="579">
        <v>0</v>
      </c>
      <c r="H37" s="579">
        <v>0</v>
      </c>
      <c r="I37" s="579">
        <v>0</v>
      </c>
      <c r="J37" s="579">
        <v>0</v>
      </c>
      <c r="K37" s="583">
        <f t="shared" si="6"/>
        <v>1950.72</v>
      </c>
      <c r="L37" s="590"/>
    </row>
    <row r="38" spans="1:12" ht="12.75" customHeight="1">
      <c r="A38" s="1322"/>
      <c r="B38" s="581" t="s">
        <v>473</v>
      </c>
      <c r="C38" s="582">
        <v>1536</v>
      </c>
      <c r="D38" s="582">
        <v>415</v>
      </c>
      <c r="E38" s="582">
        <v>0</v>
      </c>
      <c r="F38" s="582">
        <v>0</v>
      </c>
      <c r="G38" s="582">
        <v>0</v>
      </c>
      <c r="H38" s="582">
        <v>0</v>
      </c>
      <c r="I38" s="582">
        <v>0</v>
      </c>
      <c r="J38" s="582">
        <v>0</v>
      </c>
      <c r="K38" s="583">
        <f t="shared" si="6"/>
        <v>1951</v>
      </c>
      <c r="L38" s="590"/>
    </row>
    <row r="39" spans="1:12" ht="12.75" customHeight="1">
      <c r="A39" s="1304"/>
      <c r="B39" s="581" t="s">
        <v>549</v>
      </c>
      <c r="C39" s="582">
        <v>1536</v>
      </c>
      <c r="D39" s="582">
        <v>415</v>
      </c>
      <c r="E39" s="582">
        <v>0</v>
      </c>
      <c r="F39" s="582">
        <v>0</v>
      </c>
      <c r="G39" s="582">
        <v>0</v>
      </c>
      <c r="H39" s="582">
        <v>0</v>
      </c>
      <c r="I39" s="582">
        <v>0</v>
      </c>
      <c r="J39" s="582">
        <v>0</v>
      </c>
      <c r="K39" s="583">
        <f t="shared" si="6"/>
        <v>1951</v>
      </c>
      <c r="L39" s="590"/>
    </row>
    <row r="40" spans="1:12" ht="12.75" customHeight="1">
      <c r="A40" s="1321" t="s">
        <v>780</v>
      </c>
      <c r="B40" s="578" t="s">
        <v>521</v>
      </c>
      <c r="C40" s="579">
        <f>12732213/1000</f>
        <v>12732.213</v>
      </c>
      <c r="D40" s="579">
        <f>C40*0.27</f>
        <v>3437.69751</v>
      </c>
      <c r="E40" s="579">
        <v>0</v>
      </c>
      <c r="F40" s="579">
        <v>0</v>
      </c>
      <c r="G40" s="579">
        <v>0</v>
      </c>
      <c r="H40" s="579">
        <v>0</v>
      </c>
      <c r="I40" s="579">
        <v>0</v>
      </c>
      <c r="J40" s="579">
        <v>0</v>
      </c>
      <c r="K40" s="583">
        <f t="shared" si="6"/>
        <v>16169.91051</v>
      </c>
      <c r="L40" s="590"/>
    </row>
    <row r="41" spans="1:12" ht="12.75" customHeight="1">
      <c r="A41" s="1322"/>
      <c r="B41" s="581" t="s">
        <v>473</v>
      </c>
      <c r="C41" s="582">
        <v>12732</v>
      </c>
      <c r="D41" s="582">
        <v>3438</v>
      </c>
      <c r="E41" s="582">
        <v>0</v>
      </c>
      <c r="F41" s="582">
        <v>0</v>
      </c>
      <c r="G41" s="582">
        <v>0</v>
      </c>
      <c r="H41" s="582">
        <v>0</v>
      </c>
      <c r="I41" s="582">
        <v>0</v>
      </c>
      <c r="J41" s="582">
        <v>0</v>
      </c>
      <c r="K41" s="583">
        <f t="shared" si="6"/>
        <v>16170</v>
      </c>
      <c r="L41" s="590"/>
    </row>
    <row r="42" spans="1:12" ht="12.75" customHeight="1">
      <c r="A42" s="1304"/>
      <c r="B42" s="581" t="s">
        <v>549</v>
      </c>
      <c r="C42" s="582">
        <v>12732</v>
      </c>
      <c r="D42" s="582">
        <v>3438</v>
      </c>
      <c r="E42" s="582">
        <v>0</v>
      </c>
      <c r="F42" s="582">
        <v>0</v>
      </c>
      <c r="G42" s="582">
        <v>0</v>
      </c>
      <c r="H42" s="582">
        <v>0</v>
      </c>
      <c r="I42" s="582">
        <v>0</v>
      </c>
      <c r="J42" s="582">
        <v>0</v>
      </c>
      <c r="K42" s="583">
        <f t="shared" si="6"/>
        <v>16170</v>
      </c>
      <c r="L42" s="590"/>
    </row>
    <row r="43" spans="1:12" ht="12.75" customHeight="1">
      <c r="A43" s="1302" t="s">
        <v>520</v>
      </c>
      <c r="B43" s="584" t="s">
        <v>521</v>
      </c>
      <c r="C43" s="585">
        <f aca="true" t="shared" si="7" ref="C43:J43">C31+C37+C40</f>
        <v>70787.213</v>
      </c>
      <c r="D43" s="585">
        <f t="shared" si="7"/>
        <v>18941.41751</v>
      </c>
      <c r="E43" s="585">
        <f t="shared" si="7"/>
        <v>48195.487</v>
      </c>
      <c r="F43" s="585">
        <f t="shared" si="7"/>
        <v>0</v>
      </c>
      <c r="G43" s="585">
        <f t="shared" si="7"/>
        <v>0</v>
      </c>
      <c r="H43" s="585">
        <f t="shared" si="7"/>
        <v>0</v>
      </c>
      <c r="I43" s="585">
        <f t="shared" si="7"/>
        <v>1635</v>
      </c>
      <c r="J43" s="585">
        <f t="shared" si="7"/>
        <v>10923</v>
      </c>
      <c r="K43" s="591">
        <f aca="true" t="shared" si="8" ref="C43:K45">K31+K34+K37+K40</f>
        <v>150482.11750999998</v>
      </c>
      <c r="L43" s="590"/>
    </row>
    <row r="44" spans="1:12" ht="12.75" customHeight="1">
      <c r="A44" s="1303"/>
      <c r="B44" s="586" t="s">
        <v>473</v>
      </c>
      <c r="C44" s="587">
        <f t="shared" si="8"/>
        <v>77131</v>
      </c>
      <c r="D44" s="587">
        <f t="shared" si="8"/>
        <v>20776</v>
      </c>
      <c r="E44" s="587">
        <f t="shared" si="8"/>
        <v>67930</v>
      </c>
      <c r="F44" s="587">
        <f t="shared" si="8"/>
        <v>0</v>
      </c>
      <c r="G44" s="587">
        <f t="shared" si="8"/>
        <v>0</v>
      </c>
      <c r="H44" s="587">
        <f t="shared" si="8"/>
        <v>0</v>
      </c>
      <c r="I44" s="587">
        <f t="shared" si="8"/>
        <v>4106</v>
      </c>
      <c r="J44" s="587">
        <f t="shared" si="8"/>
        <v>10923</v>
      </c>
      <c r="K44" s="591">
        <f>K32+K35+K38+K41</f>
        <v>180866</v>
      </c>
      <c r="L44" s="590"/>
    </row>
    <row r="45" spans="1:12" ht="12.75" customHeight="1">
      <c r="A45" s="1304"/>
      <c r="B45" s="586" t="s">
        <v>549</v>
      </c>
      <c r="C45" s="587">
        <f t="shared" si="8"/>
        <v>78311</v>
      </c>
      <c r="D45" s="587">
        <f t="shared" si="8"/>
        <v>21174</v>
      </c>
      <c r="E45" s="587">
        <f t="shared" si="8"/>
        <v>67930</v>
      </c>
      <c r="F45" s="587">
        <f t="shared" si="8"/>
        <v>0</v>
      </c>
      <c r="G45" s="587">
        <f t="shared" si="8"/>
        <v>0</v>
      </c>
      <c r="H45" s="587">
        <f t="shared" si="8"/>
        <v>0</v>
      </c>
      <c r="I45" s="587">
        <f t="shared" si="8"/>
        <v>4106</v>
      </c>
      <c r="J45" s="587">
        <f t="shared" si="8"/>
        <v>10923</v>
      </c>
      <c r="K45" s="591">
        <f>K33+K36+K39+K42</f>
        <v>182444</v>
      </c>
      <c r="L45" s="590"/>
    </row>
    <row r="46" spans="1:12" ht="12.75" customHeight="1">
      <c r="A46" s="1302" t="s">
        <v>781</v>
      </c>
      <c r="B46" s="584" t="s">
        <v>521</v>
      </c>
      <c r="C46" s="585">
        <f aca="true" t="shared" si="9" ref="C46:J46">SUM(C31+C34+C37+C40)</f>
        <v>70787.213</v>
      </c>
      <c r="D46" s="585">
        <f t="shared" si="9"/>
        <v>18941.41751</v>
      </c>
      <c r="E46" s="585">
        <f t="shared" si="9"/>
        <v>48195.487</v>
      </c>
      <c r="F46" s="585">
        <f t="shared" si="9"/>
        <v>0</v>
      </c>
      <c r="G46" s="585">
        <f t="shared" si="9"/>
        <v>0</v>
      </c>
      <c r="H46" s="585">
        <f t="shared" si="9"/>
        <v>0</v>
      </c>
      <c r="I46" s="585">
        <f t="shared" si="9"/>
        <v>1635</v>
      </c>
      <c r="J46" s="585">
        <f t="shared" si="9"/>
        <v>10923</v>
      </c>
      <c r="K46" s="810">
        <f aca="true" t="shared" si="10" ref="D46:K47">K43</f>
        <v>150482.11750999998</v>
      </c>
      <c r="L46" s="590"/>
    </row>
    <row r="47" spans="1:12" ht="12.75" customHeight="1">
      <c r="A47" s="1303"/>
      <c r="B47" s="808" t="s">
        <v>473</v>
      </c>
      <c r="C47" s="809">
        <f>C44</f>
        <v>77131</v>
      </c>
      <c r="D47" s="809">
        <f t="shared" si="10"/>
        <v>20776</v>
      </c>
      <c r="E47" s="809">
        <f t="shared" si="10"/>
        <v>67930</v>
      </c>
      <c r="F47" s="809">
        <f t="shared" si="10"/>
        <v>0</v>
      </c>
      <c r="G47" s="809">
        <f t="shared" si="10"/>
        <v>0</v>
      </c>
      <c r="H47" s="809">
        <f t="shared" si="10"/>
        <v>0</v>
      </c>
      <c r="I47" s="809">
        <f t="shared" si="10"/>
        <v>4106</v>
      </c>
      <c r="J47" s="809">
        <f t="shared" si="10"/>
        <v>10923</v>
      </c>
      <c r="K47" s="810">
        <f>K44</f>
        <v>180866</v>
      </c>
      <c r="L47" s="590"/>
    </row>
    <row r="48" spans="1:11" ht="12.75" customHeight="1" thickBot="1">
      <c r="A48" s="1305"/>
      <c r="B48" s="928" t="s">
        <v>549</v>
      </c>
      <c r="C48" s="880">
        <f>C45</f>
        <v>78311</v>
      </c>
      <c r="D48" s="880">
        <f aca="true" t="shared" si="11" ref="D48:K48">D45</f>
        <v>21174</v>
      </c>
      <c r="E48" s="880">
        <f t="shared" si="11"/>
        <v>67930</v>
      </c>
      <c r="F48" s="880">
        <f t="shared" si="11"/>
        <v>0</v>
      </c>
      <c r="G48" s="880">
        <f t="shared" si="11"/>
        <v>0</v>
      </c>
      <c r="H48" s="880">
        <f t="shared" si="11"/>
        <v>0</v>
      </c>
      <c r="I48" s="880">
        <f t="shared" si="11"/>
        <v>4106</v>
      </c>
      <c r="J48" s="880">
        <f t="shared" si="11"/>
        <v>10923</v>
      </c>
      <c r="K48" s="881">
        <f t="shared" si="11"/>
        <v>182444</v>
      </c>
    </row>
  </sheetData>
  <mergeCells count="29">
    <mergeCell ref="A40:A42"/>
    <mergeCell ref="K29:K30"/>
    <mergeCell ref="A31:A33"/>
    <mergeCell ref="A34:A36"/>
    <mergeCell ref="A37:A39"/>
    <mergeCell ref="L4:M4"/>
    <mergeCell ref="N4:N5"/>
    <mergeCell ref="A6:A8"/>
    <mergeCell ref="A9:A11"/>
    <mergeCell ref="A1:O1"/>
    <mergeCell ref="A2:O2"/>
    <mergeCell ref="A4:B5"/>
    <mergeCell ref="C4:C5"/>
    <mergeCell ref="D4:E4"/>
    <mergeCell ref="F4:F5"/>
    <mergeCell ref="G4:H4"/>
    <mergeCell ref="O4:O5"/>
    <mergeCell ref="I4:J4"/>
    <mergeCell ref="K4:K5"/>
    <mergeCell ref="A43:A45"/>
    <mergeCell ref="A46:A48"/>
    <mergeCell ref="A12:A14"/>
    <mergeCell ref="A15:A17"/>
    <mergeCell ref="A18:A20"/>
    <mergeCell ref="A21:A23"/>
    <mergeCell ref="A27:K27"/>
    <mergeCell ref="A29:B30"/>
    <mergeCell ref="C29:G29"/>
    <mergeCell ref="I29:J29"/>
  </mergeCells>
  <printOptions horizontalCentered="1"/>
  <pageMargins left="0.2362204724409449" right="0.35433070866141736" top="1.13" bottom="0.29" header="0.63" footer="0.37"/>
  <pageSetup horizontalDpi="600" verticalDpi="600" orientation="landscape" paperSize="9" scale="69" r:id="rId1"/>
  <headerFooter alignWithMargins="0">
    <oddHeader>&amp;L7. melléklet a 24/2013.(IX.13.)önkormányzati rendelethez
"7. melléklet az 1/2013.(II.01.) önkormányzati rendelethez"</oddHeader>
  </headerFooter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6"/>
  <sheetViews>
    <sheetView view="pageBreakPreview" zoomScaleSheetLayoutView="100" workbookViewId="0" topLeftCell="A85">
      <selection activeCell="D74" sqref="A74:D74"/>
    </sheetView>
  </sheetViews>
  <sheetFormatPr defaultColWidth="9.00390625" defaultRowHeight="12.75"/>
  <cols>
    <col min="1" max="1" width="95.375" style="154" customWidth="1"/>
    <col min="2" max="2" width="10.375" style="155" customWidth="1"/>
    <col min="3" max="3" width="12.00390625" style="155" customWidth="1"/>
    <col min="4" max="4" width="12.75390625" style="172" customWidth="1"/>
    <col min="5" max="5" width="9.75390625" style="154" bestFit="1" customWidth="1"/>
    <col min="6" max="16384" width="9.125" style="154" customWidth="1"/>
  </cols>
  <sheetData>
    <row r="1" spans="2:3" ht="12.75">
      <c r="B1" s="154"/>
      <c r="C1" s="154"/>
    </row>
    <row r="2" spans="1:4" ht="15.75">
      <c r="A2" s="1323" t="s">
        <v>787</v>
      </c>
      <c r="B2" s="1323"/>
      <c r="C2" s="1323"/>
      <c r="D2" s="1323"/>
    </row>
    <row r="3" spans="1:4" ht="15.75">
      <c r="A3" s="1324" t="s">
        <v>788</v>
      </c>
      <c r="B3" s="1324"/>
      <c r="C3" s="1324"/>
      <c r="D3" s="1324"/>
    </row>
    <row r="4" ht="13.5" thickBot="1"/>
    <row r="5" spans="1:4" s="158" customFormat="1" ht="12.75">
      <c r="A5" s="156" t="s">
        <v>789</v>
      </c>
      <c r="B5" s="157" t="s">
        <v>521</v>
      </c>
      <c r="C5" s="157" t="s">
        <v>473</v>
      </c>
      <c r="D5" s="812" t="s">
        <v>549</v>
      </c>
    </row>
    <row r="6" spans="1:4" ht="12.75">
      <c r="A6" s="159"/>
      <c r="B6" s="160"/>
      <c r="C6" s="160"/>
      <c r="D6" s="813"/>
    </row>
    <row r="7" spans="1:4" ht="12.75">
      <c r="A7" s="161" t="s">
        <v>514</v>
      </c>
      <c r="B7" s="162">
        <f>SUM(B9,B30,B45)</f>
        <v>2129489</v>
      </c>
      <c r="C7" s="162">
        <f>SUM(C9,C30,C45)</f>
        <v>2660561</v>
      </c>
      <c r="D7" s="814">
        <f>SUM(D9,D30,D45)</f>
        <v>2700594</v>
      </c>
    </row>
    <row r="8" spans="1:4" ht="12.75">
      <c r="A8" s="159"/>
      <c r="B8" s="160"/>
      <c r="C8" s="160"/>
      <c r="D8" s="813"/>
    </row>
    <row r="9" spans="1:4" ht="12.75">
      <c r="A9" s="161" t="s">
        <v>790</v>
      </c>
      <c r="B9" s="162">
        <f>SUM(B10:B23)</f>
        <v>1975848</v>
      </c>
      <c r="C9" s="162">
        <f>SUM(C10:C27)</f>
        <v>2453156</v>
      </c>
      <c r="D9" s="814">
        <f>SUM(D10:D28)</f>
        <v>2429743</v>
      </c>
    </row>
    <row r="10" spans="1:5" s="163" customFormat="1" ht="12.75">
      <c r="A10" s="159" t="s">
        <v>791</v>
      </c>
      <c r="B10" s="160">
        <v>443330</v>
      </c>
      <c r="C10" s="160">
        <v>443330</v>
      </c>
      <c r="D10" s="813">
        <v>443330</v>
      </c>
      <c r="E10" s="1061">
        <f aca="true" t="shared" si="0" ref="E10:E33">D10-C10</f>
        <v>0</v>
      </c>
    </row>
    <row r="11" spans="1:5" s="163" customFormat="1" ht="25.5">
      <c r="A11" s="164" t="s">
        <v>792</v>
      </c>
      <c r="B11" s="160">
        <v>1400</v>
      </c>
      <c r="C11" s="160">
        <v>1400</v>
      </c>
      <c r="D11" s="813">
        <v>1400</v>
      </c>
      <c r="E11" s="1061">
        <f t="shared" si="0"/>
        <v>0</v>
      </c>
    </row>
    <row r="12" spans="1:5" s="163" customFormat="1" ht="25.5">
      <c r="A12" s="164" t="s">
        <v>793</v>
      </c>
      <c r="B12" s="160">
        <v>404270</v>
      </c>
      <c r="C12" s="160">
        <v>404270</v>
      </c>
      <c r="D12" s="813">
        <v>404270</v>
      </c>
      <c r="E12" s="1061">
        <f t="shared" si="0"/>
        <v>0</v>
      </c>
    </row>
    <row r="13" spans="1:5" s="163" customFormat="1" ht="12.75">
      <c r="A13" s="159" t="s">
        <v>794</v>
      </c>
      <c r="B13" s="160">
        <v>500000</v>
      </c>
      <c r="C13" s="160">
        <v>500000</v>
      </c>
      <c r="D13" s="813">
        <v>500000</v>
      </c>
      <c r="E13" s="1061">
        <f t="shared" si="0"/>
        <v>0</v>
      </c>
    </row>
    <row r="14" spans="1:5" s="163" customFormat="1" ht="12.75">
      <c r="A14" s="159" t="s">
        <v>795</v>
      </c>
      <c r="B14" s="160">
        <v>5341</v>
      </c>
      <c r="C14" s="160">
        <v>5341</v>
      </c>
      <c r="D14" s="813">
        <v>5341</v>
      </c>
      <c r="E14" s="1061">
        <f t="shared" si="0"/>
        <v>0</v>
      </c>
    </row>
    <row r="15" spans="1:5" s="163" customFormat="1" ht="12.75">
      <c r="A15" s="159" t="s">
        <v>796</v>
      </c>
      <c r="B15" s="160">
        <v>25000</v>
      </c>
      <c r="C15" s="160">
        <v>25000</v>
      </c>
      <c r="D15" s="813">
        <f>25000-20000-4000-835-165</f>
        <v>0</v>
      </c>
      <c r="E15" s="1061">
        <f t="shared" si="0"/>
        <v>-25000</v>
      </c>
    </row>
    <row r="16" spans="1:5" s="163" customFormat="1" ht="12.75">
      <c r="A16" s="159" t="s">
        <v>797</v>
      </c>
      <c r="B16" s="160">
        <v>5000</v>
      </c>
      <c r="C16" s="160">
        <v>5000</v>
      </c>
      <c r="D16" s="813">
        <v>5000</v>
      </c>
      <c r="E16" s="1061">
        <f t="shared" si="0"/>
        <v>0</v>
      </c>
    </row>
    <row r="17" spans="1:5" s="163" customFormat="1" ht="12.75">
      <c r="A17" s="159" t="s">
        <v>798</v>
      </c>
      <c r="B17" s="160">
        <v>2000</v>
      </c>
      <c r="C17" s="160">
        <v>2000</v>
      </c>
      <c r="D17" s="813">
        <f>2000-1105</f>
        <v>895</v>
      </c>
      <c r="E17" s="1061">
        <f t="shared" si="0"/>
        <v>-1105</v>
      </c>
    </row>
    <row r="18" spans="1:5" s="163" customFormat="1" ht="12.75">
      <c r="A18" s="159" t="s">
        <v>799</v>
      </c>
      <c r="B18" s="160">
        <v>15000</v>
      </c>
      <c r="C18" s="160">
        <v>15000</v>
      </c>
      <c r="D18" s="813">
        <v>15000</v>
      </c>
      <c r="E18" s="1061">
        <f t="shared" si="0"/>
        <v>0</v>
      </c>
    </row>
    <row r="19" spans="1:5" s="163" customFormat="1" ht="12.75">
      <c r="A19" s="159" t="s">
        <v>800</v>
      </c>
      <c r="B19" s="160">
        <v>81290</v>
      </c>
      <c r="C19" s="160">
        <v>81290</v>
      </c>
      <c r="D19" s="813">
        <v>81290</v>
      </c>
      <c r="E19" s="1061">
        <f t="shared" si="0"/>
        <v>0</v>
      </c>
    </row>
    <row r="20" spans="1:5" s="163" customFormat="1" ht="25.5">
      <c r="A20" s="164" t="s">
        <v>801</v>
      </c>
      <c r="B20" s="160">
        <v>456866</v>
      </c>
      <c r="C20" s="160">
        <v>456866</v>
      </c>
      <c r="D20" s="813">
        <v>456866</v>
      </c>
      <c r="E20" s="1061">
        <f t="shared" si="0"/>
        <v>0</v>
      </c>
    </row>
    <row r="21" spans="1:5" s="163" customFormat="1" ht="12.75">
      <c r="A21" s="159" t="s">
        <v>802</v>
      </c>
      <c r="B21" s="160">
        <v>13925</v>
      </c>
      <c r="C21" s="160">
        <v>13925</v>
      </c>
      <c r="D21" s="813">
        <v>13925</v>
      </c>
      <c r="E21" s="1061">
        <f t="shared" si="0"/>
        <v>0</v>
      </c>
    </row>
    <row r="22" spans="1:5" s="163" customFormat="1" ht="12.75">
      <c r="A22" s="159" t="s">
        <v>803</v>
      </c>
      <c r="B22" s="160">
        <v>17426</v>
      </c>
      <c r="C22" s="160">
        <v>17426</v>
      </c>
      <c r="D22" s="813">
        <f>17426-445</f>
        <v>16981</v>
      </c>
      <c r="E22" s="1061">
        <f t="shared" si="0"/>
        <v>-445</v>
      </c>
    </row>
    <row r="23" spans="1:5" s="163" customFormat="1" ht="12.75">
      <c r="A23" s="159" t="s">
        <v>403</v>
      </c>
      <c r="B23" s="160">
        <v>5000</v>
      </c>
      <c r="C23" s="160">
        <f>B23+4732+138121</f>
        <v>147853</v>
      </c>
      <c r="D23" s="813">
        <v>147853</v>
      </c>
      <c r="E23" s="1061">
        <f t="shared" si="0"/>
        <v>0</v>
      </c>
    </row>
    <row r="24" spans="1:5" s="163" customFormat="1" ht="25.5">
      <c r="A24" s="164" t="s">
        <v>848</v>
      </c>
      <c r="B24" s="160"/>
      <c r="C24" s="160">
        <v>46350</v>
      </c>
      <c r="D24" s="813">
        <v>46350</v>
      </c>
      <c r="E24" s="1061">
        <f t="shared" si="0"/>
        <v>0</v>
      </c>
    </row>
    <row r="25" spans="1:5" s="163" customFormat="1" ht="12.75">
      <c r="A25" s="159" t="s">
        <v>847</v>
      </c>
      <c r="B25" s="160"/>
      <c r="C25" s="160">
        <f>90625+3125</f>
        <v>93750</v>
      </c>
      <c r="D25" s="813">
        <v>93750</v>
      </c>
      <c r="E25" s="1061">
        <f t="shared" si="0"/>
        <v>0</v>
      </c>
    </row>
    <row r="26" spans="1:5" s="163" customFormat="1" ht="12.75">
      <c r="A26" s="159" t="s">
        <v>843</v>
      </c>
      <c r="B26" s="160"/>
      <c r="C26" s="160">
        <v>185000</v>
      </c>
      <c r="D26" s="813">
        <v>185000</v>
      </c>
      <c r="E26" s="1061">
        <f t="shared" si="0"/>
        <v>0</v>
      </c>
    </row>
    <row r="27" spans="1:5" s="163" customFormat="1" ht="12.75">
      <c r="A27" s="159" t="s">
        <v>404</v>
      </c>
      <c r="B27" s="160"/>
      <c r="C27" s="160">
        <f>7240+2115</f>
        <v>9355</v>
      </c>
      <c r="D27" s="813">
        <v>9355</v>
      </c>
      <c r="E27" s="1061">
        <f t="shared" si="0"/>
        <v>0</v>
      </c>
    </row>
    <row r="28" spans="1:5" s="163" customFormat="1" ht="25.5">
      <c r="A28" s="164" t="s">
        <v>240</v>
      </c>
      <c r="B28" s="160"/>
      <c r="C28" s="160"/>
      <c r="D28" s="813">
        <v>3137</v>
      </c>
      <c r="E28" s="1061">
        <f t="shared" si="0"/>
        <v>3137</v>
      </c>
    </row>
    <row r="29" spans="1:5" s="163" customFormat="1" ht="12.75">
      <c r="A29" s="159"/>
      <c r="B29" s="160"/>
      <c r="C29" s="160"/>
      <c r="D29" s="813"/>
      <c r="E29" s="1061">
        <f t="shared" si="0"/>
        <v>0</v>
      </c>
    </row>
    <row r="30" spans="1:5" ht="12.75">
      <c r="A30" s="161" t="s">
        <v>804</v>
      </c>
      <c r="B30" s="162">
        <f>SUM(B31:B34)</f>
        <v>11182</v>
      </c>
      <c r="C30" s="162">
        <f>SUM(C31:C38)</f>
        <v>84946</v>
      </c>
      <c r="D30" s="814">
        <f>SUM(D31:D43)</f>
        <v>150479</v>
      </c>
      <c r="E30" s="1061">
        <f t="shared" si="0"/>
        <v>65533</v>
      </c>
    </row>
    <row r="31" spans="1:5" s="163" customFormat="1" ht="12.75">
      <c r="A31" s="159" t="s">
        <v>805</v>
      </c>
      <c r="B31" s="160">
        <v>2000</v>
      </c>
      <c r="C31" s="160">
        <v>2000</v>
      </c>
      <c r="D31" s="813">
        <v>2000</v>
      </c>
      <c r="E31" s="1061">
        <f t="shared" si="0"/>
        <v>0</v>
      </c>
    </row>
    <row r="32" spans="1:5" s="163" customFormat="1" ht="12.75">
      <c r="A32" s="159" t="s">
        <v>806</v>
      </c>
      <c r="B32" s="160">
        <v>2832</v>
      </c>
      <c r="C32" s="160">
        <v>2832</v>
      </c>
      <c r="D32" s="813">
        <v>2832</v>
      </c>
      <c r="E32" s="1061">
        <f t="shared" si="0"/>
        <v>0</v>
      </c>
    </row>
    <row r="33" spans="1:5" s="163" customFormat="1" ht="12.75">
      <c r="A33" s="159" t="s">
        <v>807</v>
      </c>
      <c r="B33" s="160">
        <v>2159</v>
      </c>
      <c r="C33" s="160">
        <v>2159</v>
      </c>
      <c r="D33" s="813">
        <v>2159</v>
      </c>
      <c r="E33" s="1061">
        <f t="shared" si="0"/>
        <v>0</v>
      </c>
    </row>
    <row r="34" spans="1:5" s="163" customFormat="1" ht="25.5">
      <c r="A34" s="164" t="s">
        <v>808</v>
      </c>
      <c r="B34" s="160">
        <v>4191</v>
      </c>
      <c r="C34" s="160">
        <v>4191</v>
      </c>
      <c r="D34" s="813">
        <v>4191</v>
      </c>
      <c r="E34" s="1061"/>
    </row>
    <row r="35" spans="1:5" s="163" customFormat="1" ht="12.75">
      <c r="A35" s="159" t="s">
        <v>405</v>
      </c>
      <c r="B35" s="160"/>
      <c r="C35" s="160">
        <v>3000</v>
      </c>
      <c r="D35" s="813">
        <v>3000</v>
      </c>
      <c r="E35" s="1061"/>
    </row>
    <row r="36" spans="1:5" s="163" customFormat="1" ht="12.75">
      <c r="A36" s="159" t="s">
        <v>406</v>
      </c>
      <c r="B36" s="160"/>
      <c r="C36" s="160">
        <v>55234</v>
      </c>
      <c r="D36" s="813">
        <v>55234</v>
      </c>
      <c r="E36" s="1061"/>
    </row>
    <row r="37" spans="1:5" s="163" customFormat="1" ht="12.75">
      <c r="A37" s="159" t="s">
        <v>407</v>
      </c>
      <c r="B37" s="160"/>
      <c r="C37" s="160">
        <v>14000</v>
      </c>
      <c r="D37" s="813">
        <v>14000</v>
      </c>
      <c r="E37" s="1061"/>
    </row>
    <row r="38" spans="1:5" s="163" customFormat="1" ht="12.75">
      <c r="A38" s="159" t="s">
        <v>408</v>
      </c>
      <c r="B38" s="160"/>
      <c r="C38" s="160">
        <v>1530</v>
      </c>
      <c r="D38" s="813">
        <v>1530</v>
      </c>
      <c r="E38" s="1061"/>
    </row>
    <row r="39" spans="1:5" s="163" customFormat="1" ht="12.75">
      <c r="A39" s="159" t="s">
        <v>241</v>
      </c>
      <c r="B39" s="160"/>
      <c r="C39" s="160"/>
      <c r="D39" s="813">
        <f>7600+11100</f>
        <v>18700</v>
      </c>
      <c r="E39" s="1061"/>
    </row>
    <row r="40" spans="1:5" s="163" customFormat="1" ht="25.5">
      <c r="A40" s="164" t="s">
        <v>242</v>
      </c>
      <c r="B40" s="160"/>
      <c r="C40" s="160"/>
      <c r="D40" s="813">
        <v>4300</v>
      </c>
      <c r="E40" s="1061"/>
    </row>
    <row r="41" spans="1:5" s="163" customFormat="1" ht="12.75">
      <c r="A41" s="159" t="s">
        <v>243</v>
      </c>
      <c r="B41" s="160"/>
      <c r="C41" s="160"/>
      <c r="D41" s="813">
        <v>5150</v>
      </c>
      <c r="E41" s="1061"/>
    </row>
    <row r="42" spans="1:5" s="163" customFormat="1" ht="12.75">
      <c r="A42" s="159" t="s">
        <v>244</v>
      </c>
      <c r="B42" s="160"/>
      <c r="C42" s="160"/>
      <c r="D42" s="813">
        <f>6000+1620+28413+991</f>
        <v>37024</v>
      </c>
      <c r="E42" s="1061"/>
    </row>
    <row r="43" spans="1:5" s="163" customFormat="1" ht="12.75">
      <c r="A43" s="159" t="s">
        <v>245</v>
      </c>
      <c r="B43" s="160"/>
      <c r="C43" s="160"/>
      <c r="D43" s="813">
        <v>359</v>
      </c>
      <c r="E43" s="1061"/>
    </row>
    <row r="44" spans="1:5" s="163" customFormat="1" ht="12.75">
      <c r="A44" s="159"/>
      <c r="B44" s="160"/>
      <c r="C44" s="160"/>
      <c r="D44" s="813"/>
      <c r="E44" s="1061"/>
    </row>
    <row r="45" spans="1:5" ht="12.75">
      <c r="A45" s="161" t="s">
        <v>809</v>
      </c>
      <c r="B45" s="162">
        <f>SUM(B46:B71)</f>
        <v>142459</v>
      </c>
      <c r="C45" s="162">
        <f>SUM(C46:C71)</f>
        <v>122459</v>
      </c>
      <c r="D45" s="814">
        <f>SUM(D46:D73)</f>
        <v>120372</v>
      </c>
      <c r="E45" s="1061"/>
    </row>
    <row r="46" spans="1:5" s="163" customFormat="1" ht="12.75">
      <c r="A46" s="159" t="s">
        <v>810</v>
      </c>
      <c r="B46" s="160">
        <v>5080</v>
      </c>
      <c r="C46" s="160">
        <v>5080</v>
      </c>
      <c r="D46" s="813">
        <v>5080</v>
      </c>
      <c r="E46" s="1061"/>
    </row>
    <row r="47" spans="1:5" s="163" customFormat="1" ht="12.75">
      <c r="A47" s="159" t="s">
        <v>811</v>
      </c>
      <c r="B47" s="160">
        <v>950</v>
      </c>
      <c r="C47" s="160">
        <v>950</v>
      </c>
      <c r="D47" s="813">
        <v>950</v>
      </c>
      <c r="E47" s="1061"/>
    </row>
    <row r="48" spans="1:5" s="163" customFormat="1" ht="12.75">
      <c r="A48" s="159" t="s">
        <v>812</v>
      </c>
      <c r="B48" s="160">
        <v>5000</v>
      </c>
      <c r="C48" s="160">
        <v>5000</v>
      </c>
      <c r="D48" s="813">
        <v>5000</v>
      </c>
      <c r="E48" s="1061"/>
    </row>
    <row r="49" spans="1:5" s="163" customFormat="1" ht="12.75">
      <c r="A49" s="164" t="s">
        <v>813</v>
      </c>
      <c r="B49" s="160">
        <v>1000</v>
      </c>
      <c r="C49" s="160">
        <v>1000</v>
      </c>
      <c r="D49" s="813">
        <v>1000</v>
      </c>
      <c r="E49" s="1061"/>
    </row>
    <row r="50" spans="1:5" s="163" customFormat="1" ht="12.75">
      <c r="A50" s="159" t="s">
        <v>814</v>
      </c>
      <c r="B50" s="160">
        <v>5000</v>
      </c>
      <c r="C50" s="160">
        <v>5000</v>
      </c>
      <c r="D50" s="813">
        <v>5000</v>
      </c>
      <c r="E50" s="1061"/>
    </row>
    <row r="51" spans="1:5" s="163" customFormat="1" ht="12.75">
      <c r="A51" s="159" t="s">
        <v>815</v>
      </c>
      <c r="B51" s="160">
        <v>4000</v>
      </c>
      <c r="C51" s="160">
        <v>4000</v>
      </c>
      <c r="D51" s="813">
        <v>4000</v>
      </c>
      <c r="E51" s="1061"/>
    </row>
    <row r="52" spans="1:5" s="163" customFormat="1" ht="12.75">
      <c r="A52" s="159" t="s">
        <v>816</v>
      </c>
      <c r="B52" s="160">
        <v>800</v>
      </c>
      <c r="C52" s="160">
        <v>800</v>
      </c>
      <c r="D52" s="813">
        <v>800</v>
      </c>
      <c r="E52" s="1061"/>
    </row>
    <row r="53" spans="1:5" s="163" customFormat="1" ht="12.75">
      <c r="A53" s="159" t="s">
        <v>817</v>
      </c>
      <c r="B53" s="160">
        <v>2000</v>
      </c>
      <c r="C53" s="160">
        <v>2000</v>
      </c>
      <c r="D53" s="813">
        <v>2000</v>
      </c>
      <c r="E53" s="1061"/>
    </row>
    <row r="54" spans="1:5" s="163" customFormat="1" ht="12.75">
      <c r="A54" s="159" t="s">
        <v>818</v>
      </c>
      <c r="B54" s="160">
        <v>6350</v>
      </c>
      <c r="C54" s="160">
        <v>6350</v>
      </c>
      <c r="D54" s="813">
        <f>6350-2391</f>
        <v>3959</v>
      </c>
      <c r="E54" s="1061"/>
    </row>
    <row r="55" spans="1:5" s="163" customFormat="1" ht="12.75">
      <c r="A55" s="164" t="s">
        <v>819</v>
      </c>
      <c r="B55" s="160">
        <v>14000</v>
      </c>
      <c r="C55" s="160">
        <v>14000</v>
      </c>
      <c r="D55" s="813">
        <v>14000</v>
      </c>
      <c r="E55" s="1061"/>
    </row>
    <row r="56" spans="1:5" s="163" customFormat="1" ht="12.75">
      <c r="A56" s="164" t="s">
        <v>820</v>
      </c>
      <c r="B56" s="160">
        <v>2880</v>
      </c>
      <c r="C56" s="160">
        <v>2880</v>
      </c>
      <c r="D56" s="813">
        <v>2880</v>
      </c>
      <c r="E56" s="1061"/>
    </row>
    <row r="57" spans="1:5" s="163" customFormat="1" ht="12.75">
      <c r="A57" s="164" t="s">
        <v>821</v>
      </c>
      <c r="B57" s="160">
        <v>1440</v>
      </c>
      <c r="C57" s="160">
        <v>1440</v>
      </c>
      <c r="D57" s="813">
        <v>1440</v>
      </c>
      <c r="E57" s="1061"/>
    </row>
    <row r="58" spans="1:5" s="163" customFormat="1" ht="12.75">
      <c r="A58" s="164" t="s">
        <v>824</v>
      </c>
      <c r="B58" s="160">
        <v>2500</v>
      </c>
      <c r="C58" s="160">
        <v>2500</v>
      </c>
      <c r="D58" s="813">
        <v>2500</v>
      </c>
      <c r="E58" s="1061"/>
    </row>
    <row r="59" spans="1:5" s="163" customFormat="1" ht="12.75">
      <c r="A59" s="164" t="s">
        <v>825</v>
      </c>
      <c r="B59" s="160">
        <v>10000</v>
      </c>
      <c r="C59" s="160">
        <v>10000</v>
      </c>
      <c r="D59" s="813">
        <v>10000</v>
      </c>
      <c r="E59" s="1061"/>
    </row>
    <row r="60" spans="1:5" s="163" customFormat="1" ht="12.75">
      <c r="A60" s="164" t="s">
        <v>826</v>
      </c>
      <c r="B60" s="160">
        <v>251</v>
      </c>
      <c r="C60" s="160">
        <v>251</v>
      </c>
      <c r="D60" s="813">
        <v>251</v>
      </c>
      <c r="E60" s="1061"/>
    </row>
    <row r="61" spans="1:5" s="163" customFormat="1" ht="12.75">
      <c r="A61" s="159" t="s">
        <v>827</v>
      </c>
      <c r="B61" s="160">
        <v>3000</v>
      </c>
      <c r="C61" s="160">
        <v>3000</v>
      </c>
      <c r="D61" s="813">
        <v>3000</v>
      </c>
      <c r="E61" s="1061"/>
    </row>
    <row r="62" spans="1:5" s="163" customFormat="1" ht="12.75">
      <c r="A62" s="159" t="s">
        <v>828</v>
      </c>
      <c r="B62" s="160">
        <v>5000</v>
      </c>
      <c r="C62" s="160">
        <v>5000</v>
      </c>
      <c r="D62" s="813">
        <v>5000</v>
      </c>
      <c r="E62" s="1061"/>
    </row>
    <row r="63" spans="1:5" s="163" customFormat="1" ht="12.75">
      <c r="A63" s="159" t="s">
        <v>829</v>
      </c>
      <c r="B63" s="160">
        <v>2500</v>
      </c>
      <c r="C63" s="160">
        <v>2500</v>
      </c>
      <c r="D63" s="813">
        <v>2500</v>
      </c>
      <c r="E63" s="1061"/>
    </row>
    <row r="64" spans="1:5" s="163" customFormat="1" ht="12.75">
      <c r="A64" s="159" t="s">
        <v>830</v>
      </c>
      <c r="B64" s="160">
        <v>6350</v>
      </c>
      <c r="C64" s="160">
        <v>6350</v>
      </c>
      <c r="D64" s="813">
        <v>6350</v>
      </c>
      <c r="E64" s="1061"/>
    </row>
    <row r="65" spans="1:5" s="163" customFormat="1" ht="12.75">
      <c r="A65" s="159" t="s">
        <v>831</v>
      </c>
      <c r="B65" s="160">
        <v>7610</v>
      </c>
      <c r="C65" s="160">
        <v>7610</v>
      </c>
      <c r="D65" s="813">
        <v>7610</v>
      </c>
      <c r="E65" s="1061"/>
    </row>
    <row r="66" spans="1:5" s="163" customFormat="1" ht="12.75">
      <c r="A66" s="159" t="s">
        <v>832</v>
      </c>
      <c r="B66" s="160">
        <v>1000</v>
      </c>
      <c r="C66" s="160">
        <v>1000</v>
      </c>
      <c r="D66" s="813">
        <v>1000</v>
      </c>
      <c r="E66" s="1061"/>
    </row>
    <row r="67" spans="1:5" s="163" customFormat="1" ht="12.75">
      <c r="A67" s="159" t="s">
        <v>833</v>
      </c>
      <c r="B67" s="160">
        <v>1500</v>
      </c>
      <c r="C67" s="160">
        <v>1500</v>
      </c>
      <c r="D67" s="813">
        <v>1500</v>
      </c>
      <c r="E67" s="1061"/>
    </row>
    <row r="68" spans="1:5" s="163" customFormat="1" ht="12.75">
      <c r="A68" s="159" t="s">
        <v>834</v>
      </c>
      <c r="B68" s="160">
        <v>20000</v>
      </c>
      <c r="C68" s="160">
        <v>0</v>
      </c>
      <c r="D68" s="813">
        <v>0</v>
      </c>
      <c r="E68" s="1061"/>
    </row>
    <row r="69" spans="1:5" s="163" customFormat="1" ht="12.75">
      <c r="A69" s="159" t="s">
        <v>835</v>
      </c>
      <c r="B69" s="160">
        <v>15000</v>
      </c>
      <c r="C69" s="160">
        <v>15000</v>
      </c>
      <c r="D69" s="813">
        <v>15000</v>
      </c>
      <c r="E69" s="1061"/>
    </row>
    <row r="70" spans="1:5" s="163" customFormat="1" ht="12.75">
      <c r="A70" s="159" t="s">
        <v>836</v>
      </c>
      <c r="B70" s="160">
        <v>4248</v>
      </c>
      <c r="C70" s="160">
        <f>4248+9000</f>
        <v>13248</v>
      </c>
      <c r="D70" s="813">
        <v>13248</v>
      </c>
      <c r="E70" s="1061"/>
    </row>
    <row r="71" spans="1:5" s="163" customFormat="1" ht="12.75">
      <c r="A71" s="159" t="s">
        <v>837</v>
      </c>
      <c r="B71" s="160">
        <v>15000</v>
      </c>
      <c r="C71" s="160">
        <f>15000-9000</f>
        <v>6000</v>
      </c>
      <c r="D71" s="813">
        <v>6000</v>
      </c>
      <c r="E71" s="1061"/>
    </row>
    <row r="72" spans="1:5" s="163" customFormat="1" ht="12.75">
      <c r="A72" s="159" t="s">
        <v>246</v>
      </c>
      <c r="B72" s="160"/>
      <c r="C72" s="160"/>
      <c r="D72" s="813">
        <v>300</v>
      </c>
      <c r="E72" s="1061"/>
    </row>
    <row r="73" spans="1:5" s="163" customFormat="1" ht="13.5" thickBot="1">
      <c r="A73" s="1088" t="s">
        <v>247</v>
      </c>
      <c r="B73" s="1089"/>
      <c r="C73" s="1089"/>
      <c r="D73" s="1090">
        <v>4</v>
      </c>
      <c r="E73" s="1061"/>
    </row>
    <row r="74" spans="1:5" s="163" customFormat="1" ht="12.75">
      <c r="A74" s="1091"/>
      <c r="B74" s="1092"/>
      <c r="C74" s="1092"/>
      <c r="D74" s="1093"/>
      <c r="E74" s="1061"/>
    </row>
    <row r="75" spans="1:5" s="158" customFormat="1" ht="12.75">
      <c r="A75" s="161" t="s">
        <v>516</v>
      </c>
      <c r="B75" s="162">
        <f>SUM(B76)</f>
        <v>1000</v>
      </c>
      <c r="C75" s="162">
        <f>SUM(C76)</f>
        <v>390</v>
      </c>
      <c r="D75" s="567">
        <f>SUM(D76)</f>
        <v>390</v>
      </c>
      <c r="E75" s="1061"/>
    </row>
    <row r="76" spans="1:5" s="165" customFormat="1" ht="12.75">
      <c r="A76" s="159" t="s">
        <v>833</v>
      </c>
      <c r="B76" s="160">
        <v>1000</v>
      </c>
      <c r="C76" s="160">
        <v>390</v>
      </c>
      <c r="D76" s="813">
        <v>390</v>
      </c>
      <c r="E76" s="1061"/>
    </row>
    <row r="77" spans="1:5" s="165" customFormat="1" ht="12.75">
      <c r="A77" s="159"/>
      <c r="B77" s="160"/>
      <c r="C77" s="160"/>
      <c r="D77" s="813"/>
      <c r="E77" s="1061"/>
    </row>
    <row r="78" spans="1:5" s="165" customFormat="1" ht="12.75">
      <c r="A78" s="161" t="s">
        <v>517</v>
      </c>
      <c r="B78" s="160"/>
      <c r="C78" s="162">
        <f>SUM(C79:C80)</f>
        <v>5610</v>
      </c>
      <c r="D78" s="814">
        <f>SUM(D79:D80)</f>
        <v>5610</v>
      </c>
      <c r="E78" s="1061"/>
    </row>
    <row r="79" spans="1:5" s="165" customFormat="1" ht="12.75">
      <c r="A79" s="159" t="s">
        <v>833</v>
      </c>
      <c r="B79" s="160"/>
      <c r="C79" s="160">
        <v>610</v>
      </c>
      <c r="D79" s="813">
        <v>610</v>
      </c>
      <c r="E79" s="1061"/>
    </row>
    <row r="80" spans="1:5" s="165" customFormat="1" ht="12.75">
      <c r="A80" s="159" t="s">
        <v>409</v>
      </c>
      <c r="B80" s="160"/>
      <c r="C80" s="160">
        <v>5000</v>
      </c>
      <c r="D80" s="813">
        <v>5000</v>
      </c>
      <c r="E80" s="1061"/>
    </row>
    <row r="81" spans="1:5" ht="12.75">
      <c r="A81" s="159"/>
      <c r="B81" s="160"/>
      <c r="C81" s="160"/>
      <c r="D81" s="813"/>
      <c r="E81" s="1061"/>
    </row>
    <row r="82" spans="1:5" s="158" customFormat="1" ht="12.75">
      <c r="A82" s="161" t="s">
        <v>838</v>
      </c>
      <c r="B82" s="162">
        <f>SUM(B83:B84)</f>
        <v>4813</v>
      </c>
      <c r="C82" s="162">
        <f>SUM(C83:C85)</f>
        <v>5098</v>
      </c>
      <c r="D82" s="814">
        <f>SUM(D83:D87)</f>
        <v>5865</v>
      </c>
      <c r="E82" s="1061"/>
    </row>
    <row r="83" spans="1:5" s="165" customFormat="1" ht="12.75">
      <c r="A83" s="159" t="s">
        <v>839</v>
      </c>
      <c r="B83" s="160">
        <v>2100</v>
      </c>
      <c r="C83" s="160">
        <v>2100</v>
      </c>
      <c r="D83" s="813">
        <v>2100</v>
      </c>
      <c r="E83" s="1061"/>
    </row>
    <row r="84" spans="1:5" s="165" customFormat="1" ht="12.75">
      <c r="A84" s="159" t="s">
        <v>840</v>
      </c>
      <c r="B84" s="160">
        <v>2713</v>
      </c>
      <c r="C84" s="160">
        <v>2713</v>
      </c>
      <c r="D84" s="813">
        <v>0</v>
      </c>
      <c r="E84" s="1061"/>
    </row>
    <row r="85" spans="1:5" s="165" customFormat="1" ht="12.75">
      <c r="A85" s="159" t="s">
        <v>410</v>
      </c>
      <c r="B85" s="160"/>
      <c r="C85" s="160">
        <v>285</v>
      </c>
      <c r="D85" s="813">
        <v>285</v>
      </c>
      <c r="E85" s="1061"/>
    </row>
    <row r="86" spans="1:5" s="165" customFormat="1" ht="12.75">
      <c r="A86" s="159" t="s">
        <v>248</v>
      </c>
      <c r="B86" s="160"/>
      <c r="C86" s="160"/>
      <c r="D86" s="813">
        <v>2600</v>
      </c>
      <c r="E86" s="1061"/>
    </row>
    <row r="87" spans="1:5" s="165" customFormat="1" ht="12.75">
      <c r="A87" s="159" t="s">
        <v>157</v>
      </c>
      <c r="B87" s="160"/>
      <c r="C87" s="160"/>
      <c r="D87" s="813">
        <v>880</v>
      </c>
      <c r="E87" s="1061"/>
    </row>
    <row r="88" spans="1:5" s="158" customFormat="1" ht="12.75">
      <c r="A88" s="161"/>
      <c r="B88" s="162"/>
      <c r="C88" s="162"/>
      <c r="D88" s="814"/>
      <c r="E88" s="1061"/>
    </row>
    <row r="89" spans="1:5" s="158" customFormat="1" ht="12.75">
      <c r="A89" s="161" t="s">
        <v>519</v>
      </c>
      <c r="B89" s="162">
        <f>SUM(B90)</f>
        <v>1635</v>
      </c>
      <c r="C89" s="162">
        <f>SUM(C90)</f>
        <v>4106</v>
      </c>
      <c r="D89" s="814">
        <f>SUM(D90)</f>
        <v>4106</v>
      </c>
      <c r="E89" s="1061"/>
    </row>
    <row r="90" spans="1:5" s="158" customFormat="1" ht="12.75">
      <c r="A90" s="159" t="s">
        <v>841</v>
      </c>
      <c r="B90" s="160">
        <v>1635</v>
      </c>
      <c r="C90" s="160">
        <v>4106</v>
      </c>
      <c r="D90" s="813">
        <v>4106</v>
      </c>
      <c r="E90" s="1061"/>
    </row>
    <row r="91" spans="1:5" s="158" customFormat="1" ht="12.75">
      <c r="A91" s="161"/>
      <c r="B91" s="162"/>
      <c r="C91" s="162"/>
      <c r="D91" s="814"/>
      <c r="E91" s="1061"/>
    </row>
    <row r="92" spans="1:5" s="167" customFormat="1" ht="13.5" thickBot="1">
      <c r="A92" s="166" t="s">
        <v>769</v>
      </c>
      <c r="B92" s="811">
        <f>SUM(B7,B75,B82,B89)</f>
        <v>2136937</v>
      </c>
      <c r="C92" s="811">
        <f>SUM(C7,C75,C78,C82,C89)</f>
        <v>2675765</v>
      </c>
      <c r="D92" s="816">
        <f>SUM(D7,D75,D78,D82,D89)</f>
        <v>2716565</v>
      </c>
      <c r="E92" s="1061"/>
    </row>
    <row r="93" ht="12.75">
      <c r="E93" s="1061"/>
    </row>
    <row r="94" spans="1:5" ht="12.75">
      <c r="A94" s="168"/>
      <c r="E94" s="1061"/>
    </row>
    <row r="95" spans="1:5" ht="15.75">
      <c r="A95" s="1323" t="s">
        <v>842</v>
      </c>
      <c r="B95" s="1323"/>
      <c r="C95" s="1323"/>
      <c r="D95" s="1323"/>
      <c r="E95" s="1061"/>
    </row>
    <row r="96" spans="1:5" ht="15.75">
      <c r="A96" s="1324" t="s">
        <v>788</v>
      </c>
      <c r="B96" s="1324"/>
      <c r="C96" s="1324"/>
      <c r="D96" s="1324"/>
      <c r="E96" s="1061"/>
    </row>
    <row r="97" spans="1:5" ht="13.5" thickBot="1">
      <c r="A97" s="168"/>
      <c r="E97" s="1061"/>
    </row>
    <row r="98" spans="1:5" ht="12.75">
      <c r="A98" s="156" t="s">
        <v>789</v>
      </c>
      <c r="B98" s="157" t="s">
        <v>521</v>
      </c>
      <c r="C98" s="157" t="s">
        <v>473</v>
      </c>
      <c r="D98" s="812" t="s">
        <v>549</v>
      </c>
      <c r="E98" s="1061"/>
    </row>
    <row r="99" spans="1:5" ht="12.75">
      <c r="A99" s="159"/>
      <c r="B99" s="160"/>
      <c r="C99" s="160"/>
      <c r="D99" s="813"/>
      <c r="E99" s="1061"/>
    </row>
    <row r="100" spans="1:5" ht="12.75">
      <c r="A100" s="161" t="s">
        <v>514</v>
      </c>
      <c r="B100" s="162">
        <f>SUM(B102,B121)</f>
        <v>2250302</v>
      </c>
      <c r="C100" s="162">
        <f>SUM(C102,C121)</f>
        <v>1790206</v>
      </c>
      <c r="D100" s="814">
        <f>SUM(D102,D121)</f>
        <v>1779106</v>
      </c>
      <c r="E100" s="1061"/>
    </row>
    <row r="101" spans="1:5" s="170" customFormat="1" ht="12.75">
      <c r="A101" s="169"/>
      <c r="B101" s="160"/>
      <c r="C101" s="160"/>
      <c r="D101" s="813"/>
      <c r="E101" s="1061"/>
    </row>
    <row r="102" spans="1:5" s="170" customFormat="1" ht="12.75">
      <c r="A102" s="171" t="s">
        <v>790</v>
      </c>
      <c r="B102" s="162">
        <f>SUM(B103:B119)</f>
        <v>2220550</v>
      </c>
      <c r="C102" s="162">
        <f>SUM(C103:C119)</f>
        <v>1760454</v>
      </c>
      <c r="D102" s="814">
        <f>SUM(D103:D119)</f>
        <v>1760454</v>
      </c>
      <c r="E102" s="1061"/>
    </row>
    <row r="103" spans="1:5" ht="12.75">
      <c r="A103" s="159" t="s">
        <v>843</v>
      </c>
      <c r="B103" s="160">
        <v>185000</v>
      </c>
      <c r="C103" s="160">
        <v>0</v>
      </c>
      <c r="D103" s="813">
        <v>0</v>
      </c>
      <c r="E103" s="1061"/>
    </row>
    <row r="104" spans="1:5" ht="12.75">
      <c r="A104" s="164" t="s">
        <v>844</v>
      </c>
      <c r="B104" s="160">
        <v>1102640</v>
      </c>
      <c r="C104" s="160">
        <v>1102640</v>
      </c>
      <c r="D104" s="813">
        <v>1102640</v>
      </c>
      <c r="E104" s="1061"/>
    </row>
    <row r="105" spans="1:5" ht="12.75">
      <c r="A105" s="159" t="s">
        <v>845</v>
      </c>
      <c r="B105" s="160">
        <v>116000</v>
      </c>
      <c r="C105" s="160">
        <v>116000</v>
      </c>
      <c r="D105" s="813">
        <v>116000</v>
      </c>
      <c r="E105" s="1061"/>
    </row>
    <row r="106" spans="1:5" s="170" customFormat="1" ht="12.75">
      <c r="A106" s="164" t="s">
        <v>846</v>
      </c>
      <c r="B106" s="160">
        <v>65433</v>
      </c>
      <c r="C106" s="160">
        <v>65433</v>
      </c>
      <c r="D106" s="813">
        <v>65433</v>
      </c>
      <c r="E106" s="1061"/>
    </row>
    <row r="107" spans="1:5" ht="12.75">
      <c r="A107" s="159" t="s">
        <v>847</v>
      </c>
      <c r="B107" s="160">
        <v>90625</v>
      </c>
      <c r="C107" s="160">
        <v>0</v>
      </c>
      <c r="D107" s="813">
        <v>0</v>
      </c>
      <c r="E107" s="1061"/>
    </row>
    <row r="108" spans="1:5" ht="25.5">
      <c r="A108" s="164" t="s">
        <v>848</v>
      </c>
      <c r="B108" s="160">
        <v>49966</v>
      </c>
      <c r="C108" s="160">
        <f>49966-46350</f>
        <v>3616</v>
      </c>
      <c r="D108" s="813">
        <v>3616</v>
      </c>
      <c r="E108" s="1061"/>
    </row>
    <row r="109" spans="1:5" ht="12.75">
      <c r="A109" s="164" t="s">
        <v>849</v>
      </c>
      <c r="B109" s="160">
        <v>15000</v>
      </c>
      <c r="C109" s="160">
        <v>15000</v>
      </c>
      <c r="D109" s="813">
        <v>15000</v>
      </c>
      <c r="E109" s="1061"/>
    </row>
    <row r="110" spans="1:5" ht="12.75">
      <c r="A110" s="164" t="s">
        <v>850</v>
      </c>
      <c r="B110" s="160">
        <v>44957</v>
      </c>
      <c r="C110" s="160">
        <v>44957</v>
      </c>
      <c r="D110" s="813">
        <v>44957</v>
      </c>
      <c r="E110" s="1061"/>
    </row>
    <row r="111" spans="1:5" s="163" customFormat="1" ht="12.75">
      <c r="A111" s="159" t="s">
        <v>851</v>
      </c>
      <c r="B111" s="160">
        <v>138121</v>
      </c>
      <c r="C111" s="160">
        <v>0</v>
      </c>
      <c r="D111" s="813">
        <v>0</v>
      </c>
      <c r="E111" s="1061"/>
    </row>
    <row r="112" spans="1:5" ht="12.75">
      <c r="A112" s="164" t="s">
        <v>852</v>
      </c>
      <c r="B112" s="160">
        <v>52290</v>
      </c>
      <c r="C112" s="160">
        <v>52290</v>
      </c>
      <c r="D112" s="813">
        <v>52290</v>
      </c>
      <c r="E112" s="1061"/>
    </row>
    <row r="113" spans="1:5" ht="12.75">
      <c r="A113" s="164" t="s">
        <v>791</v>
      </c>
      <c r="B113" s="160">
        <v>115000</v>
      </c>
      <c r="C113" s="160">
        <v>115000</v>
      </c>
      <c r="D113" s="813">
        <v>115000</v>
      </c>
      <c r="E113" s="1061"/>
    </row>
    <row r="114" spans="1:5" s="163" customFormat="1" ht="12.75">
      <c r="A114" s="159" t="s">
        <v>853</v>
      </c>
      <c r="B114" s="160">
        <v>30000</v>
      </c>
      <c r="C114" s="160">
        <v>30000</v>
      </c>
      <c r="D114" s="813">
        <v>30000</v>
      </c>
      <c r="E114" s="1061"/>
    </row>
    <row r="115" spans="1:5" s="163" customFormat="1" ht="25.5">
      <c r="A115" s="164" t="s">
        <v>854</v>
      </c>
      <c r="B115" s="160">
        <v>72605</v>
      </c>
      <c r="C115" s="160">
        <v>72605</v>
      </c>
      <c r="D115" s="813">
        <v>72605</v>
      </c>
      <c r="E115" s="1061"/>
    </row>
    <row r="116" spans="1:5" ht="12.75">
      <c r="A116" s="159" t="s">
        <v>794</v>
      </c>
      <c r="B116" s="160">
        <v>88000</v>
      </c>
      <c r="C116" s="160">
        <v>88000</v>
      </c>
      <c r="D116" s="813">
        <v>88000</v>
      </c>
      <c r="E116" s="1061"/>
    </row>
    <row r="117" spans="1:5" ht="12.75">
      <c r="A117" s="159" t="s">
        <v>800</v>
      </c>
      <c r="B117" s="160">
        <v>40339</v>
      </c>
      <c r="C117" s="160">
        <v>40339</v>
      </c>
      <c r="D117" s="813">
        <v>40339</v>
      </c>
      <c r="E117" s="1061"/>
    </row>
    <row r="118" spans="1:5" ht="12.75">
      <c r="A118" s="159" t="s">
        <v>802</v>
      </c>
      <c r="B118" s="160">
        <v>7000</v>
      </c>
      <c r="C118" s="160">
        <v>7000</v>
      </c>
      <c r="D118" s="813">
        <v>7000</v>
      </c>
      <c r="E118" s="1061"/>
    </row>
    <row r="119" spans="1:5" ht="12.75">
      <c r="A119" s="159" t="s">
        <v>803</v>
      </c>
      <c r="B119" s="160">
        <v>7574</v>
      </c>
      <c r="C119" s="160">
        <v>7574</v>
      </c>
      <c r="D119" s="813">
        <v>7574</v>
      </c>
      <c r="E119" s="1061"/>
    </row>
    <row r="120" spans="1:5" ht="12.75">
      <c r="A120" s="164"/>
      <c r="B120" s="160"/>
      <c r="C120" s="160"/>
      <c r="D120" s="813"/>
      <c r="E120" s="1061"/>
    </row>
    <row r="121" spans="1:5" ht="12.75">
      <c r="A121" s="161" t="s">
        <v>809</v>
      </c>
      <c r="B121" s="162">
        <f>SUM(B122:B123)</f>
        <v>29752</v>
      </c>
      <c r="C121" s="162">
        <f>SUM(C122:C123)</f>
        <v>29752</v>
      </c>
      <c r="D121" s="814">
        <f>SUM(D122:D123)</f>
        <v>18652</v>
      </c>
      <c r="E121" s="1061"/>
    </row>
    <row r="122" spans="1:5" s="163" customFormat="1" ht="12.75">
      <c r="A122" s="164" t="s">
        <v>855</v>
      </c>
      <c r="B122" s="160">
        <v>20000</v>
      </c>
      <c r="C122" s="160">
        <v>20000</v>
      </c>
      <c r="D122" s="813">
        <f>20000-11100</f>
        <v>8900</v>
      </c>
      <c r="E122" s="1061"/>
    </row>
    <row r="123" spans="1:5" s="163" customFormat="1" ht="12.75">
      <c r="A123" s="164" t="s">
        <v>836</v>
      </c>
      <c r="B123" s="160">
        <v>9752</v>
      </c>
      <c r="C123" s="160">
        <v>9752</v>
      </c>
      <c r="D123" s="813">
        <v>9752</v>
      </c>
      <c r="E123" s="1061"/>
    </row>
    <row r="124" spans="1:5" s="170" customFormat="1" ht="12.75">
      <c r="A124" s="159"/>
      <c r="B124" s="160"/>
      <c r="C124" s="160"/>
      <c r="D124" s="813"/>
      <c r="E124" s="1061"/>
    </row>
    <row r="125" spans="1:5" s="167" customFormat="1" ht="13.5" thickBot="1">
      <c r="A125" s="166" t="s">
        <v>769</v>
      </c>
      <c r="B125" s="811">
        <f>SUM(B100)</f>
        <v>2250302</v>
      </c>
      <c r="C125" s="811">
        <f>SUM(C100)</f>
        <v>1790206</v>
      </c>
      <c r="D125" s="815">
        <f>SUM(D100)</f>
        <v>1779106</v>
      </c>
      <c r="E125" s="1061"/>
    </row>
    <row r="126" spans="2:4" s="170" customFormat="1" ht="12.75">
      <c r="B126" s="172"/>
      <c r="C126" s="172"/>
      <c r="D126" s="172"/>
    </row>
    <row r="127" spans="2:4" s="170" customFormat="1" ht="12.75">
      <c r="B127" s="172"/>
      <c r="C127" s="172"/>
      <c r="D127" s="172"/>
    </row>
    <row r="128" spans="2:4" s="170" customFormat="1" ht="12.75">
      <c r="B128" s="172"/>
      <c r="C128" s="172"/>
      <c r="D128" s="172"/>
    </row>
    <row r="129" spans="2:4" s="170" customFormat="1" ht="12.75">
      <c r="B129" s="172"/>
      <c r="C129" s="172"/>
      <c r="D129" s="172"/>
    </row>
    <row r="130" spans="2:4" s="170" customFormat="1" ht="12.75">
      <c r="B130" s="172"/>
      <c r="C130" s="172"/>
      <c r="D130" s="172"/>
    </row>
    <row r="131" spans="2:4" s="170" customFormat="1" ht="12.75">
      <c r="B131" s="172"/>
      <c r="C131" s="172"/>
      <c r="D131" s="172"/>
    </row>
    <row r="132" spans="2:4" s="170" customFormat="1" ht="12.75">
      <c r="B132" s="172"/>
      <c r="C132" s="172"/>
      <c r="D132" s="172"/>
    </row>
    <row r="133" spans="2:4" s="170" customFormat="1" ht="12.75">
      <c r="B133" s="172"/>
      <c r="C133" s="172"/>
      <c r="D133" s="172"/>
    </row>
    <row r="134" spans="2:4" s="170" customFormat="1" ht="12.75">
      <c r="B134" s="172"/>
      <c r="C134" s="172"/>
      <c r="D134" s="172"/>
    </row>
    <row r="135" spans="2:4" s="170" customFormat="1" ht="12.75">
      <c r="B135" s="172"/>
      <c r="C135" s="172"/>
      <c r="D135" s="172"/>
    </row>
    <row r="136" spans="2:4" s="170" customFormat="1" ht="12.75">
      <c r="B136" s="172"/>
      <c r="C136" s="172"/>
      <c r="D136" s="172"/>
    </row>
    <row r="137" spans="2:4" s="170" customFormat="1" ht="12.75">
      <c r="B137" s="172"/>
      <c r="C137" s="172"/>
      <c r="D137" s="172"/>
    </row>
    <row r="138" spans="2:4" s="170" customFormat="1" ht="12.75">
      <c r="B138" s="172"/>
      <c r="C138" s="172"/>
      <c r="D138" s="172"/>
    </row>
    <row r="139" spans="2:4" s="170" customFormat="1" ht="12.75">
      <c r="B139" s="172"/>
      <c r="C139" s="172"/>
      <c r="D139" s="172"/>
    </row>
    <row r="140" spans="2:4" s="170" customFormat="1" ht="12.75">
      <c r="B140" s="172"/>
      <c r="C140" s="172"/>
      <c r="D140" s="172"/>
    </row>
    <row r="141" spans="2:4" s="170" customFormat="1" ht="12.75">
      <c r="B141" s="172"/>
      <c r="C141" s="172"/>
      <c r="D141" s="172"/>
    </row>
    <row r="142" spans="2:4" s="170" customFormat="1" ht="12.75">
      <c r="B142" s="172"/>
      <c r="C142" s="172"/>
      <c r="D142" s="172"/>
    </row>
    <row r="143" spans="2:4" s="170" customFormat="1" ht="12.75">
      <c r="B143" s="172"/>
      <c r="C143" s="172"/>
      <c r="D143" s="172"/>
    </row>
    <row r="144" spans="2:4" s="170" customFormat="1" ht="12.75">
      <c r="B144" s="172"/>
      <c r="C144" s="172"/>
      <c r="D144" s="172"/>
    </row>
    <row r="145" spans="2:4" s="170" customFormat="1" ht="12.75">
      <c r="B145" s="172"/>
      <c r="C145" s="172"/>
      <c r="D145" s="172"/>
    </row>
    <row r="146" spans="2:4" s="170" customFormat="1" ht="12.75">
      <c r="B146" s="172"/>
      <c r="C146" s="172"/>
      <c r="D146" s="172"/>
    </row>
    <row r="147" spans="2:4" s="170" customFormat="1" ht="12.75">
      <c r="B147" s="172"/>
      <c r="C147" s="172"/>
      <c r="D147" s="172"/>
    </row>
    <row r="148" spans="2:4" s="170" customFormat="1" ht="12.75">
      <c r="B148" s="172"/>
      <c r="C148" s="172"/>
      <c r="D148" s="172"/>
    </row>
    <row r="149" spans="2:4" s="170" customFormat="1" ht="12.75">
      <c r="B149" s="172"/>
      <c r="C149" s="172"/>
      <c r="D149" s="172"/>
    </row>
    <row r="150" spans="2:4" s="170" customFormat="1" ht="12.75">
      <c r="B150" s="172"/>
      <c r="C150" s="172"/>
      <c r="D150" s="172"/>
    </row>
    <row r="151" spans="2:4" s="170" customFormat="1" ht="12.75">
      <c r="B151" s="172"/>
      <c r="C151" s="172"/>
      <c r="D151" s="172"/>
    </row>
    <row r="152" spans="2:4" s="170" customFormat="1" ht="12.75">
      <c r="B152" s="172"/>
      <c r="C152" s="172"/>
      <c r="D152" s="172"/>
    </row>
    <row r="153" spans="2:4" s="170" customFormat="1" ht="12.75">
      <c r="B153" s="172"/>
      <c r="C153" s="172"/>
      <c r="D153" s="172"/>
    </row>
    <row r="154" spans="2:4" s="170" customFormat="1" ht="12.75">
      <c r="B154" s="172"/>
      <c r="C154" s="172"/>
      <c r="D154" s="172"/>
    </row>
    <row r="155" spans="2:4" s="170" customFormat="1" ht="12.75">
      <c r="B155" s="172"/>
      <c r="C155" s="172"/>
      <c r="D155" s="172"/>
    </row>
    <row r="156" spans="2:4" s="170" customFormat="1" ht="12.75">
      <c r="B156" s="172"/>
      <c r="C156" s="172"/>
      <c r="D156" s="172"/>
    </row>
    <row r="157" spans="2:4" s="170" customFormat="1" ht="12.75">
      <c r="B157" s="172"/>
      <c r="C157" s="172"/>
      <c r="D157" s="172"/>
    </row>
    <row r="158" spans="2:4" s="170" customFormat="1" ht="12.75">
      <c r="B158" s="172"/>
      <c r="C158" s="172"/>
      <c r="D158" s="172"/>
    </row>
    <row r="159" spans="2:4" s="170" customFormat="1" ht="12.75">
      <c r="B159" s="172"/>
      <c r="C159" s="172"/>
      <c r="D159" s="172"/>
    </row>
    <row r="160" spans="2:4" s="170" customFormat="1" ht="12.75">
      <c r="B160" s="172"/>
      <c r="C160" s="172"/>
      <c r="D160" s="172"/>
    </row>
    <row r="161" spans="2:4" s="170" customFormat="1" ht="12.75">
      <c r="B161" s="172"/>
      <c r="C161" s="172"/>
      <c r="D161" s="172"/>
    </row>
    <row r="162" spans="2:4" s="170" customFormat="1" ht="12.75">
      <c r="B162" s="172"/>
      <c r="C162" s="172"/>
      <c r="D162" s="172"/>
    </row>
    <row r="163" spans="2:4" s="170" customFormat="1" ht="12.75">
      <c r="B163" s="172"/>
      <c r="C163" s="172"/>
      <c r="D163" s="172"/>
    </row>
    <row r="164" spans="2:4" s="170" customFormat="1" ht="12.75">
      <c r="B164" s="172"/>
      <c r="C164" s="172"/>
      <c r="D164" s="172"/>
    </row>
    <row r="165" spans="2:4" s="170" customFormat="1" ht="12.75">
      <c r="B165" s="172"/>
      <c r="C165" s="172"/>
      <c r="D165" s="172"/>
    </row>
    <row r="166" spans="2:4" s="170" customFormat="1" ht="12.75">
      <c r="B166" s="172"/>
      <c r="C166" s="172"/>
      <c r="D166" s="172"/>
    </row>
    <row r="167" spans="2:4" s="170" customFormat="1" ht="12.75">
      <c r="B167" s="172"/>
      <c r="C167" s="172"/>
      <c r="D167" s="172"/>
    </row>
    <row r="168" spans="2:4" s="170" customFormat="1" ht="12.75">
      <c r="B168" s="172"/>
      <c r="C168" s="172"/>
      <c r="D168" s="172"/>
    </row>
    <row r="169" spans="2:4" s="170" customFormat="1" ht="12.75">
      <c r="B169" s="172"/>
      <c r="C169" s="172"/>
      <c r="D169" s="172"/>
    </row>
    <row r="170" spans="2:4" s="170" customFormat="1" ht="12.75">
      <c r="B170" s="172"/>
      <c r="C170" s="172"/>
      <c r="D170" s="172"/>
    </row>
    <row r="171" spans="2:4" s="170" customFormat="1" ht="12.75">
      <c r="B171" s="172"/>
      <c r="C171" s="172"/>
      <c r="D171" s="172"/>
    </row>
    <row r="172" spans="2:4" s="170" customFormat="1" ht="12.75">
      <c r="B172" s="172"/>
      <c r="C172" s="172"/>
      <c r="D172" s="172"/>
    </row>
    <row r="173" spans="2:4" s="170" customFormat="1" ht="12.75">
      <c r="B173" s="172"/>
      <c r="C173" s="172"/>
      <c r="D173" s="172"/>
    </row>
    <row r="174" spans="2:4" s="170" customFormat="1" ht="12.75">
      <c r="B174" s="172"/>
      <c r="C174" s="172"/>
      <c r="D174" s="172"/>
    </row>
    <row r="175" spans="2:4" s="170" customFormat="1" ht="12.75">
      <c r="B175" s="172"/>
      <c r="C175" s="172"/>
      <c r="D175" s="172"/>
    </row>
    <row r="176" spans="2:4" s="170" customFormat="1" ht="12.75">
      <c r="B176" s="172"/>
      <c r="C176" s="172"/>
      <c r="D176" s="172"/>
    </row>
    <row r="177" spans="2:4" s="170" customFormat="1" ht="12.75">
      <c r="B177" s="172"/>
      <c r="C177" s="172"/>
      <c r="D177" s="172"/>
    </row>
    <row r="178" spans="2:4" s="170" customFormat="1" ht="12.75">
      <c r="B178" s="172"/>
      <c r="C178" s="172"/>
      <c r="D178" s="172"/>
    </row>
    <row r="179" spans="2:4" s="170" customFormat="1" ht="12.75">
      <c r="B179" s="172"/>
      <c r="C179" s="172"/>
      <c r="D179" s="172"/>
    </row>
    <row r="180" spans="2:4" s="170" customFormat="1" ht="12.75">
      <c r="B180" s="172"/>
      <c r="C180" s="172"/>
      <c r="D180" s="172"/>
    </row>
    <row r="181" spans="2:4" s="170" customFormat="1" ht="12.75">
      <c r="B181" s="172"/>
      <c r="C181" s="172"/>
      <c r="D181" s="172"/>
    </row>
    <row r="182" spans="2:4" s="170" customFormat="1" ht="12.75">
      <c r="B182" s="172"/>
      <c r="C182" s="172"/>
      <c r="D182" s="172"/>
    </row>
    <row r="183" spans="2:4" s="170" customFormat="1" ht="12.75">
      <c r="B183" s="172"/>
      <c r="C183" s="172"/>
      <c r="D183" s="172"/>
    </row>
    <row r="184" spans="2:4" s="170" customFormat="1" ht="12.75">
      <c r="B184" s="172"/>
      <c r="C184" s="172"/>
      <c r="D184" s="172"/>
    </row>
    <row r="185" spans="2:4" s="170" customFormat="1" ht="12.75">
      <c r="B185" s="172"/>
      <c r="C185" s="172"/>
      <c r="D185" s="172"/>
    </row>
    <row r="186" spans="2:4" s="170" customFormat="1" ht="12.75">
      <c r="B186" s="172"/>
      <c r="C186" s="172"/>
      <c r="D186" s="172"/>
    </row>
    <row r="187" spans="2:4" s="170" customFormat="1" ht="12.75">
      <c r="B187" s="172"/>
      <c r="C187" s="172"/>
      <c r="D187" s="172"/>
    </row>
    <row r="188" spans="2:4" s="170" customFormat="1" ht="12.75">
      <c r="B188" s="172"/>
      <c r="C188" s="172"/>
      <c r="D188" s="172"/>
    </row>
    <row r="189" spans="2:4" s="170" customFormat="1" ht="12.75">
      <c r="B189" s="172"/>
      <c r="C189" s="172"/>
      <c r="D189" s="172"/>
    </row>
    <row r="190" spans="2:4" s="170" customFormat="1" ht="12.75">
      <c r="B190" s="172"/>
      <c r="C190" s="172"/>
      <c r="D190" s="172"/>
    </row>
    <row r="191" spans="2:4" s="170" customFormat="1" ht="12.75">
      <c r="B191" s="172"/>
      <c r="C191" s="172"/>
      <c r="D191" s="172"/>
    </row>
    <row r="192" spans="2:4" s="170" customFormat="1" ht="12.75">
      <c r="B192" s="172"/>
      <c r="C192" s="172"/>
      <c r="D192" s="172"/>
    </row>
    <row r="193" spans="2:4" s="170" customFormat="1" ht="12.75">
      <c r="B193" s="172"/>
      <c r="C193" s="172"/>
      <c r="D193" s="172"/>
    </row>
    <row r="194" spans="2:4" s="170" customFormat="1" ht="12.75">
      <c r="B194" s="172"/>
      <c r="C194" s="172"/>
      <c r="D194" s="172"/>
    </row>
    <row r="195" spans="2:4" s="170" customFormat="1" ht="12.75">
      <c r="B195" s="172"/>
      <c r="C195" s="172"/>
      <c r="D195" s="172"/>
    </row>
    <row r="196" spans="2:4" s="170" customFormat="1" ht="12.75">
      <c r="B196" s="172"/>
      <c r="C196" s="172"/>
      <c r="D196" s="172"/>
    </row>
    <row r="197" spans="2:4" s="170" customFormat="1" ht="12.75">
      <c r="B197" s="172"/>
      <c r="C197" s="172"/>
      <c r="D197" s="172"/>
    </row>
    <row r="198" spans="2:4" s="170" customFormat="1" ht="12.75">
      <c r="B198" s="172"/>
      <c r="C198" s="172"/>
      <c r="D198" s="172"/>
    </row>
    <row r="199" spans="2:4" s="170" customFormat="1" ht="12.75">
      <c r="B199" s="172"/>
      <c r="C199" s="172"/>
      <c r="D199" s="172"/>
    </row>
    <row r="200" spans="2:4" s="170" customFormat="1" ht="12.75">
      <c r="B200" s="172"/>
      <c r="C200" s="172"/>
      <c r="D200" s="172"/>
    </row>
    <row r="201" spans="2:4" s="170" customFormat="1" ht="12.75">
      <c r="B201" s="172"/>
      <c r="C201" s="172"/>
      <c r="D201" s="172"/>
    </row>
    <row r="202" spans="2:4" s="170" customFormat="1" ht="12.75">
      <c r="B202" s="172"/>
      <c r="C202" s="172"/>
      <c r="D202" s="172"/>
    </row>
    <row r="203" spans="2:4" s="170" customFormat="1" ht="12.75">
      <c r="B203" s="172"/>
      <c r="C203" s="172"/>
      <c r="D203" s="172"/>
    </row>
    <row r="204" spans="2:4" s="170" customFormat="1" ht="12.75">
      <c r="B204" s="172"/>
      <c r="C204" s="172"/>
      <c r="D204" s="172"/>
    </row>
    <row r="205" spans="2:4" s="170" customFormat="1" ht="12.75">
      <c r="B205" s="172"/>
      <c r="C205" s="172"/>
      <c r="D205" s="172"/>
    </row>
    <row r="206" spans="2:4" s="170" customFormat="1" ht="12.75">
      <c r="B206" s="172"/>
      <c r="C206" s="172"/>
      <c r="D206" s="172"/>
    </row>
    <row r="207" spans="2:4" s="170" customFormat="1" ht="12.75">
      <c r="B207" s="172"/>
      <c r="C207" s="172"/>
      <c r="D207" s="172"/>
    </row>
    <row r="208" spans="2:4" s="170" customFormat="1" ht="12.75">
      <c r="B208" s="172"/>
      <c r="C208" s="172"/>
      <c r="D208" s="172"/>
    </row>
    <row r="209" spans="2:4" s="170" customFormat="1" ht="12.75">
      <c r="B209" s="172"/>
      <c r="C209" s="172"/>
      <c r="D209" s="172"/>
    </row>
    <row r="210" spans="2:4" s="170" customFormat="1" ht="12.75">
      <c r="B210" s="172"/>
      <c r="C210" s="172"/>
      <c r="D210" s="172"/>
    </row>
    <row r="211" spans="2:4" s="170" customFormat="1" ht="12.75">
      <c r="B211" s="172"/>
      <c r="C211" s="172"/>
      <c r="D211" s="172"/>
    </row>
    <row r="212" spans="2:4" s="170" customFormat="1" ht="12.75">
      <c r="B212" s="172"/>
      <c r="C212" s="172"/>
      <c r="D212" s="172"/>
    </row>
    <row r="213" spans="2:4" s="170" customFormat="1" ht="12.75">
      <c r="B213" s="172"/>
      <c r="C213" s="172"/>
      <c r="D213" s="172"/>
    </row>
    <row r="214" spans="2:4" s="170" customFormat="1" ht="12.75">
      <c r="B214" s="172"/>
      <c r="C214" s="172"/>
      <c r="D214" s="172"/>
    </row>
    <row r="215" spans="2:4" s="170" customFormat="1" ht="12.75">
      <c r="B215" s="172"/>
      <c r="C215" s="172"/>
      <c r="D215" s="172"/>
    </row>
    <row r="216" spans="2:4" s="170" customFormat="1" ht="12.75">
      <c r="B216" s="172"/>
      <c r="C216" s="172"/>
      <c r="D216" s="172"/>
    </row>
    <row r="217" spans="2:4" s="170" customFormat="1" ht="12.75">
      <c r="B217" s="172"/>
      <c r="C217" s="172"/>
      <c r="D217" s="172"/>
    </row>
    <row r="218" spans="2:4" s="170" customFormat="1" ht="12.75">
      <c r="B218" s="172"/>
      <c r="C218" s="172"/>
      <c r="D218" s="172"/>
    </row>
    <row r="219" spans="2:4" s="170" customFormat="1" ht="12.75">
      <c r="B219" s="172"/>
      <c r="C219" s="172"/>
      <c r="D219" s="172"/>
    </row>
    <row r="220" spans="2:4" s="170" customFormat="1" ht="12.75">
      <c r="B220" s="172"/>
      <c r="C220" s="172"/>
      <c r="D220" s="172"/>
    </row>
    <row r="221" spans="2:4" s="170" customFormat="1" ht="12.75">
      <c r="B221" s="172"/>
      <c r="C221" s="172"/>
      <c r="D221" s="172"/>
    </row>
    <row r="222" spans="2:4" s="170" customFormat="1" ht="12.75">
      <c r="B222" s="172"/>
      <c r="C222" s="172"/>
      <c r="D222" s="172"/>
    </row>
    <row r="223" spans="2:4" s="170" customFormat="1" ht="12.75">
      <c r="B223" s="172"/>
      <c r="C223" s="172"/>
      <c r="D223" s="172"/>
    </row>
    <row r="224" spans="2:4" s="170" customFormat="1" ht="12.75">
      <c r="B224" s="172"/>
      <c r="C224" s="172"/>
      <c r="D224" s="172"/>
    </row>
    <row r="225" spans="2:4" s="170" customFormat="1" ht="12.75">
      <c r="B225" s="172"/>
      <c r="C225" s="172"/>
      <c r="D225" s="172"/>
    </row>
    <row r="226" spans="2:4" s="170" customFormat="1" ht="12.75">
      <c r="B226" s="172"/>
      <c r="C226" s="172"/>
      <c r="D226" s="172"/>
    </row>
    <row r="227" spans="2:4" s="170" customFormat="1" ht="12.75">
      <c r="B227" s="172"/>
      <c r="C227" s="172"/>
      <c r="D227" s="172"/>
    </row>
    <row r="228" spans="2:4" s="170" customFormat="1" ht="12.75">
      <c r="B228" s="172"/>
      <c r="C228" s="172"/>
      <c r="D228" s="172"/>
    </row>
    <row r="229" spans="2:4" s="170" customFormat="1" ht="12.75">
      <c r="B229" s="172"/>
      <c r="C229" s="172"/>
      <c r="D229" s="172"/>
    </row>
    <row r="230" spans="2:4" s="170" customFormat="1" ht="12.75">
      <c r="B230" s="172"/>
      <c r="C230" s="172"/>
      <c r="D230" s="172"/>
    </row>
    <row r="231" spans="2:4" s="170" customFormat="1" ht="12.75">
      <c r="B231" s="172"/>
      <c r="C231" s="172"/>
      <c r="D231" s="172"/>
    </row>
    <row r="232" spans="2:4" s="170" customFormat="1" ht="12.75">
      <c r="B232" s="172"/>
      <c r="C232" s="172"/>
      <c r="D232" s="172"/>
    </row>
    <row r="233" spans="2:4" s="170" customFormat="1" ht="12.75">
      <c r="B233" s="172"/>
      <c r="C233" s="172"/>
      <c r="D233" s="172"/>
    </row>
    <row r="234" spans="2:4" s="170" customFormat="1" ht="12.75">
      <c r="B234" s="172"/>
      <c r="C234" s="172"/>
      <c r="D234" s="172"/>
    </row>
    <row r="235" spans="2:4" s="170" customFormat="1" ht="12.75">
      <c r="B235" s="172"/>
      <c r="C235" s="172"/>
      <c r="D235" s="172"/>
    </row>
    <row r="236" spans="2:4" s="170" customFormat="1" ht="12.75">
      <c r="B236" s="172"/>
      <c r="C236" s="172"/>
      <c r="D236" s="172"/>
    </row>
    <row r="237" spans="2:4" s="170" customFormat="1" ht="12.75">
      <c r="B237" s="172"/>
      <c r="C237" s="172"/>
      <c r="D237" s="172"/>
    </row>
    <row r="238" spans="2:4" s="170" customFormat="1" ht="12.75">
      <c r="B238" s="172"/>
      <c r="C238" s="172"/>
      <c r="D238" s="172"/>
    </row>
    <row r="239" spans="2:4" s="170" customFormat="1" ht="12.75">
      <c r="B239" s="172"/>
      <c r="C239" s="172"/>
      <c r="D239" s="172"/>
    </row>
    <row r="240" spans="2:4" s="170" customFormat="1" ht="12.75">
      <c r="B240" s="172"/>
      <c r="C240" s="172"/>
      <c r="D240" s="172"/>
    </row>
    <row r="241" spans="2:4" s="170" customFormat="1" ht="12.75">
      <c r="B241" s="172"/>
      <c r="C241" s="172"/>
      <c r="D241" s="172"/>
    </row>
    <row r="242" spans="2:4" s="170" customFormat="1" ht="12.75">
      <c r="B242" s="172"/>
      <c r="C242" s="172"/>
      <c r="D242" s="172"/>
    </row>
    <row r="243" spans="2:4" s="170" customFormat="1" ht="12.75">
      <c r="B243" s="172"/>
      <c r="C243" s="172"/>
      <c r="D243" s="172"/>
    </row>
    <row r="244" spans="2:4" s="170" customFormat="1" ht="12.75">
      <c r="B244" s="172"/>
      <c r="C244" s="172"/>
      <c r="D244" s="172"/>
    </row>
    <row r="245" spans="2:4" s="170" customFormat="1" ht="12.75">
      <c r="B245" s="172"/>
      <c r="C245" s="172"/>
      <c r="D245" s="172"/>
    </row>
    <row r="246" spans="2:4" s="170" customFormat="1" ht="12.75">
      <c r="B246" s="172"/>
      <c r="C246" s="172"/>
      <c r="D246" s="172"/>
    </row>
    <row r="247" spans="2:4" s="170" customFormat="1" ht="12.75">
      <c r="B247" s="172"/>
      <c r="C247" s="172"/>
      <c r="D247" s="172"/>
    </row>
    <row r="248" spans="2:4" s="170" customFormat="1" ht="12.75">
      <c r="B248" s="172"/>
      <c r="C248" s="172"/>
      <c r="D248" s="172"/>
    </row>
    <row r="249" spans="2:4" s="170" customFormat="1" ht="12.75">
      <c r="B249" s="172"/>
      <c r="C249" s="172"/>
      <c r="D249" s="172"/>
    </row>
    <row r="250" spans="2:4" s="170" customFormat="1" ht="12.75">
      <c r="B250" s="172"/>
      <c r="C250" s="172"/>
      <c r="D250" s="172"/>
    </row>
    <row r="251" spans="2:4" s="170" customFormat="1" ht="12.75">
      <c r="B251" s="172"/>
      <c r="C251" s="172"/>
      <c r="D251" s="172"/>
    </row>
    <row r="252" spans="2:4" s="170" customFormat="1" ht="12.75">
      <c r="B252" s="172"/>
      <c r="C252" s="172"/>
      <c r="D252" s="172"/>
    </row>
    <row r="253" spans="2:4" s="170" customFormat="1" ht="12.75">
      <c r="B253" s="172"/>
      <c r="C253" s="172"/>
      <c r="D253" s="172"/>
    </row>
    <row r="254" spans="2:4" s="170" customFormat="1" ht="12.75">
      <c r="B254" s="172"/>
      <c r="C254" s="172"/>
      <c r="D254" s="172"/>
    </row>
    <row r="255" spans="2:4" s="170" customFormat="1" ht="12.75">
      <c r="B255" s="172"/>
      <c r="C255" s="172"/>
      <c r="D255" s="172"/>
    </row>
    <row r="256" spans="2:4" s="170" customFormat="1" ht="12.75">
      <c r="B256" s="172"/>
      <c r="C256" s="172"/>
      <c r="D256" s="172"/>
    </row>
  </sheetData>
  <mergeCells count="4">
    <mergeCell ref="A95:D95"/>
    <mergeCell ref="A96:D96"/>
    <mergeCell ref="A3:D3"/>
    <mergeCell ref="A2:D2"/>
  </mergeCells>
  <printOptions horizontalCentered="1"/>
  <pageMargins left="0.5118110236220472" right="0.2755905511811024" top="0.8661417322834646" bottom="0.5905511811023623" header="0.5511811023622047" footer="0"/>
  <pageSetup horizontalDpi="600" verticalDpi="600" orientation="portrait" paperSize="9" scale="74" r:id="rId1"/>
  <headerFooter alignWithMargins="0">
    <oddHeader>&amp;L8. melléklet 24/2013.(IX.13.) önkormányzati rendelethez
"8. melléklet az 1/2013.(II.01.) önkormányzati rendelethez"</oddHeader>
  </headerFooter>
  <rowBreaks count="1" manualBreakCount="1">
    <brk id="73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SheetLayoutView="100" workbookViewId="0" topLeftCell="A1">
      <selection activeCell="A28" sqref="A28"/>
    </sheetView>
  </sheetViews>
  <sheetFormatPr defaultColWidth="9.00390625" defaultRowHeight="12.75"/>
  <cols>
    <col min="1" max="1" width="82.00390625" style="154" customWidth="1"/>
    <col min="2" max="3" width="12.25390625" style="155" customWidth="1"/>
    <col min="4" max="4" width="11.875" style="597" customWidth="1"/>
    <col min="5" max="16384" width="9.125" style="154" customWidth="1"/>
  </cols>
  <sheetData>
    <row r="1" spans="1:3" ht="12.75">
      <c r="A1" s="701"/>
      <c r="B1" s="702"/>
      <c r="C1" s="702"/>
    </row>
    <row r="2" spans="1:4" ht="15.75">
      <c r="A2" s="1326" t="s">
        <v>856</v>
      </c>
      <c r="B2" s="1326"/>
      <c r="C2" s="1326"/>
      <c r="D2" s="1326"/>
    </row>
    <row r="3" spans="1:4" ht="15.75">
      <c r="A3" s="1325" t="s">
        <v>857</v>
      </c>
      <c r="B3" s="1325"/>
      <c r="C3" s="1325"/>
      <c r="D3" s="1325"/>
    </row>
    <row r="4" spans="1:4" ht="13.5" thickBot="1">
      <c r="A4" s="700"/>
      <c r="B4" s="599"/>
      <c r="C4" s="599"/>
      <c r="D4" s="600"/>
    </row>
    <row r="5" spans="1:4" ht="12.75">
      <c r="A5" s="156" t="s">
        <v>789</v>
      </c>
      <c r="B5" s="157" t="s">
        <v>521</v>
      </c>
      <c r="C5" s="157" t="s">
        <v>473</v>
      </c>
      <c r="D5" s="886" t="s">
        <v>549</v>
      </c>
    </row>
    <row r="6" spans="1:4" ht="12.75">
      <c r="A6" s="159"/>
      <c r="B6" s="160"/>
      <c r="C6" s="160"/>
      <c r="D6" s="566"/>
    </row>
    <row r="7" spans="1:4" ht="12.75">
      <c r="A7" s="161" t="s">
        <v>514</v>
      </c>
      <c r="B7" s="162">
        <f>SUM(B9,B24)</f>
        <v>118226</v>
      </c>
      <c r="C7" s="162">
        <f>SUM(C9,C24)</f>
        <v>160226</v>
      </c>
      <c r="D7" s="567">
        <f>SUM(D9,D24)</f>
        <v>164174</v>
      </c>
    </row>
    <row r="8" spans="1:4" ht="12.75">
      <c r="A8" s="159"/>
      <c r="B8" s="160"/>
      <c r="C8" s="160"/>
      <c r="D8" s="566"/>
    </row>
    <row r="9" spans="1:4" s="174" customFormat="1" ht="12.75">
      <c r="A9" s="161" t="s">
        <v>804</v>
      </c>
      <c r="B9" s="162">
        <f>SUM(B10:B15)</f>
        <v>18580</v>
      </c>
      <c r="C9" s="162">
        <f>SUM(C10:C18)</f>
        <v>34980</v>
      </c>
      <c r="D9" s="567">
        <f>SUM(D10:D22)</f>
        <v>44962</v>
      </c>
    </row>
    <row r="10" spans="1:5" ht="12.75">
      <c r="A10" s="159" t="s">
        <v>858</v>
      </c>
      <c r="B10" s="160">
        <v>2480</v>
      </c>
      <c r="C10" s="160">
        <v>2480</v>
      </c>
      <c r="D10" s="566">
        <v>2480</v>
      </c>
      <c r="E10" s="155">
        <f>D10-C10</f>
        <v>0</v>
      </c>
    </row>
    <row r="11" spans="1:5" ht="12.75">
      <c r="A11" s="159" t="s">
        <v>859</v>
      </c>
      <c r="B11" s="160">
        <v>1270</v>
      </c>
      <c r="C11" s="160">
        <v>1270</v>
      </c>
      <c r="D11" s="566">
        <v>1270</v>
      </c>
      <c r="E11" s="155">
        <f aca="true" t="shared" si="0" ref="E11:E66">D11-C11</f>
        <v>0</v>
      </c>
    </row>
    <row r="12" spans="1:5" ht="12.75">
      <c r="A12" s="159" t="s">
        <v>860</v>
      </c>
      <c r="B12" s="160">
        <v>5000</v>
      </c>
      <c r="C12" s="160">
        <v>5000</v>
      </c>
      <c r="D12" s="566">
        <v>5000</v>
      </c>
      <c r="E12" s="155">
        <f t="shared" si="0"/>
        <v>0</v>
      </c>
    </row>
    <row r="13" spans="1:5" ht="12.75">
      <c r="A13" s="159" t="s">
        <v>861</v>
      </c>
      <c r="B13" s="160">
        <v>3302</v>
      </c>
      <c r="C13" s="160">
        <v>3302</v>
      </c>
      <c r="D13" s="566">
        <v>3302</v>
      </c>
      <c r="E13" s="155">
        <f t="shared" si="0"/>
        <v>0</v>
      </c>
    </row>
    <row r="14" spans="1:5" ht="12.75">
      <c r="A14" s="159" t="s">
        <v>862</v>
      </c>
      <c r="B14" s="160">
        <v>432</v>
      </c>
      <c r="C14" s="160">
        <v>432</v>
      </c>
      <c r="D14" s="566">
        <v>432</v>
      </c>
      <c r="E14" s="155">
        <f t="shared" si="0"/>
        <v>0</v>
      </c>
    </row>
    <row r="15" spans="1:5" ht="12.75">
      <c r="A15" s="164" t="s">
        <v>863</v>
      </c>
      <c r="B15" s="160">
        <v>6096</v>
      </c>
      <c r="C15" s="160">
        <v>6096</v>
      </c>
      <c r="D15" s="566">
        <v>6096</v>
      </c>
      <c r="E15" s="155">
        <f t="shared" si="0"/>
        <v>0</v>
      </c>
    </row>
    <row r="16" spans="1:5" ht="12.75">
      <c r="A16" s="164" t="s">
        <v>411</v>
      </c>
      <c r="B16" s="160"/>
      <c r="C16" s="160">
        <v>8000</v>
      </c>
      <c r="D16" s="566">
        <v>8000</v>
      </c>
      <c r="E16" s="155">
        <f t="shared" si="0"/>
        <v>0</v>
      </c>
    </row>
    <row r="17" spans="1:5" ht="12.75">
      <c r="A17" s="164" t="s">
        <v>412</v>
      </c>
      <c r="B17" s="160"/>
      <c r="C17" s="160">
        <v>900</v>
      </c>
      <c r="D17" s="566">
        <v>900</v>
      </c>
      <c r="E17" s="155">
        <f t="shared" si="0"/>
        <v>0</v>
      </c>
    </row>
    <row r="18" spans="1:5" ht="12.75">
      <c r="A18" s="164" t="s">
        <v>413</v>
      </c>
      <c r="B18" s="160"/>
      <c r="C18" s="160">
        <v>7500</v>
      </c>
      <c r="D18" s="566">
        <v>7500</v>
      </c>
      <c r="E18" s="155">
        <f t="shared" si="0"/>
        <v>0</v>
      </c>
    </row>
    <row r="19" spans="1:5" ht="12.75">
      <c r="A19" s="164" t="s">
        <v>249</v>
      </c>
      <c r="B19" s="160"/>
      <c r="C19" s="160"/>
      <c r="D19" s="566">
        <v>416</v>
      </c>
      <c r="E19" s="155">
        <f t="shared" si="0"/>
        <v>416</v>
      </c>
    </row>
    <row r="20" spans="1:5" ht="12.75">
      <c r="A20" s="164" t="s">
        <v>250</v>
      </c>
      <c r="B20" s="160"/>
      <c r="C20" s="160"/>
      <c r="D20" s="566">
        <v>3609</v>
      </c>
      <c r="E20" s="155">
        <f t="shared" si="0"/>
        <v>3609</v>
      </c>
    </row>
    <row r="21" spans="1:5" ht="12.75">
      <c r="A21" s="164" t="s">
        <v>251</v>
      </c>
      <c r="B21" s="160"/>
      <c r="C21" s="160"/>
      <c r="D21" s="566">
        <v>5000</v>
      </c>
      <c r="E21" s="155">
        <f t="shared" si="0"/>
        <v>5000</v>
      </c>
    </row>
    <row r="22" spans="1:5" ht="25.5">
      <c r="A22" s="164" t="s">
        <v>252</v>
      </c>
      <c r="B22" s="160"/>
      <c r="C22" s="160"/>
      <c r="D22" s="566">
        <v>957</v>
      </c>
      <c r="E22" s="155">
        <f t="shared" si="0"/>
        <v>957</v>
      </c>
    </row>
    <row r="23" spans="1:5" ht="12.75">
      <c r="A23" s="159"/>
      <c r="B23" s="160"/>
      <c r="C23" s="160"/>
      <c r="D23" s="566"/>
      <c r="E23" s="155">
        <f t="shared" si="0"/>
        <v>0</v>
      </c>
    </row>
    <row r="24" spans="1:5" ht="12.75">
      <c r="A24" s="161" t="s">
        <v>809</v>
      </c>
      <c r="B24" s="162">
        <f>SUM(B25:B36)</f>
        <v>99646</v>
      </c>
      <c r="C24" s="162">
        <f>SUM(C25:C37)</f>
        <v>125246</v>
      </c>
      <c r="D24" s="567">
        <f>SUM(D25:D40)</f>
        <v>119212</v>
      </c>
      <c r="E24" s="155">
        <f t="shared" si="0"/>
        <v>-6034</v>
      </c>
    </row>
    <row r="25" spans="1:5" ht="12.75">
      <c r="A25" s="159" t="s">
        <v>864</v>
      </c>
      <c r="B25" s="160">
        <v>8990</v>
      </c>
      <c r="C25" s="160">
        <v>8990</v>
      </c>
      <c r="D25" s="566">
        <f>8990+712</f>
        <v>9702</v>
      </c>
      <c r="E25" s="155">
        <f t="shared" si="0"/>
        <v>712</v>
      </c>
    </row>
    <row r="26" spans="1:5" ht="12.75">
      <c r="A26" s="159" t="s">
        <v>3</v>
      </c>
      <c r="B26" s="160">
        <v>8000</v>
      </c>
      <c r="C26" s="160">
        <v>8000</v>
      </c>
      <c r="D26" s="566">
        <v>8000</v>
      </c>
      <c r="E26" s="155">
        <f t="shared" si="0"/>
        <v>0</v>
      </c>
    </row>
    <row r="27" spans="1:5" ht="12.75">
      <c r="A27" s="159" t="s">
        <v>414</v>
      </c>
      <c r="B27" s="160">
        <v>12500</v>
      </c>
      <c r="C27" s="160">
        <f>12500+25000</f>
        <v>37500</v>
      </c>
      <c r="D27" s="566">
        <f>37500-9450</f>
        <v>28050</v>
      </c>
      <c r="E27" s="155">
        <f t="shared" si="0"/>
        <v>-9450</v>
      </c>
    </row>
    <row r="28" spans="1:5" ht="12.75">
      <c r="A28" s="159" t="s">
        <v>4</v>
      </c>
      <c r="B28" s="160">
        <v>10000</v>
      </c>
      <c r="C28" s="160">
        <v>10000</v>
      </c>
      <c r="D28" s="566">
        <f>10000-600</f>
        <v>9400</v>
      </c>
      <c r="E28" s="155">
        <f t="shared" si="0"/>
        <v>-600</v>
      </c>
    </row>
    <row r="29" spans="1:5" ht="12.75">
      <c r="A29" s="159" t="s">
        <v>5</v>
      </c>
      <c r="B29" s="160">
        <v>10000</v>
      </c>
      <c r="C29" s="160">
        <v>10000</v>
      </c>
      <c r="D29" s="566">
        <v>10000</v>
      </c>
      <c r="E29" s="155">
        <f t="shared" si="0"/>
        <v>0</v>
      </c>
    </row>
    <row r="30" spans="1:5" ht="12.75">
      <c r="A30" s="159" t="s">
        <v>6</v>
      </c>
      <c r="B30" s="160">
        <v>15240</v>
      </c>
      <c r="C30" s="160">
        <v>15240</v>
      </c>
      <c r="D30" s="566">
        <v>15240</v>
      </c>
      <c r="E30" s="155">
        <f t="shared" si="0"/>
        <v>0</v>
      </c>
    </row>
    <row r="31" spans="1:5" ht="12.75">
      <c r="A31" s="159" t="s">
        <v>7</v>
      </c>
      <c r="B31" s="160">
        <v>19000</v>
      </c>
      <c r="C31" s="160">
        <v>19000</v>
      </c>
      <c r="D31" s="566">
        <v>19000</v>
      </c>
      <c r="E31" s="155">
        <f t="shared" si="0"/>
        <v>0</v>
      </c>
    </row>
    <row r="32" spans="1:5" ht="12.75">
      <c r="A32" s="159" t="s">
        <v>8</v>
      </c>
      <c r="B32" s="160">
        <v>6000</v>
      </c>
      <c r="C32" s="160">
        <v>6000</v>
      </c>
      <c r="D32" s="566">
        <v>6000</v>
      </c>
      <c r="E32" s="155">
        <f t="shared" si="0"/>
        <v>0</v>
      </c>
    </row>
    <row r="33" spans="1:5" ht="12.75">
      <c r="A33" s="159" t="s">
        <v>9</v>
      </c>
      <c r="B33" s="160">
        <v>3000</v>
      </c>
      <c r="C33" s="160">
        <v>3000</v>
      </c>
      <c r="D33" s="566">
        <v>3000</v>
      </c>
      <c r="E33" s="155">
        <f t="shared" si="0"/>
        <v>0</v>
      </c>
    </row>
    <row r="34" spans="1:5" ht="25.5">
      <c r="A34" s="164" t="s">
        <v>10</v>
      </c>
      <c r="B34" s="160">
        <v>5000</v>
      </c>
      <c r="C34" s="160">
        <v>5000</v>
      </c>
      <c r="D34" s="566">
        <v>5000</v>
      </c>
      <c r="E34" s="155">
        <f t="shared" si="0"/>
        <v>0</v>
      </c>
    </row>
    <row r="35" spans="1:5" ht="12.75">
      <c r="A35" s="164" t="s">
        <v>11</v>
      </c>
      <c r="B35" s="160">
        <v>1016</v>
      </c>
      <c r="C35" s="160">
        <v>1016</v>
      </c>
      <c r="D35" s="566">
        <v>1016</v>
      </c>
      <c r="E35" s="155">
        <f t="shared" si="0"/>
        <v>0</v>
      </c>
    </row>
    <row r="36" spans="1:5" ht="12.75">
      <c r="A36" s="164" t="s">
        <v>12</v>
      </c>
      <c r="B36" s="160">
        <v>900</v>
      </c>
      <c r="C36" s="160">
        <v>900</v>
      </c>
      <c r="D36" s="566">
        <v>900</v>
      </c>
      <c r="E36" s="155">
        <f t="shared" si="0"/>
        <v>0</v>
      </c>
    </row>
    <row r="37" spans="1:5" ht="12.75">
      <c r="A37" s="164" t="s">
        <v>415</v>
      </c>
      <c r="B37" s="160"/>
      <c r="C37" s="160">
        <v>600</v>
      </c>
      <c r="D37" s="566">
        <v>600</v>
      </c>
      <c r="E37" s="155">
        <f t="shared" si="0"/>
        <v>0</v>
      </c>
    </row>
    <row r="38" spans="1:5" ht="12.75">
      <c r="A38" s="164" t="s">
        <v>253</v>
      </c>
      <c r="B38" s="160"/>
      <c r="C38" s="160"/>
      <c r="D38" s="566">
        <v>2391</v>
      </c>
      <c r="E38" s="155">
        <f t="shared" si="0"/>
        <v>2391</v>
      </c>
    </row>
    <row r="39" spans="1:5" ht="12.75">
      <c r="A39" s="164" t="s">
        <v>254</v>
      </c>
      <c r="B39" s="160"/>
      <c r="C39" s="160"/>
      <c r="D39" s="566">
        <v>445</v>
      </c>
      <c r="E39" s="155">
        <f t="shared" si="0"/>
        <v>445</v>
      </c>
    </row>
    <row r="40" spans="1:5" ht="12.75">
      <c r="A40" s="164" t="s">
        <v>798</v>
      </c>
      <c r="B40" s="160"/>
      <c r="C40" s="160"/>
      <c r="D40" s="566">
        <v>468</v>
      </c>
      <c r="E40" s="155">
        <f t="shared" si="0"/>
        <v>468</v>
      </c>
    </row>
    <row r="41" spans="1:5" ht="12.75">
      <c r="A41" s="164"/>
      <c r="B41" s="160"/>
      <c r="C41" s="160"/>
      <c r="D41" s="566"/>
      <c r="E41" s="155">
        <f t="shared" si="0"/>
        <v>0</v>
      </c>
    </row>
    <row r="42" spans="1:5" s="174" customFormat="1" ht="12.75">
      <c r="A42" s="568" t="s">
        <v>517</v>
      </c>
      <c r="B42" s="162"/>
      <c r="C42" s="162">
        <v>0</v>
      </c>
      <c r="D42" s="567">
        <v>0</v>
      </c>
      <c r="E42" s="155">
        <f t="shared" si="0"/>
        <v>0</v>
      </c>
    </row>
    <row r="43" spans="1:5" ht="12.75">
      <c r="A43" s="159"/>
      <c r="B43" s="160"/>
      <c r="C43" s="160"/>
      <c r="D43" s="566"/>
      <c r="E43" s="155">
        <f t="shared" si="0"/>
        <v>0</v>
      </c>
    </row>
    <row r="44" spans="1:5" s="158" customFormat="1" ht="12.75">
      <c r="A44" s="161" t="s">
        <v>838</v>
      </c>
      <c r="B44" s="162">
        <f>SUM(B45:B46)</f>
        <v>9400</v>
      </c>
      <c r="C44" s="162">
        <f>SUM(C45:C46)</f>
        <v>9400</v>
      </c>
      <c r="D44" s="567">
        <f>SUM(D45:D46)</f>
        <v>9400</v>
      </c>
      <c r="E44" s="155">
        <f t="shared" si="0"/>
        <v>0</v>
      </c>
    </row>
    <row r="45" spans="1:5" s="165" customFormat="1" ht="12.75">
      <c r="A45" s="159" t="s">
        <v>13</v>
      </c>
      <c r="B45" s="160">
        <v>4400</v>
      </c>
      <c r="C45" s="160">
        <v>4400</v>
      </c>
      <c r="D45" s="566">
        <v>4400</v>
      </c>
      <c r="E45" s="155">
        <f t="shared" si="0"/>
        <v>0</v>
      </c>
    </row>
    <row r="46" spans="1:5" s="163" customFormat="1" ht="12.75">
      <c r="A46" s="159" t="s">
        <v>14</v>
      </c>
      <c r="B46" s="160">
        <v>5000</v>
      </c>
      <c r="C46" s="160">
        <v>5000</v>
      </c>
      <c r="D46" s="566">
        <v>5000</v>
      </c>
      <c r="E46" s="155">
        <f t="shared" si="0"/>
        <v>0</v>
      </c>
    </row>
    <row r="47" spans="1:5" ht="12.75">
      <c r="A47" s="159"/>
      <c r="B47" s="160"/>
      <c r="C47" s="160"/>
      <c r="D47" s="566"/>
      <c r="E47" s="155">
        <f t="shared" si="0"/>
        <v>0</v>
      </c>
    </row>
    <row r="48" spans="1:5" ht="12.75">
      <c r="A48" s="161" t="s">
        <v>519</v>
      </c>
      <c r="B48" s="162">
        <f>SUM(B49:B50)</f>
        <v>10923</v>
      </c>
      <c r="C48" s="162">
        <f>SUM(C49:C50)</f>
        <v>10923</v>
      </c>
      <c r="D48" s="567">
        <f>SUM(D49:D50)</f>
        <v>10923</v>
      </c>
      <c r="E48" s="155">
        <f t="shared" si="0"/>
        <v>0</v>
      </c>
    </row>
    <row r="49" spans="1:5" ht="25.5">
      <c r="A49" s="164" t="s">
        <v>15</v>
      </c>
      <c r="B49" s="160">
        <v>4458</v>
      </c>
      <c r="C49" s="160">
        <v>4458</v>
      </c>
      <c r="D49" s="566">
        <v>4458</v>
      </c>
      <c r="E49" s="155">
        <f t="shared" si="0"/>
        <v>0</v>
      </c>
    </row>
    <row r="50" spans="1:5" ht="12.75">
      <c r="A50" s="159" t="s">
        <v>16</v>
      </c>
      <c r="B50" s="160">
        <v>6465</v>
      </c>
      <c r="C50" s="160">
        <v>6465</v>
      </c>
      <c r="D50" s="566">
        <v>6465</v>
      </c>
      <c r="E50" s="155">
        <f t="shared" si="0"/>
        <v>0</v>
      </c>
    </row>
    <row r="51" spans="1:5" ht="12.75">
      <c r="A51" s="159"/>
      <c r="B51" s="160"/>
      <c r="C51" s="160"/>
      <c r="D51" s="566"/>
      <c r="E51" s="155">
        <f t="shared" si="0"/>
        <v>0</v>
      </c>
    </row>
    <row r="52" spans="1:5" s="167" customFormat="1" ht="13.5" thickBot="1">
      <c r="A52" s="166" t="s">
        <v>769</v>
      </c>
      <c r="B52" s="811">
        <f>SUM(B7,B44,B48)</f>
        <v>138549</v>
      </c>
      <c r="C52" s="811">
        <f>SUM(C48,C44,C42,C7)</f>
        <v>180549</v>
      </c>
      <c r="D52" s="887">
        <f>SUM(D48,D44,D42,D7)</f>
        <v>184497</v>
      </c>
      <c r="E52" s="155">
        <f t="shared" si="0"/>
        <v>3948</v>
      </c>
    </row>
    <row r="53" spans="1:5" ht="12.75">
      <c r="A53" s="592"/>
      <c r="B53" s="593"/>
      <c r="C53" s="593"/>
      <c r="D53" s="594"/>
      <c r="E53" s="155">
        <f t="shared" si="0"/>
        <v>0</v>
      </c>
    </row>
    <row r="54" spans="1:5" ht="12.75">
      <c r="A54" s="595"/>
      <c r="B54" s="596"/>
      <c r="C54" s="596"/>
      <c r="E54" s="155">
        <f t="shared" si="0"/>
        <v>0</v>
      </c>
    </row>
    <row r="55" spans="1:5" ht="12.75">
      <c r="A55" s="595"/>
      <c r="B55" s="596"/>
      <c r="C55" s="596"/>
      <c r="E55" s="155">
        <f t="shared" si="0"/>
        <v>0</v>
      </c>
    </row>
    <row r="56" spans="1:5" ht="15.75">
      <c r="A56" s="1326" t="s">
        <v>17</v>
      </c>
      <c r="B56" s="1326"/>
      <c r="C56" s="1326"/>
      <c r="D56" s="1326"/>
      <c r="E56" s="155">
        <f t="shared" si="0"/>
        <v>0</v>
      </c>
    </row>
    <row r="57" spans="1:5" ht="15.75">
      <c r="A57" s="1325" t="s">
        <v>788</v>
      </c>
      <c r="B57" s="1325"/>
      <c r="C57" s="1325"/>
      <c r="D57" s="1325"/>
      <c r="E57" s="155">
        <f t="shared" si="0"/>
        <v>0</v>
      </c>
    </row>
    <row r="58" spans="1:5" ht="13.5" thickBot="1">
      <c r="A58" s="598"/>
      <c r="B58" s="599"/>
      <c r="C58" s="599"/>
      <c r="D58" s="600"/>
      <c r="E58" s="155">
        <f t="shared" si="0"/>
        <v>0</v>
      </c>
    </row>
    <row r="59" spans="1:5" ht="12.75">
      <c r="A59" s="156" t="s">
        <v>789</v>
      </c>
      <c r="B59" s="157" t="s">
        <v>521</v>
      </c>
      <c r="C59" s="157" t="s">
        <v>473</v>
      </c>
      <c r="D59" s="886" t="s">
        <v>549</v>
      </c>
      <c r="E59" s="155" t="e">
        <f t="shared" si="0"/>
        <v>#VALUE!</v>
      </c>
    </row>
    <row r="60" spans="1:5" ht="12.75">
      <c r="A60" s="159"/>
      <c r="B60" s="160"/>
      <c r="C60" s="160"/>
      <c r="D60" s="566"/>
      <c r="E60" s="155">
        <f t="shared" si="0"/>
        <v>0</v>
      </c>
    </row>
    <row r="61" spans="1:5" ht="12.75">
      <c r="A61" s="161" t="s">
        <v>514</v>
      </c>
      <c r="B61" s="162">
        <f>SUM(B63)</f>
        <v>30000</v>
      </c>
      <c r="C61" s="162">
        <f>SUM(C63)</f>
        <v>22000</v>
      </c>
      <c r="D61" s="567">
        <f>SUM(D63)</f>
        <v>22000</v>
      </c>
      <c r="E61" s="155">
        <f t="shared" si="0"/>
        <v>0</v>
      </c>
    </row>
    <row r="62" spans="1:5" ht="12.75">
      <c r="A62" s="175"/>
      <c r="B62" s="176"/>
      <c r="C62" s="160"/>
      <c r="D62" s="566"/>
      <c r="E62" s="155">
        <f t="shared" si="0"/>
        <v>0</v>
      </c>
    </row>
    <row r="63" spans="1:5" ht="12.75">
      <c r="A63" s="161" t="s">
        <v>809</v>
      </c>
      <c r="B63" s="162">
        <f>SUM(B64:B64)</f>
        <v>30000</v>
      </c>
      <c r="C63" s="162">
        <f>SUM(C64:C64)</f>
        <v>22000</v>
      </c>
      <c r="D63" s="567">
        <f>SUM(D64:D64)</f>
        <v>22000</v>
      </c>
      <c r="E63" s="155">
        <f t="shared" si="0"/>
        <v>0</v>
      </c>
    </row>
    <row r="64" spans="1:5" ht="12.75">
      <c r="A64" s="159" t="s">
        <v>18</v>
      </c>
      <c r="B64" s="160">
        <v>30000</v>
      </c>
      <c r="C64" s="160">
        <f>30000-8000</f>
        <v>22000</v>
      </c>
      <c r="D64" s="566">
        <v>22000</v>
      </c>
      <c r="E64" s="155">
        <f t="shared" si="0"/>
        <v>0</v>
      </c>
    </row>
    <row r="65" spans="1:5" ht="12.75">
      <c r="A65" s="175"/>
      <c r="B65" s="176"/>
      <c r="C65" s="160"/>
      <c r="D65" s="566"/>
      <c r="E65" s="155">
        <f t="shared" si="0"/>
        <v>0</v>
      </c>
    </row>
    <row r="66" spans="1:5" s="167" customFormat="1" ht="13.5" thickBot="1">
      <c r="A66" s="166" t="s">
        <v>769</v>
      </c>
      <c r="B66" s="811">
        <f>SUM(B61)</f>
        <v>30000</v>
      </c>
      <c r="C66" s="811">
        <f>SUM(C61)</f>
        <v>22000</v>
      </c>
      <c r="D66" s="887">
        <f>SUM(D61)</f>
        <v>22000</v>
      </c>
      <c r="E66" s="155">
        <f t="shared" si="0"/>
        <v>0</v>
      </c>
    </row>
  </sheetData>
  <mergeCells count="4">
    <mergeCell ref="A57:D57"/>
    <mergeCell ref="A56:D56"/>
    <mergeCell ref="A3:D3"/>
    <mergeCell ref="A2:D2"/>
  </mergeCells>
  <printOptions horizontalCentered="1"/>
  <pageMargins left="0.4724409448818898" right="0.2362204724409449" top="0.76" bottom="0.4330708661417323" header="0.5118110236220472" footer="0.5118110236220472"/>
  <pageSetup horizontalDpi="600" verticalDpi="600" orientation="portrait" paperSize="9" scale="81" r:id="rId1"/>
  <headerFooter alignWithMargins="0">
    <oddHeader>&amp;L9. melléklet a 24/2013.(IX.13.) önkormányzati rendelethez
"9. melléklet az 1/2013.(II.01.) önkormányzati rendelethez"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78"/>
  <sheetViews>
    <sheetView zoomScaleSheetLayoutView="100" workbookViewId="0" topLeftCell="A1">
      <selection activeCell="F41" sqref="F41"/>
    </sheetView>
  </sheetViews>
  <sheetFormatPr defaultColWidth="9.00390625" defaultRowHeight="12.75"/>
  <cols>
    <col min="1" max="1" width="64.25390625" style="0" customWidth="1"/>
    <col min="2" max="4" width="10.75390625" style="0" customWidth="1"/>
    <col min="5" max="5" width="10.25390625" style="0" customWidth="1"/>
    <col min="6" max="6" width="11.625" style="0" customWidth="1"/>
    <col min="7" max="7" width="13.00390625" style="0" customWidth="1"/>
  </cols>
  <sheetData>
    <row r="1" spans="1:7" ht="12.75" customHeight="1">
      <c r="A1" s="1327" t="s">
        <v>19</v>
      </c>
      <c r="B1" s="1327"/>
      <c r="C1" s="1327"/>
      <c r="D1" s="1327"/>
      <c r="E1" s="1327"/>
      <c r="F1" s="1327"/>
      <c r="G1" s="1327"/>
    </row>
    <row r="2" spans="1:6" ht="12.75">
      <c r="A2" s="1327" t="s">
        <v>20</v>
      </c>
      <c r="B2" s="1327"/>
      <c r="C2" s="1327"/>
      <c r="D2" s="1327"/>
      <c r="E2" s="1327"/>
      <c r="F2" s="1327"/>
    </row>
    <row r="3" spans="1:4" ht="16.5" thickBot="1">
      <c r="A3" s="15"/>
      <c r="B3" s="12"/>
      <c r="C3" s="12"/>
      <c r="D3" s="12"/>
    </row>
    <row r="4" spans="1:7" ht="51">
      <c r="A4" s="11" t="s">
        <v>789</v>
      </c>
      <c r="B4" s="181" t="s">
        <v>522</v>
      </c>
      <c r="C4" s="181" t="s">
        <v>473</v>
      </c>
      <c r="D4" s="181" t="s">
        <v>549</v>
      </c>
      <c r="E4" s="182" t="s">
        <v>21</v>
      </c>
      <c r="F4" s="182" t="s">
        <v>464</v>
      </c>
      <c r="G4" s="929" t="s">
        <v>550</v>
      </c>
    </row>
    <row r="5" spans="1:7" ht="15" customHeight="1">
      <c r="A5" s="186" t="s">
        <v>22</v>
      </c>
      <c r="B5" s="177"/>
      <c r="C5" s="177"/>
      <c r="D5" s="177"/>
      <c r="E5" s="178">
        <v>32000</v>
      </c>
      <c r="F5" s="178">
        <v>32000</v>
      </c>
      <c r="G5" s="817">
        <v>32000</v>
      </c>
    </row>
    <row r="6" spans="1:7" ht="15" customHeight="1">
      <c r="A6" s="187" t="s">
        <v>23</v>
      </c>
      <c r="B6" s="178"/>
      <c r="C6" s="178"/>
      <c r="D6" s="178"/>
      <c r="E6" s="178">
        <v>18000</v>
      </c>
      <c r="F6" s="178">
        <v>18000</v>
      </c>
      <c r="G6" s="817">
        <v>18000</v>
      </c>
    </row>
    <row r="7" spans="1:7" ht="15" customHeight="1">
      <c r="A7" s="187" t="s">
        <v>24</v>
      </c>
      <c r="B7" s="178"/>
      <c r="C7" s="178"/>
      <c r="D7" s="178"/>
      <c r="E7" s="178">
        <v>36</v>
      </c>
      <c r="F7" s="178">
        <v>36</v>
      </c>
      <c r="G7" s="817">
        <v>36</v>
      </c>
    </row>
    <row r="8" spans="1:7" ht="15" customHeight="1">
      <c r="A8" s="187" t="s">
        <v>25</v>
      </c>
      <c r="B8" s="178"/>
      <c r="C8" s="178"/>
      <c r="D8" s="178"/>
      <c r="E8" s="178">
        <v>18000</v>
      </c>
      <c r="F8" s="178">
        <v>18000</v>
      </c>
      <c r="G8" s="817">
        <v>18000</v>
      </c>
    </row>
    <row r="9" spans="1:7" ht="15" customHeight="1">
      <c r="A9" s="187" t="s">
        <v>26</v>
      </c>
      <c r="B9" s="178"/>
      <c r="C9" s="178"/>
      <c r="D9" s="178"/>
      <c r="E9" s="178">
        <v>7200</v>
      </c>
      <c r="F9" s="178">
        <v>7200</v>
      </c>
      <c r="G9" s="817">
        <v>7200</v>
      </c>
    </row>
    <row r="10" spans="1:7" ht="15" customHeight="1">
      <c r="A10" s="187" t="s">
        <v>27</v>
      </c>
      <c r="B10" s="178"/>
      <c r="C10" s="178"/>
      <c r="D10" s="178"/>
      <c r="E10" s="178">
        <v>1523</v>
      </c>
      <c r="F10" s="178">
        <v>1523</v>
      </c>
      <c r="G10" s="817">
        <v>1523</v>
      </c>
    </row>
    <row r="11" spans="1:7" ht="15" customHeight="1">
      <c r="A11" s="187" t="s">
        <v>28</v>
      </c>
      <c r="B11" s="178">
        <v>1700</v>
      </c>
      <c r="C11" s="178">
        <v>1700</v>
      </c>
      <c r="D11" s="178">
        <v>4200</v>
      </c>
      <c r="E11" s="178"/>
      <c r="F11" s="178"/>
      <c r="G11" s="817"/>
    </row>
    <row r="12" spans="1:7" ht="15" customHeight="1">
      <c r="A12" s="187" t="s">
        <v>29</v>
      </c>
      <c r="B12" s="178">
        <v>11000</v>
      </c>
      <c r="C12" s="178">
        <v>11000</v>
      </c>
      <c r="D12" s="178">
        <v>12500</v>
      </c>
      <c r="E12" s="178"/>
      <c r="F12" s="178"/>
      <c r="G12" s="817"/>
    </row>
    <row r="13" spans="1:7" ht="15" customHeight="1">
      <c r="A13" s="187" t="s">
        <v>30</v>
      </c>
      <c r="B13" s="178">
        <v>2500</v>
      </c>
      <c r="C13" s="178">
        <v>2500</v>
      </c>
      <c r="D13" s="178">
        <v>1500</v>
      </c>
      <c r="E13" s="178"/>
      <c r="F13" s="178"/>
      <c r="G13" s="817"/>
    </row>
    <row r="14" spans="1:7" ht="15" customHeight="1">
      <c r="A14" s="187" t="s">
        <v>31</v>
      </c>
      <c r="B14" s="178">
        <v>4000</v>
      </c>
      <c r="C14" s="178">
        <v>4000</v>
      </c>
      <c r="D14" s="178">
        <v>4000</v>
      </c>
      <c r="E14" s="178"/>
      <c r="F14" s="178"/>
      <c r="G14" s="817"/>
    </row>
    <row r="15" spans="1:7" ht="15" customHeight="1">
      <c r="A15" s="187" t="s">
        <v>32</v>
      </c>
      <c r="B15" s="178">
        <v>150</v>
      </c>
      <c r="C15" s="178">
        <v>150</v>
      </c>
      <c r="D15" s="178">
        <v>150</v>
      </c>
      <c r="E15" s="178"/>
      <c r="F15" s="178"/>
      <c r="G15" s="817"/>
    </row>
    <row r="16" spans="1:7" ht="15" customHeight="1">
      <c r="A16" s="187" t="s">
        <v>33</v>
      </c>
      <c r="B16" s="178">
        <v>28000</v>
      </c>
      <c r="C16" s="178">
        <v>28000</v>
      </c>
      <c r="D16" s="178">
        <v>28000</v>
      </c>
      <c r="E16" s="178"/>
      <c r="F16" s="178"/>
      <c r="G16" s="817"/>
    </row>
    <row r="17" spans="1:7" ht="15" customHeight="1">
      <c r="A17" s="187" t="s">
        <v>34</v>
      </c>
      <c r="B17" s="178"/>
      <c r="C17" s="178"/>
      <c r="D17" s="178"/>
      <c r="E17" s="178">
        <v>300</v>
      </c>
      <c r="F17" s="178">
        <v>300</v>
      </c>
      <c r="G17" s="817">
        <v>300</v>
      </c>
    </row>
    <row r="18" spans="1:7" s="9" customFormat="1" ht="15" customHeight="1">
      <c r="A18" s="13" t="s">
        <v>35</v>
      </c>
      <c r="B18" s="179">
        <f aca="true" t="shared" si="0" ref="B18:G18">SUM(B5:B17)</f>
        <v>47350</v>
      </c>
      <c r="C18" s="179">
        <f t="shared" si="0"/>
        <v>47350</v>
      </c>
      <c r="D18" s="179">
        <f t="shared" si="0"/>
        <v>50350</v>
      </c>
      <c r="E18" s="179">
        <f t="shared" si="0"/>
        <v>77059</v>
      </c>
      <c r="F18" s="179">
        <f t="shared" si="0"/>
        <v>77059</v>
      </c>
      <c r="G18" s="818">
        <f t="shared" si="0"/>
        <v>77059</v>
      </c>
    </row>
    <row r="19" spans="1:7" ht="15" customHeight="1">
      <c r="A19" s="247"/>
      <c r="B19" s="180"/>
      <c r="C19" s="180"/>
      <c r="D19" s="180"/>
      <c r="E19" s="178"/>
      <c r="F19" s="178"/>
      <c r="G19" s="817"/>
    </row>
    <row r="20" spans="1:7" ht="15" customHeight="1">
      <c r="A20" s="187" t="s">
        <v>36</v>
      </c>
      <c r="B20" s="178">
        <v>4000</v>
      </c>
      <c r="C20" s="178">
        <v>4000</v>
      </c>
      <c r="D20" s="178">
        <v>4000</v>
      </c>
      <c r="E20" s="178"/>
      <c r="F20" s="178"/>
      <c r="G20" s="817"/>
    </row>
    <row r="21" spans="1:7" ht="15" customHeight="1">
      <c r="A21" s="187" t="s">
        <v>37</v>
      </c>
      <c r="B21" s="178">
        <v>2500</v>
      </c>
      <c r="C21" s="178">
        <v>2500</v>
      </c>
      <c r="D21" s="178">
        <v>1000</v>
      </c>
      <c r="E21" s="178"/>
      <c r="F21" s="178"/>
      <c r="G21" s="817"/>
    </row>
    <row r="22" spans="1:7" ht="15" customHeight="1">
      <c r="A22" s="187" t="s">
        <v>38</v>
      </c>
      <c r="B22" s="178">
        <v>2500</v>
      </c>
      <c r="C22" s="178">
        <v>2500</v>
      </c>
      <c r="D22" s="178">
        <v>2500</v>
      </c>
      <c r="E22" s="178"/>
      <c r="F22" s="178"/>
      <c r="G22" s="817"/>
    </row>
    <row r="23" spans="1:7" ht="15" customHeight="1">
      <c r="A23" s="187" t="s">
        <v>39</v>
      </c>
      <c r="B23" s="178">
        <v>5000</v>
      </c>
      <c r="C23" s="178">
        <v>5000</v>
      </c>
      <c r="D23" s="178">
        <v>6000</v>
      </c>
      <c r="E23" s="178"/>
      <c r="F23" s="178"/>
      <c r="G23" s="817"/>
    </row>
    <row r="24" spans="1:7" s="9" customFormat="1" ht="15" customHeight="1">
      <c r="A24" s="13" t="s">
        <v>40</v>
      </c>
      <c r="B24" s="179">
        <f aca="true" t="shared" si="1" ref="B24:G24">SUM(B20+B21+B22+B23)</f>
        <v>14000</v>
      </c>
      <c r="C24" s="179">
        <f t="shared" si="1"/>
        <v>14000</v>
      </c>
      <c r="D24" s="179">
        <f t="shared" si="1"/>
        <v>13500</v>
      </c>
      <c r="E24" s="179">
        <f t="shared" si="1"/>
        <v>0</v>
      </c>
      <c r="F24" s="179">
        <f t="shared" si="1"/>
        <v>0</v>
      </c>
      <c r="G24" s="818">
        <f t="shared" si="1"/>
        <v>0</v>
      </c>
    </row>
    <row r="25" spans="1:7" ht="15" customHeight="1">
      <c r="A25" s="187"/>
      <c r="B25" s="178"/>
      <c r="C25" s="178"/>
      <c r="D25" s="178"/>
      <c r="E25" s="178"/>
      <c r="F25" s="178"/>
      <c r="G25" s="817"/>
    </row>
    <row r="26" spans="1:7" s="9" customFormat="1" ht="15" customHeight="1" thickBot="1">
      <c r="A26" s="188" t="s">
        <v>43</v>
      </c>
      <c r="B26" s="189">
        <f aca="true" t="shared" si="2" ref="B26:G26">SUM(B18+B24)</f>
        <v>61350</v>
      </c>
      <c r="C26" s="189">
        <f>SUM(C18+C24)</f>
        <v>61350</v>
      </c>
      <c r="D26" s="189">
        <f t="shared" si="2"/>
        <v>63850</v>
      </c>
      <c r="E26" s="189">
        <f t="shared" si="2"/>
        <v>77059</v>
      </c>
      <c r="F26" s="189">
        <f>SUM(F18+F24)</f>
        <v>77059</v>
      </c>
      <c r="G26" s="819">
        <f t="shared" si="2"/>
        <v>77059</v>
      </c>
    </row>
    <row r="27" spans="1:4" ht="12.75">
      <c r="A27" s="12"/>
      <c r="B27" s="12"/>
      <c r="C27" s="12"/>
      <c r="D27" s="12"/>
    </row>
    <row r="29" spans="1:7" ht="12.75" customHeight="1">
      <c r="A29" s="1327" t="s">
        <v>44</v>
      </c>
      <c r="B29" s="1327"/>
      <c r="C29" s="1327"/>
      <c r="D29" s="1327"/>
      <c r="E29" s="1327"/>
      <c r="F29" s="1327"/>
      <c r="G29" s="1327"/>
    </row>
    <row r="30" spans="1:6" ht="12.75">
      <c r="A30" s="1327" t="s">
        <v>20</v>
      </c>
      <c r="B30" s="1327"/>
      <c r="C30" s="1327"/>
      <c r="D30" s="1327"/>
      <c r="E30" s="1327"/>
      <c r="F30" s="1327"/>
    </row>
    <row r="31" spans="1:4" ht="16.5" thickBot="1">
      <c r="A31" s="15"/>
      <c r="B31" s="12"/>
      <c r="C31" s="12"/>
      <c r="D31" s="12"/>
    </row>
    <row r="32" spans="1:7" ht="51">
      <c r="A32" s="11" t="s">
        <v>789</v>
      </c>
      <c r="B32" s="181" t="s">
        <v>522</v>
      </c>
      <c r="C32" s="181" t="s">
        <v>473</v>
      </c>
      <c r="D32" s="181" t="s">
        <v>549</v>
      </c>
      <c r="E32" s="182" t="s">
        <v>21</v>
      </c>
      <c r="F32" s="182" t="s">
        <v>464</v>
      </c>
      <c r="G32" s="929" t="s">
        <v>550</v>
      </c>
    </row>
    <row r="33" spans="1:7" ht="12.75">
      <c r="A33" s="186" t="s">
        <v>22</v>
      </c>
      <c r="B33" s="177">
        <v>40000</v>
      </c>
      <c r="C33" s="177">
        <v>8162</v>
      </c>
      <c r="D33" s="177">
        <v>8162</v>
      </c>
      <c r="E33" s="178"/>
      <c r="F33" s="531"/>
      <c r="G33" s="533"/>
    </row>
    <row r="34" spans="1:7" ht="12.75">
      <c r="A34" s="187" t="s">
        <v>23</v>
      </c>
      <c r="B34" s="178">
        <v>20000</v>
      </c>
      <c r="C34" s="178">
        <v>3442</v>
      </c>
      <c r="D34" s="178">
        <v>3442</v>
      </c>
      <c r="E34" s="178"/>
      <c r="F34" s="531"/>
      <c r="G34" s="533"/>
    </row>
    <row r="35" spans="1:7" ht="12.75">
      <c r="A35" s="187" t="s">
        <v>45</v>
      </c>
      <c r="B35" s="178">
        <v>4000</v>
      </c>
      <c r="C35" s="178">
        <v>566</v>
      </c>
      <c r="D35" s="178">
        <v>566</v>
      </c>
      <c r="E35" s="178"/>
      <c r="F35" s="531"/>
      <c r="G35" s="533"/>
    </row>
    <row r="36" spans="1:7" ht="12.75">
      <c r="A36" s="187" t="s">
        <v>24</v>
      </c>
      <c r="B36" s="178">
        <v>36</v>
      </c>
      <c r="C36" s="178">
        <v>0</v>
      </c>
      <c r="D36" s="178">
        <v>0</v>
      </c>
      <c r="E36" s="178"/>
      <c r="F36" s="531"/>
      <c r="G36" s="533"/>
    </row>
    <row r="37" spans="1:7" ht="12.75">
      <c r="A37" s="187" t="s">
        <v>25</v>
      </c>
      <c r="B37" s="178">
        <v>20000</v>
      </c>
      <c r="C37" s="178">
        <v>3382</v>
      </c>
      <c r="D37" s="178">
        <v>3382</v>
      </c>
      <c r="E37" s="178"/>
      <c r="F37" s="531"/>
      <c r="G37" s="533"/>
    </row>
    <row r="38" spans="1:7" ht="12.75">
      <c r="A38" s="187" t="s">
        <v>46</v>
      </c>
      <c r="B38" s="178">
        <v>8000</v>
      </c>
      <c r="C38" s="178">
        <v>525</v>
      </c>
      <c r="D38" s="178">
        <v>525</v>
      </c>
      <c r="E38" s="178"/>
      <c r="F38" s="531"/>
      <c r="G38" s="533"/>
    </row>
    <row r="39" spans="1:7" ht="12.75">
      <c r="A39" s="187" t="s">
        <v>27</v>
      </c>
      <c r="B39" s="178">
        <v>1901</v>
      </c>
      <c r="C39" s="178">
        <v>2200</v>
      </c>
      <c r="D39" s="178">
        <v>2200</v>
      </c>
      <c r="E39" s="178"/>
      <c r="F39" s="531"/>
      <c r="G39" s="533"/>
    </row>
    <row r="40" spans="1:7" ht="12.75">
      <c r="A40" s="187" t="s">
        <v>47</v>
      </c>
      <c r="B40" s="178">
        <v>127</v>
      </c>
      <c r="C40" s="178">
        <v>0</v>
      </c>
      <c r="D40" s="178">
        <v>0</v>
      </c>
      <c r="E40" s="178"/>
      <c r="F40" s="531"/>
      <c r="G40" s="533"/>
    </row>
    <row r="41" spans="1:7" ht="12.75">
      <c r="A41" s="187" t="s">
        <v>34</v>
      </c>
      <c r="B41" s="178">
        <v>300</v>
      </c>
      <c r="C41" s="178">
        <v>0</v>
      </c>
      <c r="D41" s="178">
        <v>0</v>
      </c>
      <c r="E41" s="178"/>
      <c r="F41" s="531"/>
      <c r="G41" s="533"/>
    </row>
    <row r="42" spans="1:7" ht="13.5" thickBot="1">
      <c r="A42" s="188" t="s">
        <v>35</v>
      </c>
      <c r="B42" s="189">
        <f>SUM(B33:B41)</f>
        <v>94364</v>
      </c>
      <c r="C42" s="189">
        <f>SUM(C33:C41)</f>
        <v>18277</v>
      </c>
      <c r="D42" s="189">
        <f>SUM(D33:D41)</f>
        <v>18277</v>
      </c>
      <c r="E42" s="189">
        <f>SUM(E33:E41)</f>
        <v>0</v>
      </c>
      <c r="F42" s="532">
        <f>SUM(F33:F41)</f>
        <v>0</v>
      </c>
      <c r="G42" s="534">
        <v>0</v>
      </c>
    </row>
    <row r="45" spans="1:7" ht="12.75" customHeight="1">
      <c r="A45" s="1327" t="s">
        <v>48</v>
      </c>
      <c r="B45" s="1327"/>
      <c r="C45" s="1327"/>
      <c r="D45" s="1327"/>
      <c r="E45" s="1327"/>
      <c r="F45" s="1327"/>
      <c r="G45" s="1327"/>
    </row>
    <row r="46" spans="1:6" ht="12.75">
      <c r="A46" s="1327" t="s">
        <v>20</v>
      </c>
      <c r="B46" s="1327"/>
      <c r="C46" s="1327"/>
      <c r="D46" s="1327"/>
      <c r="E46" s="1327"/>
      <c r="F46" s="1327"/>
    </row>
    <row r="47" spans="1:4" ht="16.5" thickBot="1">
      <c r="A47" s="15"/>
      <c r="B47" s="12"/>
      <c r="C47" s="12"/>
      <c r="D47" s="12"/>
    </row>
    <row r="48" spans="1:7" ht="51">
      <c r="A48" s="11" t="s">
        <v>789</v>
      </c>
      <c r="B48" s="181" t="s">
        <v>522</v>
      </c>
      <c r="C48" s="181" t="s">
        <v>473</v>
      </c>
      <c r="D48" s="181" t="s">
        <v>549</v>
      </c>
      <c r="E48" s="182" t="s">
        <v>21</v>
      </c>
      <c r="F48" s="182" t="s">
        <v>464</v>
      </c>
      <c r="G48" s="929" t="s">
        <v>550</v>
      </c>
    </row>
    <row r="49" spans="1:7" ht="12.75">
      <c r="A49" s="183" t="s">
        <v>49</v>
      </c>
      <c r="B49" s="184"/>
      <c r="C49" s="184"/>
      <c r="D49" s="184"/>
      <c r="E49" s="185"/>
      <c r="F49" s="821"/>
      <c r="G49" s="820"/>
    </row>
    <row r="50" spans="1:7" ht="12.75">
      <c r="A50" s="186" t="s">
        <v>22</v>
      </c>
      <c r="B50" s="177">
        <v>0</v>
      </c>
      <c r="C50" s="177">
        <v>31539</v>
      </c>
      <c r="D50" s="177">
        <v>31539</v>
      </c>
      <c r="E50" s="178"/>
      <c r="F50" s="178"/>
      <c r="G50" s="817"/>
    </row>
    <row r="51" spans="1:7" ht="12.75">
      <c r="A51" s="187" t="s">
        <v>23</v>
      </c>
      <c r="B51" s="178">
        <v>0</v>
      </c>
      <c r="C51" s="178">
        <v>16558</v>
      </c>
      <c r="D51" s="178">
        <v>16558</v>
      </c>
      <c r="E51" s="178"/>
      <c r="F51" s="178"/>
      <c r="G51" s="817"/>
    </row>
    <row r="52" spans="1:7" ht="12.75">
      <c r="A52" s="187" t="s">
        <v>45</v>
      </c>
      <c r="B52" s="178">
        <v>0</v>
      </c>
      <c r="C52" s="178">
        <v>3434</v>
      </c>
      <c r="D52" s="178">
        <v>3434</v>
      </c>
      <c r="E52" s="178"/>
      <c r="F52" s="178"/>
      <c r="G52" s="817"/>
    </row>
    <row r="53" spans="1:7" ht="12.75">
      <c r="A53" s="187" t="s">
        <v>24</v>
      </c>
      <c r="B53" s="178">
        <v>0</v>
      </c>
      <c r="C53" s="178">
        <v>36</v>
      </c>
      <c r="D53" s="178">
        <v>36</v>
      </c>
      <c r="E53" s="178"/>
      <c r="F53" s="178"/>
      <c r="G53" s="817"/>
    </row>
    <row r="54" spans="1:7" ht="12.75">
      <c r="A54" s="187" t="s">
        <v>25</v>
      </c>
      <c r="B54" s="178">
        <v>0</v>
      </c>
      <c r="C54" s="178">
        <v>16618</v>
      </c>
      <c r="D54" s="178">
        <v>16618</v>
      </c>
      <c r="E54" s="178"/>
      <c r="F54" s="178"/>
      <c r="G54" s="817"/>
    </row>
    <row r="55" spans="1:7" ht="12.75">
      <c r="A55" s="187" t="s">
        <v>46</v>
      </c>
      <c r="B55" s="178">
        <v>0</v>
      </c>
      <c r="C55" s="178">
        <v>7475</v>
      </c>
      <c r="D55" s="178">
        <v>7475</v>
      </c>
      <c r="E55" s="178"/>
      <c r="F55" s="178"/>
      <c r="G55" s="817"/>
    </row>
    <row r="56" spans="1:7" ht="12.75">
      <c r="A56" s="187" t="s">
        <v>27</v>
      </c>
      <c r="B56" s="178">
        <v>0</v>
      </c>
      <c r="C56" s="178">
        <v>0</v>
      </c>
      <c r="D56" s="178">
        <v>0</v>
      </c>
      <c r="E56" s="178"/>
      <c r="F56" s="178"/>
      <c r="G56" s="817"/>
    </row>
    <row r="57" spans="1:7" ht="12.75">
      <c r="A57" s="187" t="s">
        <v>47</v>
      </c>
      <c r="B57" s="178">
        <v>0</v>
      </c>
      <c r="C57" s="178">
        <v>127</v>
      </c>
      <c r="D57" s="178">
        <v>127</v>
      </c>
      <c r="E57" s="178"/>
      <c r="F57" s="178"/>
      <c r="G57" s="817"/>
    </row>
    <row r="58" spans="1:7" ht="12.75">
      <c r="A58" s="187" t="s">
        <v>34</v>
      </c>
      <c r="B58" s="178">
        <v>0</v>
      </c>
      <c r="C58" s="178">
        <v>300</v>
      </c>
      <c r="D58" s="178">
        <v>300</v>
      </c>
      <c r="E58" s="178"/>
      <c r="F58" s="178"/>
      <c r="G58" s="817"/>
    </row>
    <row r="59" spans="1:7" s="9" customFormat="1" ht="12.75">
      <c r="A59" s="13" t="s">
        <v>50</v>
      </c>
      <c r="B59" s="179">
        <f aca="true" t="shared" si="3" ref="B59:G59">SUM(B50:B58)</f>
        <v>0</v>
      </c>
      <c r="C59" s="179">
        <f t="shared" si="3"/>
        <v>76087</v>
      </c>
      <c r="D59" s="179">
        <f t="shared" si="3"/>
        <v>76087</v>
      </c>
      <c r="E59" s="179">
        <f t="shared" si="3"/>
        <v>0</v>
      </c>
      <c r="F59" s="179">
        <f t="shared" si="3"/>
        <v>0</v>
      </c>
      <c r="G59" s="818">
        <f t="shared" si="3"/>
        <v>0</v>
      </c>
    </row>
    <row r="60" spans="1:7" ht="12.75">
      <c r="A60" s="187"/>
      <c r="B60" s="178"/>
      <c r="C60" s="178"/>
      <c r="D60" s="178"/>
      <c r="E60" s="178"/>
      <c r="F60" s="178"/>
      <c r="G60" s="817"/>
    </row>
    <row r="61" spans="1:7" s="9" customFormat="1" ht="12.75">
      <c r="A61" s="13" t="s">
        <v>51</v>
      </c>
      <c r="B61" s="179"/>
      <c r="C61" s="179"/>
      <c r="D61" s="179"/>
      <c r="E61" s="179"/>
      <c r="F61" s="179"/>
      <c r="G61" s="818"/>
    </row>
    <row r="62" spans="1:7" s="2" customFormat="1" ht="12.75">
      <c r="A62" s="187" t="s">
        <v>52</v>
      </c>
      <c r="B62" s="178"/>
      <c r="C62" s="178">
        <v>1920</v>
      </c>
      <c r="D62" s="178">
        <v>1920</v>
      </c>
      <c r="E62" s="178"/>
      <c r="F62" s="178"/>
      <c r="G62" s="817"/>
    </row>
    <row r="63" spans="1:7" s="2" customFormat="1" ht="12.75">
      <c r="A63" s="187" t="s">
        <v>25</v>
      </c>
      <c r="B63" s="178"/>
      <c r="C63" s="178">
        <v>446</v>
      </c>
      <c r="D63" s="178">
        <v>446</v>
      </c>
      <c r="E63" s="178"/>
      <c r="F63" s="178"/>
      <c r="G63" s="817"/>
    </row>
    <row r="64" spans="1:7" s="2" customFormat="1" ht="12.75">
      <c r="A64" s="187" t="s">
        <v>24</v>
      </c>
      <c r="B64" s="178">
        <v>0</v>
      </c>
      <c r="C64" s="178">
        <v>205</v>
      </c>
      <c r="D64" s="178">
        <v>205</v>
      </c>
      <c r="E64" s="178"/>
      <c r="F64" s="178"/>
      <c r="G64" s="817"/>
    </row>
    <row r="65" spans="1:7" s="9" customFormat="1" ht="12.75">
      <c r="A65" s="13" t="s">
        <v>53</v>
      </c>
      <c r="B65" s="179">
        <f>SUM(B64)</f>
        <v>0</v>
      </c>
      <c r="C65" s="179">
        <f>SUM(C62:C64)</f>
        <v>2571</v>
      </c>
      <c r="D65" s="179">
        <f>SUM(D62:D64)</f>
        <v>2571</v>
      </c>
      <c r="E65" s="179">
        <f>SUM(E64)</f>
        <v>0</v>
      </c>
      <c r="F65" s="179">
        <f>SUM(F64)</f>
        <v>0</v>
      </c>
      <c r="G65" s="818">
        <f>SUM(G64)</f>
        <v>0</v>
      </c>
    </row>
    <row r="66" spans="1:7" ht="12.75">
      <c r="A66" s="187"/>
      <c r="B66" s="178"/>
      <c r="C66" s="178"/>
      <c r="D66" s="178"/>
      <c r="E66" s="178"/>
      <c r="F66" s="178"/>
      <c r="G66" s="817"/>
    </row>
    <row r="67" spans="1:7" s="9" customFormat="1" ht="12.75">
      <c r="A67" s="13" t="s">
        <v>54</v>
      </c>
      <c r="B67" s="179"/>
      <c r="C67" s="179"/>
      <c r="D67" s="179"/>
      <c r="E67" s="179"/>
      <c r="F67" s="179"/>
      <c r="G67" s="818"/>
    </row>
    <row r="68" spans="1:7" s="2" customFormat="1" ht="12.75">
      <c r="A68" s="187" t="s">
        <v>52</v>
      </c>
      <c r="B68" s="178"/>
      <c r="C68" s="178">
        <v>1326</v>
      </c>
      <c r="D68" s="178">
        <v>1326</v>
      </c>
      <c r="E68" s="178"/>
      <c r="F68" s="178"/>
      <c r="G68" s="817"/>
    </row>
    <row r="69" spans="1:7" s="2" customFormat="1" ht="12.75">
      <c r="A69" s="187" t="s">
        <v>25</v>
      </c>
      <c r="B69" s="178"/>
      <c r="C69" s="178">
        <v>100</v>
      </c>
      <c r="D69" s="178">
        <v>100</v>
      </c>
      <c r="E69" s="178"/>
      <c r="F69" s="178"/>
      <c r="G69" s="817"/>
    </row>
    <row r="70" spans="1:7" s="2" customFormat="1" ht="12.75">
      <c r="A70" s="187" t="s">
        <v>55</v>
      </c>
      <c r="B70" s="178">
        <v>0</v>
      </c>
      <c r="C70" s="178">
        <v>1500</v>
      </c>
      <c r="D70" s="178">
        <v>1500</v>
      </c>
      <c r="E70" s="178"/>
      <c r="F70" s="178"/>
      <c r="G70" s="817"/>
    </row>
    <row r="71" spans="1:7" s="9" customFormat="1" ht="12.75">
      <c r="A71" s="13" t="s">
        <v>56</v>
      </c>
      <c r="B71" s="179">
        <f>SUM(B70)</f>
        <v>0</v>
      </c>
      <c r="C71" s="179">
        <f>SUM(C68:C70)</f>
        <v>2926</v>
      </c>
      <c r="D71" s="179">
        <f>SUM(D68:D70)</f>
        <v>2926</v>
      </c>
      <c r="E71" s="179">
        <f>SUM(E70)</f>
        <v>0</v>
      </c>
      <c r="F71" s="179">
        <f>SUM(F70)</f>
        <v>0</v>
      </c>
      <c r="G71" s="818">
        <f>SUM(G70)</f>
        <v>0</v>
      </c>
    </row>
    <row r="72" spans="1:7" ht="12.75">
      <c r="A72" s="187"/>
      <c r="B72" s="178"/>
      <c r="C72" s="178"/>
      <c r="D72" s="178"/>
      <c r="E72" s="178"/>
      <c r="F72" s="178"/>
      <c r="G72" s="817"/>
    </row>
    <row r="73" spans="1:7" s="9" customFormat="1" ht="12.75">
      <c r="A73" s="13" t="s">
        <v>57</v>
      </c>
      <c r="B73" s="179"/>
      <c r="C73" s="179"/>
      <c r="D73" s="179"/>
      <c r="E73" s="179"/>
      <c r="F73" s="179"/>
      <c r="G73" s="818"/>
    </row>
    <row r="74" spans="1:7" s="2" customFormat="1" ht="12.75">
      <c r="A74" s="187" t="s">
        <v>52</v>
      </c>
      <c r="B74" s="178"/>
      <c r="C74" s="178">
        <v>205</v>
      </c>
      <c r="D74" s="178">
        <v>205</v>
      </c>
      <c r="E74" s="178"/>
      <c r="F74" s="178"/>
      <c r="G74" s="817"/>
    </row>
    <row r="75" spans="1:7" s="2" customFormat="1" ht="12.75">
      <c r="A75" s="187" t="s">
        <v>25</v>
      </c>
      <c r="B75" s="178">
        <v>0</v>
      </c>
      <c r="C75" s="178">
        <v>13</v>
      </c>
      <c r="D75" s="178">
        <v>13</v>
      </c>
      <c r="E75" s="178"/>
      <c r="F75" s="178"/>
      <c r="G75" s="817"/>
    </row>
    <row r="76" spans="1:7" s="9" customFormat="1" ht="12.75">
      <c r="A76" s="13" t="s">
        <v>58</v>
      </c>
      <c r="B76" s="179">
        <f>SUM(B75)</f>
        <v>0</v>
      </c>
      <c r="C76" s="179">
        <f>SUM(C74:C75)</f>
        <v>218</v>
      </c>
      <c r="D76" s="179">
        <f>SUM(D74:D75)</f>
        <v>218</v>
      </c>
      <c r="E76" s="179">
        <f>SUM(E75)</f>
        <v>0</v>
      </c>
      <c r="F76" s="179">
        <f>SUM(F75)</f>
        <v>0</v>
      </c>
      <c r="G76" s="818">
        <f>SUM(G75)</f>
        <v>0</v>
      </c>
    </row>
    <row r="77" spans="1:7" ht="12.75">
      <c r="A77" s="187"/>
      <c r="B77" s="178"/>
      <c r="C77" s="178"/>
      <c r="D77" s="178"/>
      <c r="E77" s="178"/>
      <c r="F77" s="178"/>
      <c r="G77" s="817"/>
    </row>
    <row r="78" spans="1:7" ht="13.5" thickBot="1">
      <c r="A78" s="188" t="s">
        <v>35</v>
      </c>
      <c r="B78" s="189">
        <f aca="true" t="shared" si="4" ref="B78:G78">SUM(B59,B65,B71,B76)</f>
        <v>0</v>
      </c>
      <c r="C78" s="189">
        <f>SUM(C59,C65,C71,C76)</f>
        <v>81802</v>
      </c>
      <c r="D78" s="189">
        <f t="shared" si="4"/>
        <v>81802</v>
      </c>
      <c r="E78" s="189">
        <f t="shared" si="4"/>
        <v>0</v>
      </c>
      <c r="F78" s="189">
        <f>SUM(F59,F65,F71,F76)</f>
        <v>0</v>
      </c>
      <c r="G78" s="819">
        <f t="shared" si="4"/>
        <v>0</v>
      </c>
    </row>
  </sheetData>
  <mergeCells count="6">
    <mergeCell ref="A1:G1"/>
    <mergeCell ref="A46:F46"/>
    <mergeCell ref="A2:F2"/>
    <mergeCell ref="A30:F30"/>
    <mergeCell ref="A45:G45"/>
    <mergeCell ref="A29:G29"/>
  </mergeCells>
  <printOptions horizontalCentered="1"/>
  <pageMargins left="0.7874015748031497" right="0.7874015748031497" top="0.95" bottom="0.31496062992125984" header="0.59" footer="0.1968503937007874"/>
  <pageSetup horizontalDpi="600" verticalDpi="600" orientation="portrait" paperSize="9" scale="64" r:id="rId1"/>
  <headerFooter alignWithMargins="0">
    <oddHeader>&amp;L10. melléklet a 24/2013.(IX.13.) önkormányzati rendelethez
"10. melléklet az 1/2013.(II.01.) önkormányzati rendelethez"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D117"/>
  <sheetViews>
    <sheetView view="pageBreakPreview" zoomScaleSheetLayoutView="100" workbookViewId="0" topLeftCell="A1">
      <selection activeCell="A5" sqref="A5"/>
    </sheetView>
  </sheetViews>
  <sheetFormatPr defaultColWidth="9.00390625" defaultRowHeight="12.75"/>
  <cols>
    <col min="1" max="1" width="89.25390625" style="154" customWidth="1"/>
    <col min="2" max="2" width="10.125" style="155" customWidth="1"/>
    <col min="3" max="3" width="11.375" style="155" customWidth="1"/>
    <col min="4" max="4" width="11.125" style="554" customWidth="1"/>
    <col min="5" max="16384" width="9.125" style="154" customWidth="1"/>
  </cols>
  <sheetData>
    <row r="2" spans="1:4" ht="12.75">
      <c r="A2" s="1328" t="s">
        <v>59</v>
      </c>
      <c r="B2" s="1328"/>
      <c r="C2" s="1328"/>
      <c r="D2" s="1328"/>
    </row>
    <row r="3" spans="1:3" ht="12" customHeight="1" thickBot="1">
      <c r="A3" s="190"/>
      <c r="B3" s="191"/>
      <c r="C3" s="191"/>
    </row>
    <row r="4" spans="1:4" ht="12.75" customHeight="1">
      <c r="A4" s="192" t="s">
        <v>60</v>
      </c>
      <c r="B4" s="193" t="s">
        <v>522</v>
      </c>
      <c r="C4" s="828" t="s">
        <v>473</v>
      </c>
      <c r="D4" s="822" t="s">
        <v>549</v>
      </c>
    </row>
    <row r="5" spans="1:4" ht="12.75">
      <c r="A5" s="159" t="s">
        <v>61</v>
      </c>
      <c r="B5" s="160">
        <v>133382</v>
      </c>
      <c r="C5" s="829">
        <v>133382</v>
      </c>
      <c r="D5" s="823">
        <v>133382</v>
      </c>
    </row>
    <row r="6" spans="1:4" ht="12.75">
      <c r="A6" s="159" t="s">
        <v>62</v>
      </c>
      <c r="B6" s="160">
        <v>66104</v>
      </c>
      <c r="C6" s="829">
        <v>66104</v>
      </c>
      <c r="D6" s="823">
        <v>79004</v>
      </c>
    </row>
    <row r="7" spans="1:4" ht="12.75">
      <c r="A7" s="159" t="s">
        <v>41</v>
      </c>
      <c r="B7" s="160">
        <v>5000</v>
      </c>
      <c r="C7" s="829">
        <v>3650</v>
      </c>
      <c r="D7" s="823">
        <v>3650</v>
      </c>
    </row>
    <row r="8" spans="1:4" ht="12.75">
      <c r="A8" s="159" t="s">
        <v>42</v>
      </c>
      <c r="B8" s="160">
        <v>3000</v>
      </c>
      <c r="C8" s="829">
        <v>2400</v>
      </c>
      <c r="D8" s="823">
        <v>2400</v>
      </c>
    </row>
    <row r="9" spans="1:4" ht="12.75" customHeight="1">
      <c r="A9" s="164" t="s">
        <v>64</v>
      </c>
      <c r="B9" s="160">
        <v>3500</v>
      </c>
      <c r="C9" s="829">
        <v>3500</v>
      </c>
      <c r="D9" s="823">
        <v>3430</v>
      </c>
    </row>
    <row r="10" spans="1:4" ht="12.75">
      <c r="A10" s="159" t="s">
        <v>65</v>
      </c>
      <c r="B10" s="160">
        <v>7000</v>
      </c>
      <c r="C10" s="829">
        <v>7000</v>
      </c>
      <c r="D10" s="823">
        <v>7000</v>
      </c>
    </row>
    <row r="11" spans="1:4" ht="12.75">
      <c r="A11" s="159" t="s">
        <v>66</v>
      </c>
      <c r="B11" s="160">
        <v>12000</v>
      </c>
      <c r="C11" s="829">
        <v>12000</v>
      </c>
      <c r="D11" s="823">
        <v>12000</v>
      </c>
    </row>
    <row r="12" spans="1:4" ht="12.75">
      <c r="A12" s="159" t="s">
        <v>67</v>
      </c>
      <c r="B12" s="160">
        <f>61000</f>
        <v>61000</v>
      </c>
      <c r="C12" s="829">
        <v>61000</v>
      </c>
      <c r="D12" s="823">
        <v>61000</v>
      </c>
    </row>
    <row r="13" spans="1:4" ht="12.75">
      <c r="A13" s="159" t="s">
        <v>68</v>
      </c>
      <c r="B13" s="160">
        <v>700</v>
      </c>
      <c r="C13" s="829">
        <v>700</v>
      </c>
      <c r="D13" s="823">
        <v>700</v>
      </c>
    </row>
    <row r="14" spans="1:4" ht="12.75">
      <c r="A14" s="159" t="s">
        <v>69</v>
      </c>
      <c r="B14" s="160">
        <v>4000</v>
      </c>
      <c r="C14" s="829">
        <v>4000</v>
      </c>
      <c r="D14" s="823">
        <v>4000</v>
      </c>
    </row>
    <row r="15" spans="1:4" ht="12.75">
      <c r="A15" s="159" t="s">
        <v>70</v>
      </c>
      <c r="B15" s="160">
        <v>38400</v>
      </c>
      <c r="C15" s="829">
        <v>38400</v>
      </c>
      <c r="D15" s="823">
        <v>38400</v>
      </c>
    </row>
    <row r="16" spans="1:4" ht="12.75">
      <c r="A16" s="159" t="s">
        <v>71</v>
      </c>
      <c r="B16" s="160">
        <v>2000</v>
      </c>
      <c r="C16" s="829">
        <v>3000</v>
      </c>
      <c r="D16" s="823">
        <v>3000</v>
      </c>
    </row>
    <row r="17" spans="1:4" ht="12.75">
      <c r="A17" s="159" t="s">
        <v>72</v>
      </c>
      <c r="B17" s="160">
        <v>1000</v>
      </c>
      <c r="C17" s="829">
        <v>1000</v>
      </c>
      <c r="D17" s="823">
        <v>1000</v>
      </c>
    </row>
    <row r="18" spans="1:4" ht="12.75">
      <c r="A18" s="159" t="s">
        <v>73</v>
      </c>
      <c r="B18" s="160">
        <v>1500</v>
      </c>
      <c r="C18" s="829">
        <v>1500</v>
      </c>
      <c r="D18" s="823">
        <v>1500</v>
      </c>
    </row>
    <row r="19" spans="1:4" ht="12.75">
      <c r="A19" s="159" t="s">
        <v>74</v>
      </c>
      <c r="B19" s="160">
        <v>500</v>
      </c>
      <c r="C19" s="829">
        <v>500</v>
      </c>
      <c r="D19" s="823">
        <v>500</v>
      </c>
    </row>
    <row r="20" spans="1:4" ht="12.75">
      <c r="A20" s="159" t="s">
        <v>75</v>
      </c>
      <c r="B20" s="160">
        <v>1000</v>
      </c>
      <c r="C20" s="829">
        <v>1000</v>
      </c>
      <c r="D20" s="823">
        <v>1000</v>
      </c>
    </row>
    <row r="21" spans="1:4" ht="12.75">
      <c r="A21" s="159" t="s">
        <v>76</v>
      </c>
      <c r="B21" s="160">
        <v>80</v>
      </c>
      <c r="C21" s="829">
        <v>80</v>
      </c>
      <c r="D21" s="823">
        <v>80</v>
      </c>
    </row>
    <row r="22" spans="1:4" ht="12.75">
      <c r="A22" s="159" t="s">
        <v>77</v>
      </c>
      <c r="B22" s="160">
        <v>12000</v>
      </c>
      <c r="C22" s="829">
        <v>12000</v>
      </c>
      <c r="D22" s="823">
        <v>12000</v>
      </c>
    </row>
    <row r="23" spans="1:4" ht="12.75">
      <c r="A23" s="159" t="s">
        <v>277</v>
      </c>
      <c r="B23" s="160"/>
      <c r="C23" s="829"/>
      <c r="D23" s="823">
        <v>2945</v>
      </c>
    </row>
    <row r="24" spans="1:4" ht="12.75">
      <c r="A24" s="159" t="s">
        <v>78</v>
      </c>
      <c r="B24" s="160">
        <v>3000</v>
      </c>
      <c r="C24" s="829">
        <v>3000</v>
      </c>
      <c r="D24" s="823">
        <v>3000</v>
      </c>
    </row>
    <row r="25" spans="1:4" ht="12.75">
      <c r="A25" s="159" t="s">
        <v>79</v>
      </c>
      <c r="B25" s="160">
        <v>2400</v>
      </c>
      <c r="C25" s="829">
        <v>2400</v>
      </c>
      <c r="D25" s="823">
        <v>2400</v>
      </c>
    </row>
    <row r="26" spans="1:4" ht="12.75">
      <c r="A26" s="159" t="s">
        <v>80</v>
      </c>
      <c r="B26" s="160">
        <v>15000</v>
      </c>
      <c r="C26" s="829">
        <v>15000</v>
      </c>
      <c r="D26" s="823">
        <v>15000</v>
      </c>
    </row>
    <row r="27" spans="1:4" ht="12.75">
      <c r="A27" s="159" t="s">
        <v>82</v>
      </c>
      <c r="B27" s="160">
        <v>8824</v>
      </c>
      <c r="C27" s="829">
        <v>7576</v>
      </c>
      <c r="D27" s="823">
        <v>7576</v>
      </c>
    </row>
    <row r="28" spans="1:4" ht="12.75">
      <c r="A28" s="159" t="s">
        <v>83</v>
      </c>
      <c r="B28" s="160">
        <v>7552</v>
      </c>
      <c r="C28" s="829">
        <v>7552</v>
      </c>
      <c r="D28" s="823">
        <v>7552</v>
      </c>
    </row>
    <row r="29" spans="1:4" ht="12.75">
      <c r="A29" s="159" t="s">
        <v>84</v>
      </c>
      <c r="B29" s="160">
        <v>5530</v>
      </c>
      <c r="C29" s="829">
        <v>5530</v>
      </c>
      <c r="D29" s="823">
        <v>5530</v>
      </c>
    </row>
    <row r="30" spans="1:4" ht="12.75">
      <c r="A30" s="159" t="s">
        <v>85</v>
      </c>
      <c r="B30" s="160">
        <v>2100</v>
      </c>
      <c r="C30" s="829">
        <v>2100</v>
      </c>
      <c r="D30" s="823">
        <v>2100</v>
      </c>
    </row>
    <row r="31" spans="1:4" ht="12.75">
      <c r="A31" s="159" t="s">
        <v>86</v>
      </c>
      <c r="B31" s="160">
        <v>4000</v>
      </c>
      <c r="C31" s="829">
        <v>4000</v>
      </c>
      <c r="D31" s="823">
        <v>4000</v>
      </c>
    </row>
    <row r="32" spans="1:4" ht="25.5">
      <c r="A32" s="164" t="s">
        <v>278</v>
      </c>
      <c r="B32" s="160"/>
      <c r="C32" s="829"/>
      <c r="D32" s="823">
        <v>1500</v>
      </c>
    </row>
    <row r="33" spans="1:4" ht="12.75">
      <c r="A33" s="159" t="s">
        <v>279</v>
      </c>
      <c r="B33" s="160"/>
      <c r="C33" s="829"/>
      <c r="D33" s="823">
        <v>1500</v>
      </c>
    </row>
    <row r="34" spans="1:4" ht="12.75">
      <c r="A34" s="159" t="s">
        <v>87</v>
      </c>
      <c r="B34" s="160">
        <v>1000</v>
      </c>
      <c r="C34" s="829">
        <v>1000</v>
      </c>
      <c r="D34" s="823">
        <v>1000</v>
      </c>
    </row>
    <row r="35" spans="1:4" ht="12.75">
      <c r="A35" s="159" t="s">
        <v>88</v>
      </c>
      <c r="B35" s="160">
        <v>320</v>
      </c>
      <c r="C35" s="829">
        <v>320</v>
      </c>
      <c r="D35" s="823">
        <v>320</v>
      </c>
    </row>
    <row r="36" spans="1:4" ht="12.75">
      <c r="A36" s="159" t="s">
        <v>89</v>
      </c>
      <c r="B36" s="160">
        <v>1000</v>
      </c>
      <c r="C36" s="829">
        <v>1000</v>
      </c>
      <c r="D36" s="823">
        <v>1000</v>
      </c>
    </row>
    <row r="37" spans="1:4" ht="12.75">
      <c r="A37" s="159" t="s">
        <v>90</v>
      </c>
      <c r="B37" s="160">
        <v>300</v>
      </c>
      <c r="C37" s="829">
        <v>300</v>
      </c>
      <c r="D37" s="823">
        <v>300</v>
      </c>
    </row>
    <row r="38" spans="1:4" ht="12.75">
      <c r="A38" s="159" t="s">
        <v>91</v>
      </c>
      <c r="B38" s="160">
        <v>200</v>
      </c>
      <c r="C38" s="829">
        <v>200</v>
      </c>
      <c r="D38" s="823">
        <v>200</v>
      </c>
    </row>
    <row r="39" spans="1:4" ht="12.75">
      <c r="A39" s="159" t="s">
        <v>92</v>
      </c>
      <c r="B39" s="160">
        <v>500</v>
      </c>
      <c r="C39" s="829">
        <v>500</v>
      </c>
      <c r="D39" s="823">
        <v>500</v>
      </c>
    </row>
    <row r="40" spans="1:4" ht="12.75">
      <c r="A40" s="159" t="s">
        <v>93</v>
      </c>
      <c r="B40" s="160">
        <v>500</v>
      </c>
      <c r="C40" s="829">
        <v>500</v>
      </c>
      <c r="D40" s="823">
        <v>500</v>
      </c>
    </row>
    <row r="41" spans="1:4" ht="12.75">
      <c r="A41" s="159" t="s">
        <v>94</v>
      </c>
      <c r="B41" s="160">
        <v>500</v>
      </c>
      <c r="C41" s="829">
        <v>500</v>
      </c>
      <c r="D41" s="823">
        <v>500</v>
      </c>
    </row>
    <row r="42" spans="1:4" ht="12.75">
      <c r="A42" s="159" t="s">
        <v>95</v>
      </c>
      <c r="B42" s="160">
        <v>2000</v>
      </c>
      <c r="C42" s="829">
        <v>2000</v>
      </c>
      <c r="D42" s="823">
        <v>2000</v>
      </c>
    </row>
    <row r="43" spans="1:4" ht="12.75">
      <c r="A43" s="159" t="s">
        <v>386</v>
      </c>
      <c r="B43" s="160"/>
      <c r="C43" s="829">
        <v>4746</v>
      </c>
      <c r="D43" s="823">
        <v>4746</v>
      </c>
    </row>
    <row r="44" spans="1:4" ht="12.75">
      <c r="A44" s="159" t="s">
        <v>274</v>
      </c>
      <c r="B44" s="160"/>
      <c r="C44" s="829">
        <v>12000</v>
      </c>
      <c r="D44" s="823">
        <v>32000</v>
      </c>
    </row>
    <row r="45" spans="1:4" ht="12.75">
      <c r="A45" s="159" t="s">
        <v>388</v>
      </c>
      <c r="B45" s="160"/>
      <c r="C45" s="829">
        <v>840</v>
      </c>
      <c r="D45" s="823">
        <v>840</v>
      </c>
    </row>
    <row r="46" spans="1:4" ht="12.75">
      <c r="A46" s="203" t="s">
        <v>275</v>
      </c>
      <c r="B46" s="204"/>
      <c r="C46" s="833"/>
      <c r="D46" s="823">
        <v>1237</v>
      </c>
    </row>
    <row r="47" spans="1:4" ht="12.75">
      <c r="A47" s="203" t="s">
        <v>276</v>
      </c>
      <c r="B47" s="204"/>
      <c r="C47" s="833"/>
      <c r="D47" s="823">
        <v>1500</v>
      </c>
    </row>
    <row r="48" spans="1:4" ht="12.75">
      <c r="A48" s="203" t="s">
        <v>281</v>
      </c>
      <c r="B48" s="204"/>
      <c r="C48" s="833">
        <v>500</v>
      </c>
      <c r="D48" s="823">
        <v>500</v>
      </c>
    </row>
    <row r="49" spans="1:4" ht="12.75">
      <c r="A49" s="159" t="s">
        <v>389</v>
      </c>
      <c r="B49" s="160"/>
      <c r="C49" s="829"/>
      <c r="D49" s="823"/>
    </row>
    <row r="50" spans="1:4" ht="12.75">
      <c r="A50" s="551" t="s">
        <v>390</v>
      </c>
      <c r="B50" s="160"/>
      <c r="C50" s="829">
        <v>50</v>
      </c>
      <c r="D50" s="823">
        <v>50</v>
      </c>
    </row>
    <row r="51" spans="1:4" ht="12.75">
      <c r="A51" s="551" t="s">
        <v>391</v>
      </c>
      <c r="B51" s="160"/>
      <c r="C51" s="829">
        <v>500</v>
      </c>
      <c r="D51" s="823">
        <v>500</v>
      </c>
    </row>
    <row r="52" spans="1:4" ht="12.75">
      <c r="A52" s="1094" t="s">
        <v>286</v>
      </c>
      <c r="B52" s="160"/>
      <c r="C52" s="829"/>
      <c r="D52" s="823">
        <v>100</v>
      </c>
    </row>
    <row r="53" spans="1:4" ht="12.75">
      <c r="A53" s="977" t="s">
        <v>285</v>
      </c>
      <c r="B53" s="160"/>
      <c r="C53" s="829"/>
      <c r="D53" s="823">
        <v>50</v>
      </c>
    </row>
    <row r="54" spans="1:4" ht="25.5">
      <c r="A54" s="978" t="s">
        <v>287</v>
      </c>
      <c r="B54" s="160"/>
      <c r="C54" s="829"/>
      <c r="D54" s="823">
        <v>100</v>
      </c>
    </row>
    <row r="55" spans="1:4" ht="12" customHeight="1">
      <c r="A55" s="978" t="s">
        <v>288</v>
      </c>
      <c r="B55" s="160"/>
      <c r="C55" s="829"/>
      <c r="D55" s="823">
        <v>250</v>
      </c>
    </row>
    <row r="56" spans="1:4" ht="12.75">
      <c r="A56" s="977" t="s">
        <v>290</v>
      </c>
      <c r="B56" s="160"/>
      <c r="C56" s="829"/>
      <c r="D56" s="823">
        <v>100</v>
      </c>
    </row>
    <row r="57" spans="1:4" ht="12.75">
      <c r="A57" s="977" t="s">
        <v>291</v>
      </c>
      <c r="B57" s="160"/>
      <c r="C57" s="829"/>
      <c r="D57" s="823">
        <v>1000</v>
      </c>
    </row>
    <row r="58" spans="1:4" ht="12.75">
      <c r="A58" s="977" t="s">
        <v>292</v>
      </c>
      <c r="B58" s="160"/>
      <c r="C58" s="829"/>
      <c r="D58" s="823">
        <v>250</v>
      </c>
    </row>
    <row r="59" spans="1:4" ht="12.75">
      <c r="A59" s="977" t="s">
        <v>283</v>
      </c>
      <c r="B59" s="160"/>
      <c r="C59" s="829"/>
      <c r="D59" s="823">
        <v>100</v>
      </c>
    </row>
    <row r="60" spans="1:4" ht="12.75">
      <c r="A60" s="977" t="s">
        <v>284</v>
      </c>
      <c r="B60" s="160"/>
      <c r="C60" s="829"/>
      <c r="D60" s="823">
        <v>50</v>
      </c>
    </row>
    <row r="61" spans="1:4" s="196" customFormat="1" ht="13.5">
      <c r="A61" s="194" t="s">
        <v>96</v>
      </c>
      <c r="B61" s="195">
        <f>SUM(B5:B51)</f>
        <v>406892</v>
      </c>
      <c r="C61" s="195">
        <f>SUM(C5:C51)</f>
        <v>423330</v>
      </c>
      <c r="D61" s="930">
        <f>SUM(D5:D60)</f>
        <v>466842</v>
      </c>
    </row>
    <row r="62" spans="1:4" ht="12.75">
      <c r="A62" s="159"/>
      <c r="B62" s="160"/>
      <c r="C62" s="829"/>
      <c r="D62" s="823"/>
    </row>
    <row r="63" spans="1:4" ht="12.75" customHeight="1">
      <c r="A63" s="197" t="s">
        <v>97</v>
      </c>
      <c r="B63" s="198"/>
      <c r="C63" s="829"/>
      <c r="D63" s="823"/>
    </row>
    <row r="64" spans="1:4" ht="12.75">
      <c r="A64" s="159" t="s">
        <v>98</v>
      </c>
      <c r="B64" s="160">
        <v>6000</v>
      </c>
      <c r="C64" s="829">
        <v>6000</v>
      </c>
      <c r="D64" s="823">
        <v>10000</v>
      </c>
    </row>
    <row r="65" spans="1:4" ht="12.75">
      <c r="A65" s="159" t="s">
        <v>99</v>
      </c>
      <c r="B65" s="160">
        <v>34053</v>
      </c>
      <c r="C65" s="829">
        <v>34053</v>
      </c>
      <c r="D65" s="823">
        <v>34053</v>
      </c>
    </row>
    <row r="66" spans="1:4" ht="12.75">
      <c r="A66" s="159" t="s">
        <v>100</v>
      </c>
      <c r="B66" s="160">
        <v>739</v>
      </c>
      <c r="C66" s="829">
        <v>739</v>
      </c>
      <c r="D66" s="823">
        <v>739</v>
      </c>
    </row>
    <row r="67" spans="1:4" ht="12.75">
      <c r="A67" s="159" t="s">
        <v>101</v>
      </c>
      <c r="B67" s="160">
        <v>2314</v>
      </c>
      <c r="C67" s="829">
        <v>2314</v>
      </c>
      <c r="D67" s="823">
        <v>2314</v>
      </c>
    </row>
    <row r="68" spans="1:4" ht="12.75">
      <c r="A68" s="159" t="s">
        <v>102</v>
      </c>
      <c r="B68" s="160">
        <v>3500</v>
      </c>
      <c r="C68" s="829">
        <v>3500</v>
      </c>
      <c r="D68" s="823">
        <v>3500</v>
      </c>
    </row>
    <row r="69" spans="1:4" ht="12.75">
      <c r="A69" s="159" t="s">
        <v>103</v>
      </c>
      <c r="B69" s="160">
        <v>12000</v>
      </c>
      <c r="C69" s="829">
        <v>12000</v>
      </c>
      <c r="D69" s="823">
        <v>12000</v>
      </c>
    </row>
    <row r="70" spans="1:4" ht="12.75">
      <c r="A70" s="159" t="s">
        <v>104</v>
      </c>
      <c r="B70" s="160">
        <v>3975</v>
      </c>
      <c r="C70" s="829">
        <v>3975</v>
      </c>
      <c r="D70" s="823">
        <v>3975</v>
      </c>
    </row>
    <row r="71" spans="1:4" ht="12.75">
      <c r="A71" s="159" t="s">
        <v>105</v>
      </c>
      <c r="B71" s="160">
        <v>4500</v>
      </c>
      <c r="C71" s="829">
        <v>4500</v>
      </c>
      <c r="D71" s="823">
        <v>4500</v>
      </c>
    </row>
    <row r="72" spans="1:4" ht="12.75" customHeight="1">
      <c r="A72" s="164" t="s">
        <v>106</v>
      </c>
      <c r="B72" s="160">
        <v>2000</v>
      </c>
      <c r="C72" s="829">
        <v>2000</v>
      </c>
      <c r="D72" s="823">
        <v>2000</v>
      </c>
    </row>
    <row r="73" spans="1:4" ht="12.75">
      <c r="A73" s="164" t="s">
        <v>107</v>
      </c>
      <c r="B73" s="160">
        <v>65000</v>
      </c>
      <c r="C73" s="829">
        <v>65000</v>
      </c>
      <c r="D73" s="823">
        <v>0</v>
      </c>
    </row>
    <row r="74" spans="1:4" ht="12.75">
      <c r="A74" s="164" t="s">
        <v>392</v>
      </c>
      <c r="B74" s="160"/>
      <c r="C74" s="829">
        <v>18</v>
      </c>
      <c r="D74" s="823">
        <v>22</v>
      </c>
    </row>
    <row r="75" spans="1:4" ht="12.75">
      <c r="A75" s="164" t="s">
        <v>280</v>
      </c>
      <c r="B75" s="160"/>
      <c r="C75" s="829"/>
      <c r="D75" s="823">
        <v>3500</v>
      </c>
    </row>
    <row r="76" spans="1:4" s="196" customFormat="1" ht="13.5">
      <c r="A76" s="194" t="s">
        <v>96</v>
      </c>
      <c r="B76" s="195">
        <f>SUM(B64:B73)</f>
        <v>134081</v>
      </c>
      <c r="C76" s="830">
        <f>SUM(C64:C74)</f>
        <v>134099</v>
      </c>
      <c r="D76" s="824">
        <f>SUM(D64:D75)</f>
        <v>76603</v>
      </c>
    </row>
    <row r="77" spans="1:4" s="196" customFormat="1" ht="13.5">
      <c r="A77" s="555"/>
      <c r="B77" s="556"/>
      <c r="C77" s="831"/>
      <c r="D77" s="825"/>
    </row>
    <row r="78" spans="1:4" s="158" customFormat="1" ht="12.75">
      <c r="A78" s="557" t="s">
        <v>329</v>
      </c>
      <c r="B78" s="558"/>
      <c r="C78" s="832"/>
      <c r="D78" s="826"/>
    </row>
    <row r="79" spans="1:4" s="165" customFormat="1" ht="12.75">
      <c r="A79" s="203" t="s">
        <v>282</v>
      </c>
      <c r="B79" s="204"/>
      <c r="C79" s="833">
        <v>76866</v>
      </c>
      <c r="D79" s="827">
        <v>135737</v>
      </c>
    </row>
    <row r="80" spans="1:4" s="165" customFormat="1" ht="13.5">
      <c r="A80" s="194" t="s">
        <v>96</v>
      </c>
      <c r="B80" s="831">
        <f>SUM(B79)</f>
        <v>0</v>
      </c>
      <c r="C80" s="831">
        <f>SUM(C79:C79)</f>
        <v>76866</v>
      </c>
      <c r="D80" s="931">
        <f>SUM(D79:D79)</f>
        <v>135737</v>
      </c>
    </row>
    <row r="81" spans="1:4" s="165" customFormat="1" ht="12.75">
      <c r="A81" s="203"/>
      <c r="B81" s="204"/>
      <c r="C81" s="833"/>
      <c r="D81" s="827"/>
    </row>
    <row r="82" spans="1:4" s="158" customFormat="1" ht="13.5" thickBot="1">
      <c r="A82" s="199" t="s">
        <v>678</v>
      </c>
      <c r="B82" s="200">
        <f>SUM(B61,B76)</f>
        <v>540973</v>
      </c>
      <c r="C82" s="811">
        <f>SUM(C61+C76+C80)</f>
        <v>634295</v>
      </c>
      <c r="D82" s="887">
        <f>SUM(D61+D76+D80)</f>
        <v>679182</v>
      </c>
    </row>
    <row r="84" spans="1:4" ht="26.25" customHeight="1">
      <c r="A84" s="1329" t="s">
        <v>108</v>
      </c>
      <c r="B84" s="1329"/>
      <c r="C84" s="1329"/>
      <c r="D84" s="1329"/>
    </row>
    <row r="85" ht="13.5" thickBot="1"/>
    <row r="86" spans="1:4" s="158" customFormat="1" ht="12.75">
      <c r="A86" s="156" t="s">
        <v>60</v>
      </c>
      <c r="B86" s="193" t="s">
        <v>522</v>
      </c>
      <c r="C86" s="828" t="s">
        <v>473</v>
      </c>
      <c r="D86" s="822" t="s">
        <v>549</v>
      </c>
    </row>
    <row r="87" spans="1:4" s="158" customFormat="1" ht="12.75">
      <c r="A87" s="201"/>
      <c r="B87" s="202"/>
      <c r="C87" s="836"/>
      <c r="D87" s="834"/>
    </row>
    <row r="88" spans="1:4" ht="12.75">
      <c r="A88" s="159" t="s">
        <v>109</v>
      </c>
      <c r="B88" s="160">
        <v>13739</v>
      </c>
      <c r="C88" s="829"/>
      <c r="D88" s="823"/>
    </row>
    <row r="89" spans="1:4" ht="12.75">
      <c r="A89" s="203" t="s">
        <v>110</v>
      </c>
      <c r="B89" s="204"/>
      <c r="C89" s="829">
        <v>5349</v>
      </c>
      <c r="D89" s="823">
        <v>5349</v>
      </c>
    </row>
    <row r="90" spans="1:4" s="207" customFormat="1" ht="14.25" thickBot="1">
      <c r="A90" s="205" t="s">
        <v>520</v>
      </c>
      <c r="B90" s="206">
        <f>SUM(B88)</f>
        <v>13739</v>
      </c>
      <c r="C90" s="206">
        <f>SUM(C88:C89)</f>
        <v>5349</v>
      </c>
      <c r="D90" s="835">
        <f>SUM(D88:D89)</f>
        <v>5349</v>
      </c>
    </row>
    <row r="91" ht="12.75">
      <c r="A91" s="168"/>
    </row>
    <row r="92" ht="12.75">
      <c r="A92" s="168"/>
    </row>
    <row r="93" spans="1:4" ht="26.25" customHeight="1">
      <c r="A93" s="1329" t="s">
        <v>111</v>
      </c>
      <c r="B93" s="1329"/>
      <c r="C93" s="1329"/>
      <c r="D93" s="1329"/>
    </row>
    <row r="94" ht="13.5" thickBot="1">
      <c r="A94" s="168"/>
    </row>
    <row r="95" spans="1:4" s="158" customFormat="1" ht="12.75">
      <c r="A95" s="156" t="s">
        <v>60</v>
      </c>
      <c r="B95" s="193" t="s">
        <v>522</v>
      </c>
      <c r="C95" s="828" t="s">
        <v>473</v>
      </c>
      <c r="D95" s="822" t="s">
        <v>549</v>
      </c>
    </row>
    <row r="96" spans="1:4" s="158" customFormat="1" ht="12.75">
      <c r="A96" s="161"/>
      <c r="B96" s="208"/>
      <c r="C96" s="836"/>
      <c r="D96" s="834"/>
    </row>
    <row r="97" spans="1:4" ht="12.75">
      <c r="A97" s="159" t="s">
        <v>109</v>
      </c>
      <c r="B97" s="160">
        <v>0</v>
      </c>
      <c r="C97" s="829">
        <v>7769</v>
      </c>
      <c r="D97" s="823">
        <v>7769</v>
      </c>
    </row>
    <row r="98" spans="1:4" s="207" customFormat="1" ht="14.25" thickBot="1">
      <c r="A98" s="205" t="s">
        <v>520</v>
      </c>
      <c r="B98" s="206">
        <f>SUM(B97)</f>
        <v>0</v>
      </c>
      <c r="C98" s="206">
        <f>SUM(C97)</f>
        <v>7769</v>
      </c>
      <c r="D98" s="602">
        <f>SUM(D97)</f>
        <v>7769</v>
      </c>
    </row>
    <row r="99" ht="12.75">
      <c r="A99" s="168"/>
    </row>
    <row r="100" ht="12.75">
      <c r="A100" s="168"/>
    </row>
    <row r="101" ht="12.75">
      <c r="A101" s="168"/>
    </row>
    <row r="102" spans="1:4" ht="12.75">
      <c r="A102" s="1329" t="s">
        <v>393</v>
      </c>
      <c r="B102" s="1329"/>
      <c r="C102" s="1329"/>
      <c r="D102" s="1329"/>
    </row>
    <row r="103" ht="13.5" thickBot="1">
      <c r="A103" s="168"/>
    </row>
    <row r="104" spans="1:4" ht="12.75">
      <c r="A104" s="156" t="s">
        <v>60</v>
      </c>
      <c r="B104" s="193" t="s">
        <v>522</v>
      </c>
      <c r="C104" s="828" t="s">
        <v>473</v>
      </c>
      <c r="D104" s="822" t="s">
        <v>549</v>
      </c>
    </row>
    <row r="105" spans="1:4" ht="12.75">
      <c r="A105" s="161"/>
      <c r="B105" s="208"/>
      <c r="C105" s="836"/>
      <c r="D105" s="834"/>
    </row>
    <row r="106" spans="1:4" ht="12.75">
      <c r="A106" s="159" t="s">
        <v>63</v>
      </c>
      <c r="B106" s="160">
        <v>0</v>
      </c>
      <c r="C106" s="829">
        <v>102</v>
      </c>
      <c r="D106" s="823">
        <v>102</v>
      </c>
    </row>
    <row r="107" spans="1:4" ht="14.25" thickBot="1">
      <c r="A107" s="205" t="s">
        <v>520</v>
      </c>
      <c r="B107" s="206">
        <f>SUM(B106)</f>
        <v>0</v>
      </c>
      <c r="C107" s="206">
        <f>SUM(C106)</f>
        <v>102</v>
      </c>
      <c r="D107" s="602">
        <f>SUM(D106)</f>
        <v>102</v>
      </c>
    </row>
    <row r="108" ht="12.75">
      <c r="A108" s="168"/>
    </row>
    <row r="109" ht="12.75">
      <c r="A109" s="168"/>
    </row>
    <row r="110" ht="12.75">
      <c r="A110" s="168"/>
    </row>
    <row r="111" ht="12.75">
      <c r="A111" s="168"/>
    </row>
    <row r="112" ht="12.75">
      <c r="A112" s="168"/>
    </row>
    <row r="113" ht="12.75">
      <c r="A113" s="168"/>
    </row>
    <row r="114" ht="12.75">
      <c r="A114" s="168"/>
    </row>
    <row r="115" ht="12.75">
      <c r="A115" s="209"/>
    </row>
    <row r="117" ht="12.75">
      <c r="A117" s="210"/>
    </row>
  </sheetData>
  <mergeCells count="4">
    <mergeCell ref="A2:D2"/>
    <mergeCell ref="A84:D84"/>
    <mergeCell ref="A93:D93"/>
    <mergeCell ref="A102:D102"/>
  </mergeCells>
  <printOptions horizontalCentered="1"/>
  <pageMargins left="0.35433070866141736" right="0.31496062992125984" top="0.53" bottom="0.28" header="0.29" footer="0.21"/>
  <pageSetup horizontalDpi="600" verticalDpi="600" orientation="portrait" paperSize="9" scale="74" r:id="rId1"/>
  <headerFooter alignWithMargins="0">
    <oddHeader>&amp;L11. melléklet a 24/2013.(IX.13.) önkormányzati rendelethez
"11. melléklet az 1/2013.(II.01.) önkormányzati rendelethez"</oddHeader>
  </headerFooter>
  <rowBreaks count="1" manualBreakCount="1">
    <brk id="83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145"/>
  <sheetViews>
    <sheetView view="pageBreakPreview" zoomScaleSheetLayoutView="100" workbookViewId="0" topLeftCell="A100">
      <selection activeCell="A124" sqref="A124"/>
    </sheetView>
  </sheetViews>
  <sheetFormatPr defaultColWidth="9.00390625" defaultRowHeight="12.75"/>
  <cols>
    <col min="1" max="1" width="80.75390625" style="154" customWidth="1"/>
    <col min="2" max="3" width="11.875" style="155" customWidth="1"/>
    <col min="4" max="4" width="11.375" style="173" customWidth="1"/>
    <col min="5" max="16384" width="9.125" style="154" customWidth="1"/>
  </cols>
  <sheetData>
    <row r="1" spans="1:3" ht="12.75">
      <c r="A1" s="211"/>
      <c r="B1" s="191"/>
      <c r="C1" s="191"/>
    </row>
    <row r="2" spans="1:4" ht="12.75">
      <c r="A2" s="1330" t="s">
        <v>112</v>
      </c>
      <c r="B2" s="1330"/>
      <c r="C2" s="1330"/>
      <c r="D2" s="1330"/>
    </row>
    <row r="3" spans="1:4" ht="12.75">
      <c r="A3" s="1330" t="s">
        <v>113</v>
      </c>
      <c r="B3" s="1330"/>
      <c r="C3" s="1330"/>
      <c r="D3" s="1330"/>
    </row>
    <row r="4" spans="1:4" ht="12.75">
      <c r="A4" s="1331" t="s">
        <v>114</v>
      </c>
      <c r="B4" s="1331"/>
      <c r="C4" s="1331"/>
      <c r="D4" s="1331"/>
    </row>
    <row r="5" spans="1:3" ht="13.5" thickBot="1">
      <c r="A5" s="212"/>
      <c r="B5" s="213"/>
      <c r="C5" s="213"/>
    </row>
    <row r="6" spans="1:4" ht="12.75">
      <c r="A6" s="214" t="s">
        <v>789</v>
      </c>
      <c r="B6" s="215" t="s">
        <v>521</v>
      </c>
      <c r="C6" s="842" t="s">
        <v>473</v>
      </c>
      <c r="D6" s="837" t="s">
        <v>549</v>
      </c>
    </row>
    <row r="7" spans="1:4" ht="12.75">
      <c r="A7" s="216"/>
      <c r="B7" s="198"/>
      <c r="C7" s="843"/>
      <c r="D7" s="838"/>
    </row>
    <row r="8" spans="1:4" ht="12.75">
      <c r="A8" s="161" t="s">
        <v>548</v>
      </c>
      <c r="B8" s="160"/>
      <c r="C8" s="843"/>
      <c r="D8" s="838"/>
    </row>
    <row r="9" spans="1:4" ht="12.75">
      <c r="A9" s="159" t="s">
        <v>115</v>
      </c>
      <c r="B9" s="160">
        <v>40380</v>
      </c>
      <c r="C9" s="829">
        <v>40380</v>
      </c>
      <c r="D9" s="838">
        <v>40380</v>
      </c>
    </row>
    <row r="10" spans="1:4" ht="12.75">
      <c r="A10" s="159" t="s">
        <v>116</v>
      </c>
      <c r="B10" s="160">
        <v>1000</v>
      </c>
      <c r="C10" s="829">
        <v>1000</v>
      </c>
      <c r="D10" s="838">
        <v>1000</v>
      </c>
    </row>
    <row r="11" spans="1:4" ht="12.75">
      <c r="A11" s="159" t="s">
        <v>117</v>
      </c>
      <c r="B11" s="160">
        <v>3900</v>
      </c>
      <c r="C11" s="829">
        <v>3900</v>
      </c>
      <c r="D11" s="838">
        <v>3900</v>
      </c>
    </row>
    <row r="12" spans="1:4" ht="12.75">
      <c r="A12" s="159" t="s">
        <v>139</v>
      </c>
      <c r="B12" s="160">
        <v>2100</v>
      </c>
      <c r="C12" s="829">
        <v>2100</v>
      </c>
      <c r="D12" s="838">
        <v>2100</v>
      </c>
    </row>
    <row r="13" spans="1:4" ht="12.75">
      <c r="A13" s="159" t="s">
        <v>118</v>
      </c>
      <c r="B13" s="160">
        <v>2470</v>
      </c>
      <c r="C13" s="829">
        <v>2470</v>
      </c>
      <c r="D13" s="838">
        <v>2470</v>
      </c>
    </row>
    <row r="14" spans="1:4" ht="12.75">
      <c r="A14" s="159" t="s">
        <v>119</v>
      </c>
      <c r="B14" s="160">
        <v>14560</v>
      </c>
      <c r="C14" s="829">
        <v>14560</v>
      </c>
      <c r="D14" s="838">
        <v>14560</v>
      </c>
    </row>
    <row r="15" spans="1:4" ht="12.75">
      <c r="A15" s="159" t="s">
        <v>120</v>
      </c>
      <c r="B15" s="160">
        <v>8000</v>
      </c>
      <c r="C15" s="829">
        <v>8000</v>
      </c>
      <c r="D15" s="838">
        <v>8000</v>
      </c>
    </row>
    <row r="16" spans="1:4" ht="12.75">
      <c r="A16" s="159" t="s">
        <v>394</v>
      </c>
      <c r="B16" s="160"/>
      <c r="C16" s="829">
        <v>998</v>
      </c>
      <c r="D16" s="838">
        <v>998</v>
      </c>
    </row>
    <row r="17" spans="1:4" ht="12.75">
      <c r="A17" s="159" t="s">
        <v>395</v>
      </c>
      <c r="B17" s="160"/>
      <c r="C17" s="829">
        <v>1565</v>
      </c>
      <c r="D17" s="838">
        <v>1565</v>
      </c>
    </row>
    <row r="18" spans="1:4" ht="12.75">
      <c r="A18" s="159" t="s">
        <v>140</v>
      </c>
      <c r="B18" s="160"/>
      <c r="C18" s="829"/>
      <c r="D18" s="838">
        <v>3062</v>
      </c>
    </row>
    <row r="19" spans="1:4" s="158" customFormat="1" ht="12.75">
      <c r="A19" s="161" t="s">
        <v>96</v>
      </c>
      <c r="B19" s="162">
        <f>SUM(B9:B15)</f>
        <v>72410</v>
      </c>
      <c r="C19" s="836">
        <f>SUM(C9:C17)</f>
        <v>74973</v>
      </c>
      <c r="D19" s="845">
        <f>SUM(D9:D18)</f>
        <v>78035</v>
      </c>
    </row>
    <row r="20" spans="1:4" ht="12.75">
      <c r="A20" s="159"/>
      <c r="B20" s="160"/>
      <c r="C20" s="829"/>
      <c r="D20" s="838"/>
    </row>
    <row r="21" spans="1:4" ht="12.75">
      <c r="A21" s="161" t="s">
        <v>121</v>
      </c>
      <c r="B21" s="160"/>
      <c r="C21" s="843"/>
      <c r="D21" s="838"/>
    </row>
    <row r="22" spans="1:4" ht="12.75">
      <c r="A22" s="159" t="s">
        <v>791</v>
      </c>
      <c r="B22" s="160">
        <v>175037</v>
      </c>
      <c r="C22" s="829">
        <v>175037</v>
      </c>
      <c r="D22" s="823">
        <v>175037</v>
      </c>
    </row>
    <row r="23" spans="1:4" ht="12.75">
      <c r="A23" s="159" t="s">
        <v>122</v>
      </c>
      <c r="B23" s="160">
        <v>4075</v>
      </c>
      <c r="C23" s="829">
        <v>4075</v>
      </c>
      <c r="D23" s="823">
        <v>4075</v>
      </c>
    </row>
    <row r="24" spans="1:4" ht="25.5">
      <c r="A24" s="164" t="s">
        <v>793</v>
      </c>
      <c r="B24" s="160">
        <v>293165</v>
      </c>
      <c r="C24" s="829">
        <v>293165</v>
      </c>
      <c r="D24" s="823">
        <v>293165</v>
      </c>
    </row>
    <row r="25" spans="1:4" ht="27.75" customHeight="1">
      <c r="A25" s="164" t="s">
        <v>123</v>
      </c>
      <c r="B25" s="160">
        <v>869</v>
      </c>
      <c r="C25" s="829">
        <v>869</v>
      </c>
      <c r="D25" s="823">
        <v>869</v>
      </c>
    </row>
    <row r="26" spans="1:4" ht="25.5">
      <c r="A26" s="164" t="s">
        <v>124</v>
      </c>
      <c r="B26" s="160">
        <v>500000</v>
      </c>
      <c r="C26" s="829">
        <v>500000</v>
      </c>
      <c r="D26" s="823">
        <v>500000</v>
      </c>
    </row>
    <row r="27" spans="1:4" ht="12.75">
      <c r="A27" s="164" t="s">
        <v>125</v>
      </c>
      <c r="B27" s="160">
        <v>9345</v>
      </c>
      <c r="C27" s="829">
        <v>9345</v>
      </c>
      <c r="D27" s="823">
        <v>9345</v>
      </c>
    </row>
    <row r="28" spans="1:4" ht="12.75" customHeight="1">
      <c r="A28" s="164" t="s">
        <v>795</v>
      </c>
      <c r="B28" s="160">
        <v>9122</v>
      </c>
      <c r="C28" s="829">
        <v>9122</v>
      </c>
      <c r="D28" s="823">
        <v>9122</v>
      </c>
    </row>
    <row r="29" spans="1:4" ht="12.75">
      <c r="A29" s="164" t="s">
        <v>796</v>
      </c>
      <c r="B29" s="160">
        <v>20000</v>
      </c>
      <c r="C29" s="829">
        <v>20000</v>
      </c>
      <c r="D29" s="823">
        <v>0</v>
      </c>
    </row>
    <row r="30" spans="1:4" ht="12.75">
      <c r="A30" s="164" t="s">
        <v>797</v>
      </c>
      <c r="B30" s="160">
        <v>2000</v>
      </c>
      <c r="C30" s="829">
        <v>2000</v>
      </c>
      <c r="D30" s="823">
        <v>2000</v>
      </c>
    </row>
    <row r="31" spans="1:4" ht="12.75">
      <c r="A31" s="164" t="s">
        <v>798</v>
      </c>
      <c r="B31" s="160">
        <v>1000</v>
      </c>
      <c r="C31" s="829">
        <v>1000</v>
      </c>
      <c r="D31" s="823">
        <v>1000</v>
      </c>
    </row>
    <row r="32" spans="1:4" ht="12.75">
      <c r="A32" s="164" t="s">
        <v>800</v>
      </c>
      <c r="B32" s="160">
        <v>81290</v>
      </c>
      <c r="C32" s="829">
        <v>81290</v>
      </c>
      <c r="D32" s="823">
        <v>81290</v>
      </c>
    </row>
    <row r="33" spans="1:4" ht="25.5">
      <c r="A33" s="164" t="s">
        <v>801</v>
      </c>
      <c r="B33" s="160">
        <v>435222</v>
      </c>
      <c r="C33" s="829">
        <v>435222</v>
      </c>
      <c r="D33" s="823">
        <v>435222</v>
      </c>
    </row>
    <row r="34" spans="1:4" ht="25.5">
      <c r="A34" s="164" t="s">
        <v>126</v>
      </c>
      <c r="B34" s="160">
        <v>6140</v>
      </c>
      <c r="C34" s="829">
        <v>6140</v>
      </c>
      <c r="D34" s="823">
        <v>6140</v>
      </c>
    </row>
    <row r="35" spans="1:4" ht="12.75">
      <c r="A35" s="164" t="s">
        <v>396</v>
      </c>
      <c r="B35" s="160"/>
      <c r="C35" s="829">
        <v>117402</v>
      </c>
      <c r="D35" s="823">
        <v>117402</v>
      </c>
    </row>
    <row r="36" spans="1:4" ht="12.75">
      <c r="A36" s="164" t="s">
        <v>397</v>
      </c>
      <c r="B36" s="160"/>
      <c r="C36" s="829">
        <v>90625</v>
      </c>
      <c r="D36" s="823">
        <v>90625</v>
      </c>
    </row>
    <row r="37" spans="1:4" ht="12.75">
      <c r="A37" s="164" t="s">
        <v>398</v>
      </c>
      <c r="B37" s="160"/>
      <c r="C37" s="829">
        <v>185000</v>
      </c>
      <c r="D37" s="823">
        <v>185000</v>
      </c>
    </row>
    <row r="38" spans="1:4" ht="25.5">
      <c r="A38" s="164" t="s">
        <v>848</v>
      </c>
      <c r="B38" s="160"/>
      <c r="C38" s="829">
        <v>46350</v>
      </c>
      <c r="D38" s="823">
        <v>46350</v>
      </c>
    </row>
    <row r="39" spans="1:4" ht="12.75">
      <c r="A39" s="164" t="s">
        <v>141</v>
      </c>
      <c r="B39" s="160"/>
      <c r="C39" s="829"/>
      <c r="D39" s="823">
        <v>8412</v>
      </c>
    </row>
    <row r="40" spans="1:4" s="158" customFormat="1" ht="12.75">
      <c r="A40" s="161" t="s">
        <v>96</v>
      </c>
      <c r="B40" s="162">
        <f>SUM(B22:B34)</f>
        <v>1537265</v>
      </c>
      <c r="C40" s="836">
        <f>SUM(C22:C38)</f>
        <v>1976642</v>
      </c>
      <c r="D40" s="834">
        <f>SUM(D22:D39)</f>
        <v>1965054</v>
      </c>
    </row>
    <row r="41" spans="1:4" ht="12.75">
      <c r="A41" s="159"/>
      <c r="B41" s="160"/>
      <c r="C41" s="843"/>
      <c r="D41" s="838"/>
    </row>
    <row r="42" spans="1:4" ht="12.75">
      <c r="A42" s="161" t="s">
        <v>127</v>
      </c>
      <c r="B42" s="160"/>
      <c r="C42" s="843"/>
      <c r="D42" s="838"/>
    </row>
    <row r="43" spans="1:4" ht="12.75">
      <c r="A43" s="159" t="s">
        <v>128</v>
      </c>
      <c r="B43" s="160">
        <v>2600</v>
      </c>
      <c r="C43" s="829">
        <v>2600</v>
      </c>
      <c r="D43" s="823">
        <v>2600</v>
      </c>
    </row>
    <row r="44" spans="1:4" ht="12.75">
      <c r="A44" s="164" t="s">
        <v>129</v>
      </c>
      <c r="B44" s="160">
        <v>1200</v>
      </c>
      <c r="C44" s="829">
        <v>1200</v>
      </c>
      <c r="D44" s="823">
        <v>1200</v>
      </c>
    </row>
    <row r="45" spans="1:4" ht="12.75">
      <c r="A45" s="164" t="s">
        <v>142</v>
      </c>
      <c r="B45" s="160"/>
      <c r="C45" s="829"/>
      <c r="D45" s="823">
        <v>1000</v>
      </c>
    </row>
    <row r="46" spans="1:4" ht="12.75">
      <c r="A46" s="164" t="s">
        <v>143</v>
      </c>
      <c r="B46" s="160"/>
      <c r="C46" s="829"/>
      <c r="D46" s="823">
        <v>2291</v>
      </c>
    </row>
    <row r="47" spans="1:4" s="158" customFormat="1" ht="12.75">
      <c r="A47" s="161" t="s">
        <v>96</v>
      </c>
      <c r="B47" s="162">
        <f>SUM(B43:B44)</f>
        <v>3800</v>
      </c>
      <c r="C47" s="836">
        <f>SUM(C43:C44)</f>
        <v>3800</v>
      </c>
      <c r="D47" s="834">
        <f>SUM(D43:D46)</f>
        <v>7091</v>
      </c>
    </row>
    <row r="48" spans="1:4" ht="12.75">
      <c r="A48" s="159"/>
      <c r="B48" s="160"/>
      <c r="C48" s="843"/>
      <c r="D48" s="838"/>
    </row>
    <row r="49" spans="1:4" ht="12.75">
      <c r="A49" s="161" t="s">
        <v>130</v>
      </c>
      <c r="B49" s="160"/>
      <c r="C49" s="843"/>
      <c r="D49" s="838"/>
    </row>
    <row r="50" spans="1:4" s="163" customFormat="1" ht="12.75">
      <c r="A50" s="159" t="s">
        <v>131</v>
      </c>
      <c r="B50" s="160">
        <v>50</v>
      </c>
      <c r="C50" s="829">
        <v>50</v>
      </c>
      <c r="D50" s="823">
        <v>50</v>
      </c>
    </row>
    <row r="51" spans="1:4" s="163" customFormat="1" ht="12.75">
      <c r="A51" s="159" t="s">
        <v>144</v>
      </c>
      <c r="B51" s="160"/>
      <c r="C51" s="829"/>
      <c r="D51" s="823">
        <v>5000</v>
      </c>
    </row>
    <row r="52" spans="1:4" s="158" customFormat="1" ht="12.75">
      <c r="A52" s="161" t="s">
        <v>96</v>
      </c>
      <c r="B52" s="162">
        <f>SUM(B50:B50)</f>
        <v>50</v>
      </c>
      <c r="C52" s="836">
        <f>SUM(C50:C50)</f>
        <v>50</v>
      </c>
      <c r="D52" s="834">
        <f>SUM(D50:D51)</f>
        <v>5050</v>
      </c>
    </row>
    <row r="53" spans="1:4" ht="12.75">
      <c r="A53" s="159"/>
      <c r="B53" s="829"/>
      <c r="C53" s="843"/>
      <c r="D53" s="838"/>
    </row>
    <row r="54" spans="1:4" ht="13.5" thickBot="1">
      <c r="A54" s="166" t="s">
        <v>678</v>
      </c>
      <c r="B54" s="811">
        <f>SUM(B19,B40,B47,B52)</f>
        <v>1613525</v>
      </c>
      <c r="C54" s="811">
        <f>SUM(C52+C47+C40+C19)</f>
        <v>2055465</v>
      </c>
      <c r="D54" s="816">
        <f>SUM(D52+D47+D40+D19)</f>
        <v>2055230</v>
      </c>
    </row>
    <row r="56" ht="12.75">
      <c r="A56" s="168"/>
    </row>
    <row r="57" spans="1:3" ht="12.75">
      <c r="A57" s="211"/>
      <c r="B57" s="191"/>
      <c r="C57" s="191"/>
    </row>
    <row r="58" spans="1:4" ht="12.75">
      <c r="A58" s="1330" t="s">
        <v>112</v>
      </c>
      <c r="B58" s="1330"/>
      <c r="C58" s="1330"/>
      <c r="D58" s="1330"/>
    </row>
    <row r="59" spans="1:4" ht="12.75">
      <c r="A59" s="1330" t="s">
        <v>132</v>
      </c>
      <c r="B59" s="1330"/>
      <c r="C59" s="1330"/>
      <c r="D59" s="1330"/>
    </row>
    <row r="60" spans="1:4" ht="12.75">
      <c r="A60" s="1331" t="s">
        <v>114</v>
      </c>
      <c r="B60" s="1331"/>
      <c r="C60" s="1331"/>
      <c r="D60" s="1331"/>
    </row>
    <row r="61" ht="13.5" thickBot="1">
      <c r="A61" s="168"/>
    </row>
    <row r="62" spans="1:4" ht="12.75">
      <c r="A62" s="214" t="s">
        <v>789</v>
      </c>
      <c r="B62" s="215" t="s">
        <v>521</v>
      </c>
      <c r="C62" s="842" t="s">
        <v>473</v>
      </c>
      <c r="D62" s="837" t="s">
        <v>549</v>
      </c>
    </row>
    <row r="63" spans="1:4" ht="12.75">
      <c r="A63" s="217"/>
      <c r="B63" s="176"/>
      <c r="C63" s="843"/>
      <c r="D63" s="838"/>
    </row>
    <row r="64" spans="1:4" ht="12.75">
      <c r="A64" s="161" t="s">
        <v>121</v>
      </c>
      <c r="B64" s="176"/>
      <c r="C64" s="843"/>
      <c r="D64" s="838"/>
    </row>
    <row r="65" spans="1:4" ht="12.75">
      <c r="A65" s="159" t="s">
        <v>843</v>
      </c>
      <c r="B65" s="160">
        <v>185000</v>
      </c>
      <c r="C65" s="843">
        <v>0</v>
      </c>
      <c r="D65" s="838">
        <v>0</v>
      </c>
    </row>
    <row r="66" spans="1:4" ht="12.75">
      <c r="A66" s="159" t="s">
        <v>844</v>
      </c>
      <c r="B66" s="160">
        <v>675316</v>
      </c>
      <c r="C66" s="160">
        <v>675316</v>
      </c>
      <c r="D66" s="813">
        <v>675316</v>
      </c>
    </row>
    <row r="67" spans="1:4" ht="25.5">
      <c r="A67" s="164" t="s">
        <v>126</v>
      </c>
      <c r="B67" s="160">
        <v>115356</v>
      </c>
      <c r="C67" s="160">
        <v>115356</v>
      </c>
      <c r="D67" s="813">
        <v>115356</v>
      </c>
    </row>
    <row r="68" spans="1:4" ht="12.75">
      <c r="A68" s="164" t="s">
        <v>845</v>
      </c>
      <c r="B68" s="160">
        <v>100000</v>
      </c>
      <c r="C68" s="160">
        <v>100000</v>
      </c>
      <c r="D68" s="813">
        <v>100000</v>
      </c>
    </row>
    <row r="69" spans="1:4" ht="12.75">
      <c r="A69" s="164" t="s">
        <v>846</v>
      </c>
      <c r="B69" s="160">
        <v>58889</v>
      </c>
      <c r="C69" s="160">
        <v>58889</v>
      </c>
      <c r="D69" s="813">
        <v>58889</v>
      </c>
    </row>
    <row r="70" spans="1:4" ht="15.75" customHeight="1">
      <c r="A70" s="164" t="s">
        <v>847</v>
      </c>
      <c r="B70" s="160">
        <v>90625</v>
      </c>
      <c r="C70" s="843">
        <v>0</v>
      </c>
      <c r="D70" s="838">
        <v>0</v>
      </c>
    </row>
    <row r="71" spans="1:4" ht="25.5">
      <c r="A71" s="164" t="s">
        <v>848</v>
      </c>
      <c r="B71" s="160">
        <v>49966</v>
      </c>
      <c r="C71" s="843">
        <v>3616</v>
      </c>
      <c r="D71" s="838">
        <v>3616</v>
      </c>
    </row>
    <row r="72" spans="1:4" ht="25.5">
      <c r="A72" s="164" t="s">
        <v>849</v>
      </c>
      <c r="B72" s="160">
        <v>15000</v>
      </c>
      <c r="C72" s="160">
        <v>15000</v>
      </c>
      <c r="D72" s="813">
        <v>15000</v>
      </c>
    </row>
    <row r="73" spans="1:4" ht="12.75">
      <c r="A73" s="164" t="s">
        <v>850</v>
      </c>
      <c r="B73" s="160">
        <v>44957</v>
      </c>
      <c r="C73" s="160">
        <v>44957</v>
      </c>
      <c r="D73" s="813">
        <v>44957</v>
      </c>
    </row>
    <row r="74" spans="1:4" ht="12.75">
      <c r="A74" s="164" t="s">
        <v>851</v>
      </c>
      <c r="B74" s="160">
        <v>117402</v>
      </c>
      <c r="C74" s="843">
        <v>0</v>
      </c>
      <c r="D74" s="838">
        <v>0</v>
      </c>
    </row>
    <row r="75" spans="1:4" ht="12.75">
      <c r="A75" s="159" t="s">
        <v>852</v>
      </c>
      <c r="B75" s="160">
        <v>52290</v>
      </c>
      <c r="C75" s="160">
        <v>52290</v>
      </c>
      <c r="D75" s="813">
        <v>52290</v>
      </c>
    </row>
    <row r="76" spans="1:4" ht="12.75">
      <c r="A76" s="159" t="s">
        <v>122</v>
      </c>
      <c r="B76" s="160">
        <v>113309</v>
      </c>
      <c r="C76" s="160">
        <v>113309</v>
      </c>
      <c r="D76" s="813">
        <v>113309</v>
      </c>
    </row>
    <row r="77" spans="1:4" ht="38.25">
      <c r="A77" s="164" t="s">
        <v>123</v>
      </c>
      <c r="B77" s="160">
        <v>100697</v>
      </c>
      <c r="C77" s="160">
        <v>100697</v>
      </c>
      <c r="D77" s="813">
        <v>100697</v>
      </c>
    </row>
    <row r="78" spans="1:4" s="158" customFormat="1" ht="13.5" thickBot="1">
      <c r="A78" s="199" t="s">
        <v>96</v>
      </c>
      <c r="B78" s="200">
        <f>SUM(B65:B77)</f>
        <v>1718807</v>
      </c>
      <c r="C78" s="200">
        <f>SUM(C65:C77)</f>
        <v>1279430</v>
      </c>
      <c r="D78" s="841">
        <f>SUM(D65:D77)</f>
        <v>1279430</v>
      </c>
    </row>
    <row r="79" ht="12.75">
      <c r="A79" s="168"/>
    </row>
    <row r="80" ht="12.75">
      <c r="A80" s="168"/>
    </row>
    <row r="81" spans="1:4" ht="12.75">
      <c r="A81" s="1330" t="s">
        <v>516</v>
      </c>
      <c r="B81" s="1330"/>
      <c r="C81" s="1330"/>
      <c r="D81" s="1330"/>
    </row>
    <row r="82" spans="1:4" ht="12.75">
      <c r="A82" s="1330" t="s">
        <v>113</v>
      </c>
      <c r="B82" s="1330"/>
      <c r="C82" s="1330"/>
      <c r="D82" s="1330"/>
    </row>
    <row r="83" spans="1:4" ht="12.75">
      <c r="A83" s="1331" t="s">
        <v>114</v>
      </c>
      <c r="B83" s="1331"/>
      <c r="C83" s="1331"/>
      <c r="D83" s="1331"/>
    </row>
    <row r="84" spans="1:3" ht="13.5" thickBot="1">
      <c r="A84" s="212"/>
      <c r="B84" s="213"/>
      <c r="C84" s="213"/>
    </row>
    <row r="85" spans="1:4" ht="12.75">
      <c r="A85" s="214" t="s">
        <v>789</v>
      </c>
      <c r="B85" s="215" t="s">
        <v>521</v>
      </c>
      <c r="C85" s="538" t="s">
        <v>473</v>
      </c>
      <c r="D85" s="530" t="s">
        <v>549</v>
      </c>
    </row>
    <row r="86" spans="1:4" ht="12.75">
      <c r="A86" s="216"/>
      <c r="B86" s="198"/>
      <c r="C86" s="535"/>
      <c r="D86" s="552"/>
    </row>
    <row r="87" spans="1:4" ht="12.75">
      <c r="A87" s="161" t="s">
        <v>548</v>
      </c>
      <c r="B87" s="160"/>
      <c r="C87" s="529"/>
      <c r="D87" s="552"/>
    </row>
    <row r="88" spans="1:4" ht="12.75">
      <c r="A88" s="161"/>
      <c r="B88" s="160"/>
      <c r="C88" s="529"/>
      <c r="D88" s="552"/>
    </row>
    <row r="89" spans="1:4" ht="12.75">
      <c r="A89" s="159" t="s">
        <v>134</v>
      </c>
      <c r="B89" s="160">
        <v>8431</v>
      </c>
      <c r="C89" s="529">
        <v>0</v>
      </c>
      <c r="D89" s="552">
        <v>0</v>
      </c>
    </row>
    <row r="90" spans="1:4" ht="12.75">
      <c r="A90" s="203"/>
      <c r="B90" s="204"/>
      <c r="C90" s="537"/>
      <c r="D90" s="552"/>
    </row>
    <row r="91" spans="1:4" s="158" customFormat="1" ht="13.5" thickBot="1">
      <c r="A91" s="199" t="s">
        <v>96</v>
      </c>
      <c r="B91" s="200">
        <f>SUM(B89:B89)</f>
        <v>8431</v>
      </c>
      <c r="C91" s="536">
        <f>SUM(C89:C89)</f>
        <v>0</v>
      </c>
      <c r="D91" s="553">
        <v>0</v>
      </c>
    </row>
    <row r="92" ht="12.75">
      <c r="A92" s="168"/>
    </row>
    <row r="93" spans="1:4" ht="12.75">
      <c r="A93" s="1330" t="s">
        <v>517</v>
      </c>
      <c r="B93" s="1330"/>
      <c r="C93" s="1330"/>
      <c r="D93" s="1330"/>
    </row>
    <row r="94" spans="1:4" ht="12.75">
      <c r="A94" s="1330" t="s">
        <v>113</v>
      </c>
      <c r="B94" s="1330"/>
      <c r="C94" s="1330"/>
      <c r="D94" s="1330"/>
    </row>
    <row r="95" spans="1:4" ht="12.75">
      <c r="A95" s="1331" t="s">
        <v>114</v>
      </c>
      <c r="B95" s="1331"/>
      <c r="C95" s="1331"/>
      <c r="D95" s="1331"/>
    </row>
    <row r="96" spans="1:3" ht="13.5" thickBot="1">
      <c r="A96" s="212"/>
      <c r="B96" s="213"/>
      <c r="C96" s="213"/>
    </row>
    <row r="97" spans="1:4" ht="12.75">
      <c r="A97" s="214" t="s">
        <v>789</v>
      </c>
      <c r="B97" s="215" t="s">
        <v>521</v>
      </c>
      <c r="C97" s="842" t="s">
        <v>473</v>
      </c>
      <c r="D97" s="837" t="s">
        <v>549</v>
      </c>
    </row>
    <row r="98" spans="1:4" ht="12.75">
      <c r="A98" s="161" t="s">
        <v>548</v>
      </c>
      <c r="B98" s="160"/>
      <c r="C98" s="843"/>
      <c r="D98" s="838"/>
    </row>
    <row r="99" spans="1:4" ht="7.5" customHeight="1">
      <c r="A99" s="161"/>
      <c r="B99" s="160"/>
      <c r="C99" s="843"/>
      <c r="D99" s="838"/>
    </row>
    <row r="100" spans="1:4" ht="13.5">
      <c r="A100" s="194" t="s">
        <v>135</v>
      </c>
      <c r="B100" s="160"/>
      <c r="C100" s="843"/>
      <c r="D100" s="838"/>
    </row>
    <row r="101" spans="1:4" ht="12.75">
      <c r="A101" s="159" t="s">
        <v>134</v>
      </c>
      <c r="B101" s="160">
        <v>0</v>
      </c>
      <c r="C101" s="843">
        <v>5000</v>
      </c>
      <c r="D101" s="838">
        <v>5000</v>
      </c>
    </row>
    <row r="102" spans="1:4" ht="12.75">
      <c r="A102" s="159" t="s">
        <v>136</v>
      </c>
      <c r="B102" s="160"/>
      <c r="C102" s="160">
        <v>5349</v>
      </c>
      <c r="D102" s="813">
        <v>5349</v>
      </c>
    </row>
    <row r="103" spans="1:4" ht="12.75">
      <c r="A103" s="159" t="s">
        <v>145</v>
      </c>
      <c r="B103" s="160"/>
      <c r="C103" s="160"/>
      <c r="D103" s="813">
        <v>518</v>
      </c>
    </row>
    <row r="104" spans="1:4" s="207" customFormat="1" ht="13.5">
      <c r="A104" s="194" t="s">
        <v>50</v>
      </c>
      <c r="B104" s="195">
        <f>SUM(B101)</f>
        <v>0</v>
      </c>
      <c r="C104" s="195">
        <f>SUM(C101:C102)</f>
        <v>10349</v>
      </c>
      <c r="D104" s="839">
        <f>SUM(D101:D103)</f>
        <v>10867</v>
      </c>
    </row>
    <row r="105" spans="1:4" ht="8.25" customHeight="1">
      <c r="A105" s="159"/>
      <c r="B105" s="160"/>
      <c r="C105" s="843"/>
      <c r="D105" s="838"/>
    </row>
    <row r="106" spans="1:4" s="207" customFormat="1" ht="13.5">
      <c r="A106" s="194" t="s">
        <v>137</v>
      </c>
      <c r="B106" s="195"/>
      <c r="C106" s="844"/>
      <c r="D106" s="840"/>
    </row>
    <row r="107" spans="1:4" s="163" customFormat="1" ht="12.75">
      <c r="A107" s="159" t="s">
        <v>138</v>
      </c>
      <c r="B107" s="160"/>
      <c r="C107" s="160">
        <v>2633</v>
      </c>
      <c r="D107" s="813">
        <v>2633</v>
      </c>
    </row>
    <row r="108" spans="1:4" s="163" customFormat="1" ht="12.75">
      <c r="A108" s="159" t="s">
        <v>151</v>
      </c>
      <c r="B108" s="160"/>
      <c r="C108" s="160">
        <v>707</v>
      </c>
      <c r="D108" s="813">
        <v>707</v>
      </c>
    </row>
    <row r="109" spans="1:4" s="163" customFormat="1" ht="12.75">
      <c r="A109" s="159" t="s">
        <v>147</v>
      </c>
      <c r="B109" s="160"/>
      <c r="C109" s="160"/>
      <c r="D109" s="813">
        <v>10090</v>
      </c>
    </row>
    <row r="110" spans="1:4" s="207" customFormat="1" ht="13.5">
      <c r="A110" s="194" t="s">
        <v>56</v>
      </c>
      <c r="B110" s="195">
        <f>SUM(B108)</f>
        <v>0</v>
      </c>
      <c r="C110" s="195">
        <f>SUM(C107:C108)</f>
        <v>3340</v>
      </c>
      <c r="D110" s="839">
        <f>SUM(D107:D109)</f>
        <v>13430</v>
      </c>
    </row>
    <row r="111" spans="1:4" ht="9.75" customHeight="1">
      <c r="A111" s="159"/>
      <c r="B111" s="160"/>
      <c r="C111" s="843"/>
      <c r="D111" s="838"/>
    </row>
    <row r="112" spans="1:4" s="207" customFormat="1" ht="13.5">
      <c r="A112" s="194" t="s">
        <v>57</v>
      </c>
      <c r="B112" s="195"/>
      <c r="C112" s="844"/>
      <c r="D112" s="840"/>
    </row>
    <row r="113" spans="1:4" ht="12.75">
      <c r="A113" s="159" t="s">
        <v>138</v>
      </c>
      <c r="B113" s="160"/>
      <c r="C113" s="160">
        <v>196</v>
      </c>
      <c r="D113" s="813">
        <v>196</v>
      </c>
    </row>
    <row r="114" spans="1:4" ht="12.75">
      <c r="A114" s="159" t="s">
        <v>152</v>
      </c>
      <c r="B114" s="160"/>
      <c r="C114" s="160">
        <v>957</v>
      </c>
      <c r="D114" s="813">
        <v>957</v>
      </c>
    </row>
    <row r="115" spans="1:4" ht="12.75">
      <c r="A115" s="159" t="s">
        <v>146</v>
      </c>
      <c r="B115" s="160"/>
      <c r="C115" s="160"/>
      <c r="D115" s="813">
        <v>3060</v>
      </c>
    </row>
    <row r="116" spans="1:4" s="207" customFormat="1" ht="13.5">
      <c r="A116" s="194" t="s">
        <v>58</v>
      </c>
      <c r="B116" s="195">
        <f>SUM(B113)</f>
        <v>0</v>
      </c>
      <c r="C116" s="195">
        <f>SUM(C113:C114)</f>
        <v>1153</v>
      </c>
      <c r="D116" s="839">
        <f>SUM(D113:D115)</f>
        <v>4213</v>
      </c>
    </row>
    <row r="117" spans="1:4" ht="9.75" customHeight="1">
      <c r="A117" s="159"/>
      <c r="B117" s="160"/>
      <c r="C117" s="843"/>
      <c r="D117" s="838"/>
    </row>
    <row r="118" spans="1:4" s="207" customFormat="1" ht="13.5">
      <c r="A118" s="194" t="s">
        <v>51</v>
      </c>
      <c r="B118" s="195"/>
      <c r="C118" s="844"/>
      <c r="D118" s="840"/>
    </row>
    <row r="119" spans="1:4" s="163" customFormat="1" ht="12.75">
      <c r="A119" s="159" t="s">
        <v>138</v>
      </c>
      <c r="B119" s="160"/>
      <c r="C119" s="160">
        <v>2314</v>
      </c>
      <c r="D119" s="813">
        <v>2314</v>
      </c>
    </row>
    <row r="120" spans="1:4" s="163" customFormat="1" ht="12.75">
      <c r="A120" s="159" t="s">
        <v>152</v>
      </c>
      <c r="B120" s="160"/>
      <c r="C120" s="160">
        <v>3052</v>
      </c>
      <c r="D120" s="813">
        <v>3052</v>
      </c>
    </row>
    <row r="121" spans="1:4" s="163" customFormat="1" ht="12.75">
      <c r="A121" s="159" t="s">
        <v>148</v>
      </c>
      <c r="B121" s="160"/>
      <c r="C121" s="160"/>
      <c r="D121" s="813">
        <v>879</v>
      </c>
    </row>
    <row r="122" spans="1:4" s="163" customFormat="1" ht="12.75">
      <c r="A122" s="159" t="s">
        <v>149</v>
      </c>
      <c r="B122" s="160"/>
      <c r="C122" s="160"/>
      <c r="D122" s="813">
        <v>9269</v>
      </c>
    </row>
    <row r="123" spans="1:4" s="163" customFormat="1" ht="12.75">
      <c r="A123" s="159" t="s">
        <v>150</v>
      </c>
      <c r="B123" s="160"/>
      <c r="C123" s="160"/>
      <c r="D123" s="813">
        <v>2185</v>
      </c>
    </row>
    <row r="124" spans="1:4" s="207" customFormat="1" ht="13.5">
      <c r="A124" s="194" t="s">
        <v>53</v>
      </c>
      <c r="B124" s="195">
        <f>SUM(B119:B120)</f>
        <v>0</v>
      </c>
      <c r="C124" s="195">
        <f>SUM(C119:C120)</f>
        <v>5366</v>
      </c>
      <c r="D124" s="839">
        <f>SUM(D119:D123)</f>
        <v>17699</v>
      </c>
    </row>
    <row r="125" spans="1:4" ht="12.75">
      <c r="A125" s="159"/>
      <c r="B125" s="160"/>
      <c r="C125" s="843"/>
      <c r="D125" s="838"/>
    </row>
    <row r="126" spans="1:4" ht="13.5" thickBot="1">
      <c r="A126" s="199" t="s">
        <v>96</v>
      </c>
      <c r="B126" s="200">
        <f>SUM(B101:B101)</f>
        <v>0</v>
      </c>
      <c r="C126" s="200">
        <f>SUM(C124,C116,C110,C104)</f>
        <v>20208</v>
      </c>
      <c r="D126" s="841">
        <f>SUM(D124,D116,D110,D104)</f>
        <v>46209</v>
      </c>
    </row>
    <row r="127" ht="12.75">
      <c r="A127" s="168"/>
    </row>
    <row r="128" ht="12.75">
      <c r="A128" s="168"/>
    </row>
    <row r="129" ht="12.75">
      <c r="A129" s="168"/>
    </row>
    <row r="130" ht="12.75">
      <c r="A130" s="168"/>
    </row>
    <row r="131" ht="12.75">
      <c r="A131" s="168"/>
    </row>
    <row r="132" ht="12.75">
      <c r="A132" s="168"/>
    </row>
    <row r="133" ht="12.75">
      <c r="A133" s="168"/>
    </row>
    <row r="134" ht="12.75">
      <c r="A134" s="168"/>
    </row>
    <row r="135" ht="12.75">
      <c r="A135" s="168"/>
    </row>
    <row r="136" ht="12.75">
      <c r="A136" s="168"/>
    </row>
    <row r="137" ht="12.75">
      <c r="A137" s="168"/>
    </row>
    <row r="138" ht="12.75">
      <c r="A138" s="168"/>
    </row>
    <row r="139" ht="12.75">
      <c r="A139" s="168"/>
    </row>
    <row r="140" ht="12.75">
      <c r="A140" s="168"/>
    </row>
    <row r="141" ht="12.75">
      <c r="A141" s="168"/>
    </row>
    <row r="142" ht="12.75">
      <c r="A142" s="168"/>
    </row>
    <row r="143" ht="12.75">
      <c r="A143" s="168"/>
    </row>
    <row r="144" ht="12.75">
      <c r="A144" s="168"/>
    </row>
    <row r="145" ht="12.75">
      <c r="A145" s="168"/>
    </row>
  </sheetData>
  <mergeCells count="12">
    <mergeCell ref="A95:D95"/>
    <mergeCell ref="A81:D81"/>
    <mergeCell ref="A82:D82"/>
    <mergeCell ref="A83:D83"/>
    <mergeCell ref="A93:D93"/>
    <mergeCell ref="A2:D2"/>
    <mergeCell ref="A3:D3"/>
    <mergeCell ref="A94:D94"/>
    <mergeCell ref="A4:D4"/>
    <mergeCell ref="A58:D58"/>
    <mergeCell ref="A59:D59"/>
    <mergeCell ref="A60:D60"/>
  </mergeCells>
  <printOptions horizontalCentered="1"/>
  <pageMargins left="0.3937007874015748" right="0.3937007874015748" top="0.62" bottom="0" header="0.34" footer="0.23"/>
  <pageSetup horizontalDpi="600" verticalDpi="600" orientation="portrait" paperSize="9" scale="84" r:id="rId1"/>
  <headerFooter alignWithMargins="0">
    <oddHeader>&amp;L12. melléklet a 24/2013.(IX.13.) önkormányzati rendelethez
"12. melléklet az 1/2013.(II.01.) önkormányzati rendelethez"</oddHeader>
  </headerFooter>
  <rowBreaks count="1" manualBreakCount="1">
    <brk id="56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zoomScaleSheetLayoutView="100" workbookViewId="0" topLeftCell="A1">
      <selection activeCell="D47" sqref="D47"/>
    </sheetView>
  </sheetViews>
  <sheetFormatPr defaultColWidth="9.00390625" defaultRowHeight="12.75"/>
  <cols>
    <col min="1" max="1" width="46.875" style="219" customWidth="1"/>
    <col min="2" max="2" width="16.75390625" style="219" customWidth="1"/>
    <col min="3" max="3" width="14.75390625" style="219" customWidth="1"/>
    <col min="4" max="4" width="14.25390625" style="219" customWidth="1"/>
    <col min="5" max="16384" width="9.125" style="219" customWidth="1"/>
  </cols>
  <sheetData>
    <row r="1" ht="12.75">
      <c r="A1" s="218"/>
    </row>
    <row r="2" ht="15.75">
      <c r="A2" s="220"/>
    </row>
    <row r="3" spans="1:4" ht="15" customHeight="1">
      <c r="A3" s="1336" t="s">
        <v>153</v>
      </c>
      <c r="B3" s="1336"/>
      <c r="C3" s="1336"/>
      <c r="D3" s="1336"/>
    </row>
    <row r="4" spans="1:2" ht="14.25" customHeight="1" thickBot="1">
      <c r="A4" s="221"/>
      <c r="B4" s="222"/>
    </row>
    <row r="5" spans="1:4" ht="22.5" customHeight="1">
      <c r="A5" s="1332" t="s">
        <v>154</v>
      </c>
      <c r="B5" s="223" t="s">
        <v>155</v>
      </c>
      <c r="C5" s="856" t="s">
        <v>155</v>
      </c>
      <c r="D5" s="846" t="s">
        <v>155</v>
      </c>
    </row>
    <row r="6" spans="1:4" ht="15" customHeight="1" thickBot="1">
      <c r="A6" s="1333"/>
      <c r="B6" s="225" t="s">
        <v>521</v>
      </c>
      <c r="C6" s="857" t="s">
        <v>472</v>
      </c>
      <c r="D6" s="847" t="s">
        <v>549</v>
      </c>
    </row>
    <row r="7" spans="1:4" ht="15" customHeight="1">
      <c r="A7" s="227" t="s">
        <v>735</v>
      </c>
      <c r="B7" s="228">
        <v>20</v>
      </c>
      <c r="C7" s="858">
        <v>20</v>
      </c>
      <c r="D7" s="848">
        <v>22</v>
      </c>
    </row>
    <row r="8" spans="1:4" ht="15" customHeight="1">
      <c r="A8" s="227" t="s">
        <v>737</v>
      </c>
      <c r="B8" s="228">
        <v>7</v>
      </c>
      <c r="C8" s="858">
        <v>7</v>
      </c>
      <c r="D8" s="848">
        <v>7</v>
      </c>
    </row>
    <row r="9" spans="1:4" ht="15" customHeight="1">
      <c r="A9" s="227" t="s">
        <v>738</v>
      </c>
      <c r="B9" s="228">
        <v>16.75</v>
      </c>
      <c r="C9" s="858">
        <v>16.75</v>
      </c>
      <c r="D9" s="848">
        <v>18.75</v>
      </c>
    </row>
    <row r="10" spans="1:4" ht="15" customHeight="1">
      <c r="A10" s="227" t="s">
        <v>156</v>
      </c>
      <c r="B10" s="228">
        <v>21</v>
      </c>
      <c r="C10" s="858">
        <v>21</v>
      </c>
      <c r="D10" s="848">
        <v>23</v>
      </c>
    </row>
    <row r="11" spans="1:4" ht="15" customHeight="1">
      <c r="A11" s="227" t="s">
        <v>740</v>
      </c>
      <c r="B11" s="228">
        <v>15.5</v>
      </c>
      <c r="C11" s="858">
        <v>15.5</v>
      </c>
      <c r="D11" s="848">
        <v>16.5</v>
      </c>
    </row>
    <row r="12" spans="1:4" ht="15" customHeight="1">
      <c r="A12" s="227" t="s">
        <v>741</v>
      </c>
      <c r="B12" s="228">
        <v>15</v>
      </c>
      <c r="C12" s="858">
        <v>15</v>
      </c>
      <c r="D12" s="848">
        <v>15</v>
      </c>
    </row>
    <row r="13" spans="1:4" ht="15" customHeight="1">
      <c r="A13" s="227" t="s">
        <v>742</v>
      </c>
      <c r="B13" s="228">
        <v>3.5</v>
      </c>
      <c r="C13" s="858">
        <v>3.5</v>
      </c>
      <c r="D13" s="848">
        <v>3.5</v>
      </c>
    </row>
    <row r="14" spans="1:4" ht="15" customHeight="1">
      <c r="A14" s="227" t="s">
        <v>157</v>
      </c>
      <c r="B14" s="228">
        <v>32</v>
      </c>
      <c r="C14" s="858">
        <v>32</v>
      </c>
      <c r="D14" s="848">
        <v>32</v>
      </c>
    </row>
    <row r="15" spans="1:4" ht="15" customHeight="1">
      <c r="A15" s="227" t="s">
        <v>749</v>
      </c>
      <c r="B15" s="228">
        <v>0</v>
      </c>
      <c r="C15" s="858">
        <v>0</v>
      </c>
      <c r="D15" s="848">
        <v>0</v>
      </c>
    </row>
    <row r="16" spans="1:4" ht="15" customHeight="1">
      <c r="A16" s="227" t="s">
        <v>158</v>
      </c>
      <c r="B16" s="228">
        <v>0</v>
      </c>
      <c r="C16" s="858">
        <v>0</v>
      </c>
      <c r="D16" s="848">
        <v>0</v>
      </c>
    </row>
    <row r="17" spans="1:4" ht="15" customHeight="1">
      <c r="A17" s="227" t="s">
        <v>159</v>
      </c>
      <c r="B17" s="228">
        <v>0</v>
      </c>
      <c r="C17" s="858">
        <v>0</v>
      </c>
      <c r="D17" s="848">
        <v>0</v>
      </c>
    </row>
    <row r="18" spans="1:4" ht="15" customHeight="1">
      <c r="A18" s="227" t="s">
        <v>160</v>
      </c>
      <c r="B18" s="228">
        <v>0</v>
      </c>
      <c r="C18" s="858">
        <v>0</v>
      </c>
      <c r="D18" s="848">
        <v>0</v>
      </c>
    </row>
    <row r="19" spans="1:4" ht="15" customHeight="1">
      <c r="A19" s="227" t="s">
        <v>161</v>
      </c>
      <c r="B19" s="228">
        <v>0</v>
      </c>
      <c r="C19" s="858">
        <v>0</v>
      </c>
      <c r="D19" s="848">
        <v>0</v>
      </c>
    </row>
    <row r="20" spans="1:4" ht="15.75" customHeight="1">
      <c r="A20" s="227" t="s">
        <v>162</v>
      </c>
      <c r="B20" s="228">
        <v>9.5</v>
      </c>
      <c r="C20" s="858">
        <v>9.5</v>
      </c>
      <c r="D20" s="848">
        <v>9.5</v>
      </c>
    </row>
    <row r="21" spans="1:4" ht="15" customHeight="1">
      <c r="A21" s="230" t="s">
        <v>763</v>
      </c>
      <c r="B21" s="231">
        <v>53.5</v>
      </c>
      <c r="C21" s="245">
        <v>53.5</v>
      </c>
      <c r="D21" s="849">
        <v>0</v>
      </c>
    </row>
    <row r="22" spans="1:4" ht="15" customHeight="1">
      <c r="A22" s="227" t="s">
        <v>753</v>
      </c>
      <c r="B22" s="228">
        <v>8</v>
      </c>
      <c r="C22" s="858">
        <v>8</v>
      </c>
      <c r="D22" s="848">
        <v>8</v>
      </c>
    </row>
    <row r="23" spans="1:4" ht="15" customHeight="1">
      <c r="A23" s="232" t="s">
        <v>163</v>
      </c>
      <c r="B23" s="718">
        <v>37</v>
      </c>
      <c r="C23" s="859">
        <v>37</v>
      </c>
      <c r="D23" s="850">
        <v>37</v>
      </c>
    </row>
    <row r="24" spans="1:4" ht="15" customHeight="1">
      <c r="A24" s="233" t="s">
        <v>170</v>
      </c>
      <c r="B24" s="234">
        <f>SUM(B7:B23)</f>
        <v>238.75</v>
      </c>
      <c r="C24" s="860">
        <f>SUM(C7:C23)</f>
        <v>238.75</v>
      </c>
      <c r="D24" s="851">
        <f>SUM(D7:D23)</f>
        <v>192.25</v>
      </c>
    </row>
    <row r="25" spans="1:4" ht="15" customHeight="1">
      <c r="A25" s="233"/>
      <c r="B25" s="234"/>
      <c r="C25" s="860"/>
      <c r="D25" s="851"/>
    </row>
    <row r="26" spans="1:4" ht="15" customHeight="1">
      <c r="A26" s="711" t="s">
        <v>699</v>
      </c>
      <c r="B26" s="714">
        <v>66</v>
      </c>
      <c r="C26" s="860"/>
      <c r="D26" s="851"/>
    </row>
    <row r="27" spans="1:4" ht="15" customHeight="1">
      <c r="A27" s="227"/>
      <c r="B27" s="228"/>
      <c r="C27" s="861"/>
      <c r="D27" s="852"/>
    </row>
    <row r="28" spans="1:4" ht="15" customHeight="1">
      <c r="A28" s="711" t="s">
        <v>517</v>
      </c>
      <c r="B28" s="228"/>
      <c r="C28" s="858"/>
      <c r="D28" s="848"/>
    </row>
    <row r="29" spans="1:4" ht="15" customHeight="1">
      <c r="A29" s="246" t="s">
        <v>326</v>
      </c>
      <c r="B29" s="715"/>
      <c r="C29" s="245">
        <v>66</v>
      </c>
      <c r="D29" s="849">
        <v>66</v>
      </c>
    </row>
    <row r="30" spans="1:4" ht="15" customHeight="1">
      <c r="A30" s="246" t="s">
        <v>174</v>
      </c>
      <c r="B30" s="245"/>
      <c r="C30" s="245">
        <v>5</v>
      </c>
      <c r="D30" s="849">
        <v>5</v>
      </c>
    </row>
    <row r="31" spans="1:4" ht="15" customHeight="1">
      <c r="A31" s="246" t="s">
        <v>175</v>
      </c>
      <c r="B31" s="245"/>
      <c r="C31" s="245">
        <v>3</v>
      </c>
      <c r="D31" s="849">
        <v>3</v>
      </c>
    </row>
    <row r="32" spans="1:4" ht="15" customHeight="1">
      <c r="A32" s="246" t="s">
        <v>176</v>
      </c>
      <c r="B32" s="245"/>
      <c r="C32" s="245">
        <v>6</v>
      </c>
      <c r="D32" s="849">
        <v>6</v>
      </c>
    </row>
    <row r="33" spans="1:4" ht="15" customHeight="1">
      <c r="A33" s="711" t="s">
        <v>698</v>
      </c>
      <c r="B33" s="713">
        <f>SUM(B29:B32)</f>
        <v>0</v>
      </c>
      <c r="C33" s="714">
        <f>SUM(C29:C32)</f>
        <v>80</v>
      </c>
      <c r="D33" s="853">
        <f>SUM(D29:D32)</f>
        <v>80</v>
      </c>
    </row>
    <row r="34" spans="1:4" ht="15" customHeight="1">
      <c r="A34" s="711"/>
      <c r="B34" s="235"/>
      <c r="C34" s="861"/>
      <c r="D34" s="852"/>
    </row>
    <row r="35" spans="1:4" ht="15" customHeight="1">
      <c r="A35" s="711" t="s">
        <v>700</v>
      </c>
      <c r="B35" s="712">
        <v>3</v>
      </c>
      <c r="C35" s="714">
        <v>3</v>
      </c>
      <c r="D35" s="853">
        <v>3</v>
      </c>
    </row>
    <row r="36" spans="1:4" ht="15" customHeight="1">
      <c r="A36" s="233"/>
      <c r="B36" s="234"/>
      <c r="C36" s="860"/>
      <c r="D36" s="851"/>
    </row>
    <row r="37" spans="1:4" s="236" customFormat="1" ht="15" customHeight="1">
      <c r="A37" s="711" t="s">
        <v>701</v>
      </c>
      <c r="B37" s="234">
        <v>3</v>
      </c>
      <c r="C37" s="860">
        <v>3</v>
      </c>
      <c r="D37" s="851">
        <v>5</v>
      </c>
    </row>
    <row r="38" spans="1:4" ht="15" customHeight="1" thickBot="1">
      <c r="A38" s="716"/>
      <c r="B38" s="235"/>
      <c r="C38" s="862"/>
      <c r="D38" s="854"/>
    </row>
    <row r="39" spans="1:4" ht="15" customHeight="1" thickBot="1">
      <c r="A39" s="717" t="s">
        <v>678</v>
      </c>
      <c r="B39" s="539">
        <f>SUM(B24+B26+B33+B35+B37)</f>
        <v>310.75</v>
      </c>
      <c r="C39" s="863">
        <f>SUM(C24+C26+C33+C35+C37)</f>
        <v>324.75</v>
      </c>
      <c r="D39" s="855">
        <f>SUM(D24+D26+D33+D35+D37)</f>
        <v>280.25</v>
      </c>
    </row>
    <row r="40" spans="1:2" ht="18.75">
      <c r="A40" s="237"/>
      <c r="B40" s="238"/>
    </row>
    <row r="41" ht="15.75">
      <c r="A41" s="239"/>
    </row>
    <row r="42" spans="1:4" ht="12.75">
      <c r="A42" s="1337" t="s">
        <v>171</v>
      </c>
      <c r="B42" s="1337"/>
      <c r="C42" s="1337"/>
      <c r="D42" s="1337"/>
    </row>
    <row r="43" ht="13.5" thickBot="1"/>
    <row r="44" spans="1:4" ht="25.5">
      <c r="A44" s="1334" t="s">
        <v>789</v>
      </c>
      <c r="B44" s="915" t="s">
        <v>172</v>
      </c>
      <c r="C44" s="911" t="s">
        <v>155</v>
      </c>
      <c r="D44" s="224" t="s">
        <v>155</v>
      </c>
    </row>
    <row r="45" spans="1:4" ht="13.5" thickBot="1">
      <c r="A45" s="1335"/>
      <c r="B45" s="916" t="s">
        <v>521</v>
      </c>
      <c r="C45" s="540" t="s">
        <v>472</v>
      </c>
      <c r="D45" s="226" t="s">
        <v>549</v>
      </c>
    </row>
    <row r="46" spans="1:4" ht="12.75">
      <c r="A46" s="240" t="s">
        <v>399</v>
      </c>
      <c r="B46" s="917">
        <v>50</v>
      </c>
      <c r="C46" s="912">
        <v>50</v>
      </c>
      <c r="D46" s="241">
        <v>50</v>
      </c>
    </row>
    <row r="47" spans="1:4" ht="13.5" thickBot="1">
      <c r="A47" s="242" t="s">
        <v>173</v>
      </c>
      <c r="B47" s="918"/>
      <c r="C47" s="913"/>
      <c r="D47" s="229"/>
    </row>
    <row r="48" spans="1:4" s="244" customFormat="1" ht="13.5" thickBot="1">
      <c r="A48" s="243" t="s">
        <v>96</v>
      </c>
      <c r="B48" s="919">
        <f>SUM(B46:B47)</f>
        <v>50</v>
      </c>
      <c r="C48" s="919">
        <f>SUM(C46:C47)</f>
        <v>50</v>
      </c>
      <c r="D48" s="914">
        <f>SUM(D46:D47)</f>
        <v>50</v>
      </c>
    </row>
  </sheetData>
  <mergeCells count="4">
    <mergeCell ref="A5:A6"/>
    <mergeCell ref="A44:A45"/>
    <mergeCell ref="A3:D3"/>
    <mergeCell ref="A42:D42"/>
  </mergeCells>
  <printOptions horizontalCentered="1"/>
  <pageMargins left="0.15748031496062992" right="0.15748031496062992" top="0.76" bottom="0.47" header="0.39" footer="0.5118110236220472"/>
  <pageSetup horizontalDpi="600" verticalDpi="600" orientation="portrait" paperSize="9" r:id="rId1"/>
  <headerFooter alignWithMargins="0">
    <oddHeader>&amp;L&amp;8 13. melléklet a 24/2013.(IX.13.) önkormányzati rendelethez
"13. melléklet az 1/2013.(II.01.) önkormányzati rendelethez"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Z129"/>
  <sheetViews>
    <sheetView view="pageBreakPreview" zoomScaleSheetLayoutView="100" workbookViewId="0" topLeftCell="E1">
      <selection activeCell="A17" sqref="A17"/>
    </sheetView>
  </sheetViews>
  <sheetFormatPr defaultColWidth="9.00390625" defaultRowHeight="12.75"/>
  <cols>
    <col min="1" max="1" width="80.125" style="573" customWidth="1"/>
    <col min="2" max="2" width="11.75390625" style="573" customWidth="1"/>
    <col min="3" max="3" width="12.375" style="573" customWidth="1"/>
    <col min="4" max="4" width="14.375" style="573" customWidth="1"/>
    <col min="5" max="7" width="15.25390625" style="573" customWidth="1"/>
    <col min="8" max="13" width="13.875" style="573" customWidth="1"/>
    <col min="14" max="14" width="80.125" style="573" customWidth="1"/>
    <col min="15" max="17" width="11.25390625" style="573" customWidth="1"/>
    <col min="18" max="20" width="14.875" style="573" customWidth="1"/>
    <col min="21" max="21" width="14.875" style="574" customWidth="1"/>
    <col min="22" max="23" width="13.875" style="574" customWidth="1"/>
    <col min="24" max="24" width="13.625" style="574" customWidth="1"/>
    <col min="25" max="25" width="10.875" style="574" customWidth="1"/>
    <col min="26" max="26" width="13.00390625" style="574" customWidth="1"/>
    <col min="27" max="16384" width="9.125" style="574" customWidth="1"/>
  </cols>
  <sheetData>
    <row r="1" spans="1:20" s="570" customFormat="1" ht="12.75">
      <c r="A1" s="569"/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</row>
    <row r="2" spans="1:20" s="570" customFormat="1" ht="12.75">
      <c r="A2" s="569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</row>
    <row r="3" spans="1:26" s="570" customFormat="1" ht="15.75">
      <c r="A3" s="1348" t="s">
        <v>417</v>
      </c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 t="s">
        <v>417</v>
      </c>
      <c r="O3" s="1348"/>
      <c r="P3" s="1348"/>
      <c r="Q3" s="1348"/>
      <c r="R3" s="1348"/>
      <c r="S3" s="1348"/>
      <c r="T3" s="1348"/>
      <c r="U3" s="1348"/>
      <c r="V3" s="1348"/>
      <c r="W3" s="1348"/>
      <c r="X3" s="1348"/>
      <c r="Y3" s="1348"/>
      <c r="Z3" s="1348"/>
    </row>
    <row r="4" spans="1:20" s="570" customFormat="1" ht="12.75">
      <c r="A4" s="569"/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</row>
    <row r="5" spans="1:20" s="570" customFormat="1" ht="13.5" thickBot="1">
      <c r="A5" s="569"/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</row>
    <row r="6" spans="1:26" s="570" customFormat="1" ht="18.75" customHeight="1">
      <c r="A6" s="1343" t="s">
        <v>789</v>
      </c>
      <c r="B6" s="1345" t="s">
        <v>418</v>
      </c>
      <c r="C6" s="1341" t="s">
        <v>419</v>
      </c>
      <c r="D6" s="1338" t="s">
        <v>551</v>
      </c>
      <c r="E6" s="1343" t="s">
        <v>420</v>
      </c>
      <c r="F6" s="1349"/>
      <c r="G6" s="1349"/>
      <c r="H6" s="1349"/>
      <c r="I6" s="1349"/>
      <c r="J6" s="1349"/>
      <c r="K6" s="1349"/>
      <c r="L6" s="1349"/>
      <c r="M6" s="1350"/>
      <c r="N6" s="1351" t="s">
        <v>789</v>
      </c>
      <c r="O6" s="1349" t="s">
        <v>420</v>
      </c>
      <c r="P6" s="1349"/>
      <c r="Q6" s="1350"/>
      <c r="R6" s="1345" t="s">
        <v>421</v>
      </c>
      <c r="S6" s="1341" t="s">
        <v>422</v>
      </c>
      <c r="T6" s="1338" t="s">
        <v>556</v>
      </c>
      <c r="U6" s="1340" t="s">
        <v>576</v>
      </c>
      <c r="V6" s="1341"/>
      <c r="W6" s="1341"/>
      <c r="X6" s="1341"/>
      <c r="Y6" s="1341"/>
      <c r="Z6" s="1342"/>
    </row>
    <row r="7" spans="1:26" s="570" customFormat="1" ht="56.25" customHeight="1">
      <c r="A7" s="1344"/>
      <c r="B7" s="1346"/>
      <c r="C7" s="1347"/>
      <c r="D7" s="1339"/>
      <c r="E7" s="979" t="s">
        <v>423</v>
      </c>
      <c r="F7" s="980" t="s">
        <v>424</v>
      </c>
      <c r="G7" s="981" t="s">
        <v>552</v>
      </c>
      <c r="H7" s="979" t="s">
        <v>425</v>
      </c>
      <c r="I7" s="980" t="s">
        <v>426</v>
      </c>
      <c r="J7" s="981" t="s">
        <v>553</v>
      </c>
      <c r="K7" s="979" t="s">
        <v>427</v>
      </c>
      <c r="L7" s="980" t="s">
        <v>428</v>
      </c>
      <c r="M7" s="981" t="s">
        <v>554</v>
      </c>
      <c r="N7" s="1352"/>
      <c r="O7" s="982" t="s">
        <v>429</v>
      </c>
      <c r="P7" s="980" t="s">
        <v>430</v>
      </c>
      <c r="Q7" s="981" t="s">
        <v>555</v>
      </c>
      <c r="R7" s="1346"/>
      <c r="S7" s="1347"/>
      <c r="T7" s="1339"/>
      <c r="U7" s="979" t="s">
        <v>431</v>
      </c>
      <c r="V7" s="980" t="s">
        <v>432</v>
      </c>
      <c r="W7" s="981" t="s">
        <v>557</v>
      </c>
      <c r="X7" s="982" t="s">
        <v>433</v>
      </c>
      <c r="Y7" s="980" t="s">
        <v>434</v>
      </c>
      <c r="Z7" s="981" t="s">
        <v>558</v>
      </c>
    </row>
    <row r="8" spans="1:26" s="571" customFormat="1" ht="24.75" customHeight="1">
      <c r="A8" s="983" t="s">
        <v>435</v>
      </c>
      <c r="B8" s="984">
        <f aca="true" t="shared" si="0" ref="B8:O8">SUM(B10,B23)</f>
        <v>2791393</v>
      </c>
      <c r="C8" s="985">
        <f t="shared" si="0"/>
        <v>2801125</v>
      </c>
      <c r="D8" s="986">
        <f t="shared" si="0"/>
        <v>2790025</v>
      </c>
      <c r="E8" s="984">
        <f t="shared" si="0"/>
        <v>1874396</v>
      </c>
      <c r="F8" s="985">
        <f t="shared" si="0"/>
        <v>1874396</v>
      </c>
      <c r="G8" s="986">
        <f t="shared" si="0"/>
        <v>1874396</v>
      </c>
      <c r="H8" s="984">
        <f t="shared" si="0"/>
        <v>196680</v>
      </c>
      <c r="I8" s="985">
        <f>SUM(I10,I23)</f>
        <v>196680</v>
      </c>
      <c r="J8" s="986">
        <f>SUM(J10,J23)</f>
        <v>196680</v>
      </c>
      <c r="K8" s="984">
        <f t="shared" si="0"/>
        <v>35599</v>
      </c>
      <c r="L8" s="985">
        <f t="shared" si="0"/>
        <v>66050</v>
      </c>
      <c r="M8" s="986">
        <f t="shared" si="0"/>
        <v>66050</v>
      </c>
      <c r="N8" s="987" t="s">
        <v>435</v>
      </c>
      <c r="O8" s="988">
        <f t="shared" si="0"/>
        <v>684718</v>
      </c>
      <c r="P8" s="989">
        <f>C8-F8-I8-L8</f>
        <v>663999</v>
      </c>
      <c r="Q8" s="990">
        <f>D8-G8-J8-M8</f>
        <v>652899</v>
      </c>
      <c r="R8" s="984">
        <f aca="true" t="shared" si="1" ref="R8:Z8">SUM(R10,R23)</f>
        <v>684718</v>
      </c>
      <c r="S8" s="985">
        <f t="shared" si="1"/>
        <v>663999</v>
      </c>
      <c r="T8" s="986">
        <f t="shared" si="1"/>
        <v>652899</v>
      </c>
      <c r="U8" s="984">
        <f t="shared" si="1"/>
        <v>250000</v>
      </c>
      <c r="V8" s="985">
        <f t="shared" si="1"/>
        <v>250000</v>
      </c>
      <c r="W8" s="986">
        <f t="shared" si="1"/>
        <v>250000</v>
      </c>
      <c r="X8" s="988">
        <f t="shared" si="1"/>
        <v>434718</v>
      </c>
      <c r="Y8" s="985">
        <f t="shared" si="1"/>
        <v>413999</v>
      </c>
      <c r="Z8" s="986">
        <f t="shared" si="1"/>
        <v>402899</v>
      </c>
    </row>
    <row r="9" spans="1:26" s="570" customFormat="1" ht="24.75" customHeight="1">
      <c r="A9" s="991"/>
      <c r="B9" s="992"/>
      <c r="C9" s="993"/>
      <c r="D9" s="994"/>
      <c r="E9" s="995"/>
      <c r="F9" s="996"/>
      <c r="G9" s="997"/>
      <c r="H9" s="995"/>
      <c r="I9" s="996"/>
      <c r="J9" s="997"/>
      <c r="K9" s="995"/>
      <c r="L9" s="996"/>
      <c r="M9" s="997"/>
      <c r="N9" s="998"/>
      <c r="O9" s="999"/>
      <c r="P9" s="996"/>
      <c r="Q9" s="997"/>
      <c r="R9" s="992"/>
      <c r="S9" s="993"/>
      <c r="T9" s="994"/>
      <c r="U9" s="1000"/>
      <c r="V9" s="1001"/>
      <c r="W9" s="1002"/>
      <c r="X9" s="1003"/>
      <c r="Y9" s="1001"/>
      <c r="Z9" s="1004"/>
    </row>
    <row r="10" spans="1:26" s="571" customFormat="1" ht="24.75" customHeight="1">
      <c r="A10" s="1005" t="s">
        <v>790</v>
      </c>
      <c r="B10" s="984">
        <f aca="true" t="shared" si="2" ref="B10:O10">SUM(B11:B21)</f>
        <v>2757393</v>
      </c>
      <c r="C10" s="985">
        <f t="shared" si="2"/>
        <v>2767125</v>
      </c>
      <c r="D10" s="986">
        <f t="shared" si="2"/>
        <v>2767125</v>
      </c>
      <c r="E10" s="984">
        <f t="shared" si="2"/>
        <v>1874396</v>
      </c>
      <c r="F10" s="985">
        <f t="shared" si="2"/>
        <v>1874396</v>
      </c>
      <c r="G10" s="986">
        <f t="shared" si="2"/>
        <v>1874396</v>
      </c>
      <c r="H10" s="984">
        <f t="shared" si="2"/>
        <v>196680</v>
      </c>
      <c r="I10" s="985">
        <f t="shared" si="2"/>
        <v>196680</v>
      </c>
      <c r="J10" s="986">
        <f t="shared" si="2"/>
        <v>196680</v>
      </c>
      <c r="K10" s="984">
        <f t="shared" si="2"/>
        <v>31351</v>
      </c>
      <c r="L10" s="985">
        <f t="shared" si="2"/>
        <v>61802</v>
      </c>
      <c r="M10" s="986">
        <f t="shared" si="2"/>
        <v>61802</v>
      </c>
      <c r="N10" s="1006" t="s">
        <v>790</v>
      </c>
      <c r="O10" s="988">
        <f t="shared" si="2"/>
        <v>654966</v>
      </c>
      <c r="P10" s="989">
        <f aca="true" t="shared" si="3" ref="P10:Q21">C10-F10-I10-L10</f>
        <v>634247</v>
      </c>
      <c r="Q10" s="990">
        <f t="shared" si="3"/>
        <v>634247</v>
      </c>
      <c r="R10" s="984">
        <f aca="true" t="shared" si="4" ref="R10:Z10">SUM(R11:R21)</f>
        <v>654966</v>
      </c>
      <c r="S10" s="985">
        <f t="shared" si="4"/>
        <v>634247</v>
      </c>
      <c r="T10" s="986">
        <f t="shared" si="4"/>
        <v>634247</v>
      </c>
      <c r="U10" s="984">
        <f t="shared" si="4"/>
        <v>250000</v>
      </c>
      <c r="V10" s="985">
        <f t="shared" si="4"/>
        <v>250000</v>
      </c>
      <c r="W10" s="986">
        <f t="shared" si="4"/>
        <v>250000</v>
      </c>
      <c r="X10" s="988">
        <f t="shared" si="4"/>
        <v>404966</v>
      </c>
      <c r="Y10" s="985">
        <f t="shared" si="4"/>
        <v>384247</v>
      </c>
      <c r="Z10" s="986">
        <f t="shared" si="4"/>
        <v>384247</v>
      </c>
    </row>
    <row r="11" spans="1:26" s="570" customFormat="1" ht="24.75" customHeight="1">
      <c r="A11" s="1007" t="s">
        <v>791</v>
      </c>
      <c r="B11" s="992">
        <v>558330</v>
      </c>
      <c r="C11" s="993">
        <v>558330</v>
      </c>
      <c r="D11" s="994">
        <v>558330</v>
      </c>
      <c r="E11" s="995">
        <f>179112+67538+45771</f>
        <v>292421</v>
      </c>
      <c r="F11" s="996">
        <v>292421</v>
      </c>
      <c r="G11" s="997">
        <v>292421</v>
      </c>
      <c r="H11" s="995">
        <v>196680</v>
      </c>
      <c r="I11" s="996">
        <v>196680</v>
      </c>
      <c r="J11" s="997">
        <v>196680</v>
      </c>
      <c r="K11" s="995"/>
      <c r="L11" s="996"/>
      <c r="M11" s="997"/>
      <c r="N11" s="1008" t="s">
        <v>791</v>
      </c>
      <c r="O11" s="999">
        <f aca="true" t="shared" si="5" ref="O11:O21">B11-E11-H11-K11</f>
        <v>69229</v>
      </c>
      <c r="P11" s="996">
        <f t="shared" si="3"/>
        <v>69229</v>
      </c>
      <c r="Q11" s="997">
        <f t="shared" si="3"/>
        <v>69229</v>
      </c>
      <c r="R11" s="992">
        <f aca="true" t="shared" si="6" ref="R11:R21">O11</f>
        <v>69229</v>
      </c>
      <c r="S11" s="993">
        <f aca="true" t="shared" si="7" ref="S11:T21">P11</f>
        <v>69229</v>
      </c>
      <c r="T11" s="994">
        <f t="shared" si="7"/>
        <v>69229</v>
      </c>
      <c r="U11" s="1000">
        <v>69229</v>
      </c>
      <c r="V11" s="1001">
        <v>69229</v>
      </c>
      <c r="W11" s="1002">
        <v>69229</v>
      </c>
      <c r="X11" s="1003"/>
      <c r="Y11" s="1001">
        <f aca="true" t="shared" si="8" ref="Y11:Z21">S11-V11</f>
        <v>0</v>
      </c>
      <c r="Z11" s="1002">
        <f t="shared" si="8"/>
        <v>0</v>
      </c>
    </row>
    <row r="12" spans="1:26" s="570" customFormat="1" ht="24.75" customHeight="1">
      <c r="A12" s="1007" t="s">
        <v>853</v>
      </c>
      <c r="B12" s="992">
        <v>30000</v>
      </c>
      <c r="C12" s="993">
        <v>30000</v>
      </c>
      <c r="D12" s="994">
        <v>30000</v>
      </c>
      <c r="E12" s="995"/>
      <c r="F12" s="996"/>
      <c r="G12" s="997"/>
      <c r="H12" s="995"/>
      <c r="I12" s="996"/>
      <c r="J12" s="997"/>
      <c r="K12" s="995"/>
      <c r="L12" s="996"/>
      <c r="M12" s="997"/>
      <c r="N12" s="1008" t="s">
        <v>853</v>
      </c>
      <c r="O12" s="999">
        <f t="shared" si="5"/>
        <v>30000</v>
      </c>
      <c r="P12" s="996">
        <f t="shared" si="3"/>
        <v>30000</v>
      </c>
      <c r="Q12" s="997">
        <f t="shared" si="3"/>
        <v>30000</v>
      </c>
      <c r="R12" s="992">
        <f t="shared" si="6"/>
        <v>30000</v>
      </c>
      <c r="S12" s="993">
        <f t="shared" si="7"/>
        <v>30000</v>
      </c>
      <c r="T12" s="994">
        <f t="shared" si="7"/>
        <v>30000</v>
      </c>
      <c r="U12" s="1000">
        <v>30000</v>
      </c>
      <c r="V12" s="1001">
        <v>30000</v>
      </c>
      <c r="W12" s="1002">
        <v>30000</v>
      </c>
      <c r="X12" s="1003"/>
      <c r="Y12" s="1001">
        <f t="shared" si="8"/>
        <v>0</v>
      </c>
      <c r="Z12" s="1002">
        <f t="shared" si="8"/>
        <v>0</v>
      </c>
    </row>
    <row r="13" spans="1:26" s="570" customFormat="1" ht="30">
      <c r="A13" s="1007" t="s">
        <v>854</v>
      </c>
      <c r="B13" s="992">
        <v>72605</v>
      </c>
      <c r="C13" s="993">
        <v>72605</v>
      </c>
      <c r="D13" s="994">
        <v>72605</v>
      </c>
      <c r="E13" s="995">
        <v>8872</v>
      </c>
      <c r="F13" s="996">
        <v>8872</v>
      </c>
      <c r="G13" s="997">
        <v>8872</v>
      </c>
      <c r="H13" s="995"/>
      <c r="I13" s="996"/>
      <c r="J13" s="997"/>
      <c r="K13" s="995"/>
      <c r="L13" s="996"/>
      <c r="M13" s="997"/>
      <c r="N13" s="1008" t="s">
        <v>854</v>
      </c>
      <c r="O13" s="999">
        <f t="shared" si="5"/>
        <v>63733</v>
      </c>
      <c r="P13" s="996">
        <f t="shared" si="3"/>
        <v>63733</v>
      </c>
      <c r="Q13" s="997">
        <f t="shared" si="3"/>
        <v>63733</v>
      </c>
      <c r="R13" s="992">
        <f t="shared" si="6"/>
        <v>63733</v>
      </c>
      <c r="S13" s="993">
        <f t="shared" si="7"/>
        <v>63733</v>
      </c>
      <c r="T13" s="994">
        <f t="shared" si="7"/>
        <v>63733</v>
      </c>
      <c r="U13" s="1000">
        <v>63733</v>
      </c>
      <c r="V13" s="1001">
        <v>63733</v>
      </c>
      <c r="W13" s="1002">
        <v>63733</v>
      </c>
      <c r="X13" s="1003"/>
      <c r="Y13" s="1001">
        <f t="shared" si="8"/>
        <v>0</v>
      </c>
      <c r="Z13" s="1002">
        <f t="shared" si="8"/>
        <v>0</v>
      </c>
    </row>
    <row r="14" spans="1:26" s="570" customFormat="1" ht="24.75" customHeight="1">
      <c r="A14" s="1007" t="s">
        <v>800</v>
      </c>
      <c r="B14" s="992">
        <v>40339</v>
      </c>
      <c r="C14" s="993">
        <v>40339</v>
      </c>
      <c r="D14" s="994">
        <v>40339</v>
      </c>
      <c r="E14" s="995"/>
      <c r="F14" s="996"/>
      <c r="G14" s="997"/>
      <c r="H14" s="995"/>
      <c r="I14" s="996"/>
      <c r="J14" s="997"/>
      <c r="K14" s="995"/>
      <c r="L14" s="996"/>
      <c r="M14" s="997"/>
      <c r="N14" s="1008" t="s">
        <v>800</v>
      </c>
      <c r="O14" s="999">
        <f t="shared" si="5"/>
        <v>40339</v>
      </c>
      <c r="P14" s="996">
        <f t="shared" si="3"/>
        <v>40339</v>
      </c>
      <c r="Q14" s="997">
        <f t="shared" si="3"/>
        <v>40339</v>
      </c>
      <c r="R14" s="992">
        <f t="shared" si="6"/>
        <v>40339</v>
      </c>
      <c r="S14" s="993">
        <f t="shared" si="7"/>
        <v>40339</v>
      </c>
      <c r="T14" s="994">
        <f t="shared" si="7"/>
        <v>40339</v>
      </c>
      <c r="U14" s="1000">
        <v>40339</v>
      </c>
      <c r="V14" s="1001">
        <v>40339</v>
      </c>
      <c r="W14" s="1002">
        <v>40339</v>
      </c>
      <c r="X14" s="1003"/>
      <c r="Y14" s="1001">
        <f t="shared" si="8"/>
        <v>0</v>
      </c>
      <c r="Z14" s="1002">
        <f t="shared" si="8"/>
        <v>0</v>
      </c>
    </row>
    <row r="15" spans="1:26" s="570" customFormat="1" ht="24.75" customHeight="1">
      <c r="A15" s="1007" t="s">
        <v>802</v>
      </c>
      <c r="B15" s="992">
        <v>20925</v>
      </c>
      <c r="C15" s="993">
        <v>20925</v>
      </c>
      <c r="D15" s="994">
        <v>20925</v>
      </c>
      <c r="E15" s="995"/>
      <c r="F15" s="996"/>
      <c r="G15" s="997"/>
      <c r="H15" s="995"/>
      <c r="I15" s="996"/>
      <c r="J15" s="997"/>
      <c r="K15" s="995">
        <f>20925-7000</f>
        <v>13925</v>
      </c>
      <c r="L15" s="996">
        <v>13925</v>
      </c>
      <c r="M15" s="997">
        <v>13925</v>
      </c>
      <c r="N15" s="1008" t="s">
        <v>802</v>
      </c>
      <c r="O15" s="999">
        <f t="shared" si="5"/>
        <v>7000</v>
      </c>
      <c r="P15" s="996">
        <f t="shared" si="3"/>
        <v>7000</v>
      </c>
      <c r="Q15" s="997">
        <f t="shared" si="3"/>
        <v>7000</v>
      </c>
      <c r="R15" s="992">
        <f t="shared" si="6"/>
        <v>7000</v>
      </c>
      <c r="S15" s="993">
        <f t="shared" si="7"/>
        <v>7000</v>
      </c>
      <c r="T15" s="994">
        <f t="shared" si="7"/>
        <v>7000</v>
      </c>
      <c r="U15" s="1000">
        <v>7000</v>
      </c>
      <c r="V15" s="1001">
        <v>7000</v>
      </c>
      <c r="W15" s="1002">
        <v>7000</v>
      </c>
      <c r="X15" s="1003"/>
      <c r="Y15" s="1001">
        <f t="shared" si="8"/>
        <v>0</v>
      </c>
      <c r="Z15" s="1002">
        <f t="shared" si="8"/>
        <v>0</v>
      </c>
    </row>
    <row r="16" spans="1:26" s="570" customFormat="1" ht="24.75" customHeight="1">
      <c r="A16" s="1007" t="s">
        <v>794</v>
      </c>
      <c r="B16" s="992">
        <v>588000</v>
      </c>
      <c r="C16" s="993">
        <v>588000</v>
      </c>
      <c r="D16" s="994">
        <v>588000</v>
      </c>
      <c r="E16" s="995">
        <v>500000</v>
      </c>
      <c r="F16" s="996">
        <v>500000</v>
      </c>
      <c r="G16" s="997">
        <v>500000</v>
      </c>
      <c r="H16" s="995"/>
      <c r="I16" s="996"/>
      <c r="J16" s="997"/>
      <c r="K16" s="995"/>
      <c r="L16" s="996"/>
      <c r="M16" s="997"/>
      <c r="N16" s="1008" t="s">
        <v>794</v>
      </c>
      <c r="O16" s="999">
        <f t="shared" si="5"/>
        <v>88000</v>
      </c>
      <c r="P16" s="996">
        <f t="shared" si="3"/>
        <v>88000</v>
      </c>
      <c r="Q16" s="997">
        <f t="shared" si="3"/>
        <v>88000</v>
      </c>
      <c r="R16" s="992">
        <f t="shared" si="6"/>
        <v>88000</v>
      </c>
      <c r="S16" s="993">
        <f t="shared" si="7"/>
        <v>88000</v>
      </c>
      <c r="T16" s="994">
        <f t="shared" si="7"/>
        <v>88000</v>
      </c>
      <c r="U16" s="1000"/>
      <c r="V16" s="1001"/>
      <c r="W16" s="1002"/>
      <c r="X16" s="1003">
        <v>88000</v>
      </c>
      <c r="Y16" s="1001">
        <f t="shared" si="8"/>
        <v>88000</v>
      </c>
      <c r="Z16" s="1002">
        <f t="shared" si="8"/>
        <v>88000</v>
      </c>
    </row>
    <row r="17" spans="1:26" s="570" customFormat="1" ht="24.75" customHeight="1">
      <c r="A17" s="1007" t="s">
        <v>803</v>
      </c>
      <c r="B17" s="992">
        <v>25000</v>
      </c>
      <c r="C17" s="993">
        <v>25000</v>
      </c>
      <c r="D17" s="994">
        <v>25000</v>
      </c>
      <c r="E17" s="995"/>
      <c r="F17" s="996"/>
      <c r="G17" s="997"/>
      <c r="H17" s="995"/>
      <c r="I17" s="996"/>
      <c r="J17" s="997"/>
      <c r="K17" s="995">
        <f>25000-9390+1816</f>
        <v>17426</v>
      </c>
      <c r="L17" s="996">
        <v>17426</v>
      </c>
      <c r="M17" s="997">
        <v>17426</v>
      </c>
      <c r="N17" s="1008" t="s">
        <v>803</v>
      </c>
      <c r="O17" s="999">
        <f t="shared" si="5"/>
        <v>7574</v>
      </c>
      <c r="P17" s="996">
        <f t="shared" si="3"/>
        <v>7574</v>
      </c>
      <c r="Q17" s="997">
        <f t="shared" si="3"/>
        <v>7574</v>
      </c>
      <c r="R17" s="992">
        <f t="shared" si="6"/>
        <v>7574</v>
      </c>
      <c r="S17" s="993">
        <f t="shared" si="7"/>
        <v>7574</v>
      </c>
      <c r="T17" s="994">
        <f t="shared" si="7"/>
        <v>7574</v>
      </c>
      <c r="U17" s="1000"/>
      <c r="V17" s="1001"/>
      <c r="W17" s="1002"/>
      <c r="X17" s="1003">
        <v>7574</v>
      </c>
      <c r="Y17" s="1001">
        <f t="shared" si="8"/>
        <v>7574</v>
      </c>
      <c r="Z17" s="1002">
        <f t="shared" si="8"/>
        <v>7574</v>
      </c>
    </row>
    <row r="18" spans="1:26" s="570" customFormat="1" ht="24.75" customHeight="1">
      <c r="A18" s="1009" t="s">
        <v>844</v>
      </c>
      <c r="B18" s="1010">
        <v>1102640</v>
      </c>
      <c r="C18" s="1011">
        <v>1102640</v>
      </c>
      <c r="D18" s="1012">
        <v>1102640</v>
      </c>
      <c r="E18" s="995">
        <f>6140+718234+72438</f>
        <v>796812</v>
      </c>
      <c r="F18" s="996">
        <v>796812</v>
      </c>
      <c r="G18" s="997">
        <v>796812</v>
      </c>
      <c r="H18" s="995"/>
      <c r="I18" s="996"/>
      <c r="J18" s="997"/>
      <c r="K18" s="995"/>
      <c r="L18" s="996"/>
      <c r="M18" s="997"/>
      <c r="N18" s="1013" t="s">
        <v>844</v>
      </c>
      <c r="O18" s="999">
        <f t="shared" si="5"/>
        <v>305828</v>
      </c>
      <c r="P18" s="996">
        <f t="shared" si="3"/>
        <v>305828</v>
      </c>
      <c r="Q18" s="997">
        <f t="shared" si="3"/>
        <v>305828</v>
      </c>
      <c r="R18" s="992">
        <f t="shared" si="6"/>
        <v>305828</v>
      </c>
      <c r="S18" s="993">
        <f t="shared" si="7"/>
        <v>305828</v>
      </c>
      <c r="T18" s="994">
        <f t="shared" si="7"/>
        <v>305828</v>
      </c>
      <c r="U18" s="1000">
        <v>39699</v>
      </c>
      <c r="V18" s="1001">
        <v>39699</v>
      </c>
      <c r="W18" s="1002">
        <v>39699</v>
      </c>
      <c r="X18" s="1003">
        <f>305828-39699</f>
        <v>266129</v>
      </c>
      <c r="Y18" s="1001">
        <f t="shared" si="8"/>
        <v>266129</v>
      </c>
      <c r="Z18" s="1002">
        <f t="shared" si="8"/>
        <v>266129</v>
      </c>
    </row>
    <row r="19" spans="1:26" s="570" customFormat="1" ht="24.75" customHeight="1">
      <c r="A19" s="1014" t="s">
        <v>845</v>
      </c>
      <c r="B19" s="992">
        <v>116000</v>
      </c>
      <c r="C19" s="993">
        <v>116000</v>
      </c>
      <c r="D19" s="994">
        <v>116000</v>
      </c>
      <c r="E19" s="995">
        <v>100000</v>
      </c>
      <c r="F19" s="996">
        <v>100000</v>
      </c>
      <c r="G19" s="997">
        <v>100000</v>
      </c>
      <c r="H19" s="995"/>
      <c r="I19" s="996"/>
      <c r="J19" s="997"/>
      <c r="K19" s="995"/>
      <c r="L19" s="996"/>
      <c r="M19" s="997"/>
      <c r="N19" s="1015" t="s">
        <v>845</v>
      </c>
      <c r="O19" s="999">
        <f t="shared" si="5"/>
        <v>16000</v>
      </c>
      <c r="P19" s="996">
        <f t="shared" si="3"/>
        <v>16000</v>
      </c>
      <c r="Q19" s="997">
        <f t="shared" si="3"/>
        <v>16000</v>
      </c>
      <c r="R19" s="992">
        <f t="shared" si="6"/>
        <v>16000</v>
      </c>
      <c r="S19" s="993">
        <f t="shared" si="7"/>
        <v>16000</v>
      </c>
      <c r="T19" s="994">
        <f t="shared" si="7"/>
        <v>16000</v>
      </c>
      <c r="U19" s="1000"/>
      <c r="V19" s="1001"/>
      <c r="W19" s="1002"/>
      <c r="X19" s="1003">
        <v>16000</v>
      </c>
      <c r="Y19" s="1001">
        <f t="shared" si="8"/>
        <v>16000</v>
      </c>
      <c r="Z19" s="1002">
        <f t="shared" si="8"/>
        <v>16000</v>
      </c>
    </row>
    <row r="20" spans="1:26" s="570" customFormat="1" ht="24.75" customHeight="1">
      <c r="A20" s="1009" t="s">
        <v>846</v>
      </c>
      <c r="B20" s="992">
        <v>65433</v>
      </c>
      <c r="C20" s="993">
        <v>65433</v>
      </c>
      <c r="D20" s="994">
        <v>65433</v>
      </c>
      <c r="E20" s="995">
        <v>58889</v>
      </c>
      <c r="F20" s="996">
        <v>58889</v>
      </c>
      <c r="G20" s="997">
        <v>58889</v>
      </c>
      <c r="H20" s="995"/>
      <c r="I20" s="996"/>
      <c r="J20" s="997"/>
      <c r="K20" s="995"/>
      <c r="L20" s="996"/>
      <c r="M20" s="997"/>
      <c r="N20" s="1013" t="s">
        <v>846</v>
      </c>
      <c r="O20" s="999">
        <f t="shared" si="5"/>
        <v>6544</v>
      </c>
      <c r="P20" s="996">
        <f t="shared" si="3"/>
        <v>6544</v>
      </c>
      <c r="Q20" s="997">
        <f t="shared" si="3"/>
        <v>6544</v>
      </c>
      <c r="R20" s="992">
        <f t="shared" si="6"/>
        <v>6544</v>
      </c>
      <c r="S20" s="993">
        <f t="shared" si="7"/>
        <v>6544</v>
      </c>
      <c r="T20" s="994">
        <f t="shared" si="7"/>
        <v>6544</v>
      </c>
      <c r="U20" s="1000"/>
      <c r="V20" s="1001"/>
      <c r="W20" s="1002"/>
      <c r="X20" s="1003">
        <v>6544</v>
      </c>
      <c r="Y20" s="1001">
        <f t="shared" si="8"/>
        <v>6544</v>
      </c>
      <c r="Z20" s="1002">
        <f t="shared" si="8"/>
        <v>6544</v>
      </c>
    </row>
    <row r="21" spans="1:26" s="570" customFormat="1" ht="24.75" customHeight="1">
      <c r="A21" s="1014" t="s">
        <v>851</v>
      </c>
      <c r="B21" s="992">
        <v>138121</v>
      </c>
      <c r="C21" s="993">
        <v>147853</v>
      </c>
      <c r="D21" s="994">
        <v>147853</v>
      </c>
      <c r="E21" s="995">
        <v>117402</v>
      </c>
      <c r="F21" s="996">
        <v>117402</v>
      </c>
      <c r="G21" s="997">
        <v>117402</v>
      </c>
      <c r="H21" s="995">
        <v>0</v>
      </c>
      <c r="I21" s="996">
        <v>0</v>
      </c>
      <c r="J21" s="997"/>
      <c r="K21" s="995">
        <v>0</v>
      </c>
      <c r="L21" s="996">
        <f>25451+5000</f>
        <v>30451</v>
      </c>
      <c r="M21" s="997">
        <f>25451+5000</f>
        <v>30451</v>
      </c>
      <c r="N21" s="1015" t="s">
        <v>851</v>
      </c>
      <c r="O21" s="999">
        <f t="shared" si="5"/>
        <v>20719</v>
      </c>
      <c r="P21" s="996">
        <f t="shared" si="3"/>
        <v>0</v>
      </c>
      <c r="Q21" s="997">
        <f t="shared" si="3"/>
        <v>0</v>
      </c>
      <c r="R21" s="992">
        <f t="shared" si="6"/>
        <v>20719</v>
      </c>
      <c r="S21" s="993">
        <f t="shared" si="7"/>
        <v>0</v>
      </c>
      <c r="T21" s="994">
        <f t="shared" si="7"/>
        <v>0</v>
      </c>
      <c r="U21" s="1000"/>
      <c r="V21" s="1001"/>
      <c r="W21" s="1002"/>
      <c r="X21" s="1003">
        <v>20719</v>
      </c>
      <c r="Y21" s="1001">
        <f t="shared" si="8"/>
        <v>0</v>
      </c>
      <c r="Z21" s="1002">
        <f t="shared" si="8"/>
        <v>0</v>
      </c>
    </row>
    <row r="22" spans="1:26" s="570" customFormat="1" ht="24.75" customHeight="1">
      <c r="A22" s="1007"/>
      <c r="B22" s="992"/>
      <c r="C22" s="993"/>
      <c r="D22" s="994"/>
      <c r="E22" s="995"/>
      <c r="F22" s="996"/>
      <c r="G22" s="997"/>
      <c r="H22" s="995"/>
      <c r="I22" s="996"/>
      <c r="J22" s="997"/>
      <c r="K22" s="995"/>
      <c r="L22" s="996"/>
      <c r="M22" s="997"/>
      <c r="N22" s="1008"/>
      <c r="O22" s="999"/>
      <c r="P22" s="996"/>
      <c r="Q22" s="997"/>
      <c r="R22" s="992"/>
      <c r="S22" s="993"/>
      <c r="T22" s="994"/>
      <c r="U22" s="1000"/>
      <c r="V22" s="1001"/>
      <c r="W22" s="1002"/>
      <c r="X22" s="1003"/>
      <c r="Y22" s="1001"/>
      <c r="Z22" s="1004"/>
    </row>
    <row r="23" spans="1:26" s="570" customFormat="1" ht="24.75" customHeight="1">
      <c r="A23" s="983" t="s">
        <v>809</v>
      </c>
      <c r="B23" s="984">
        <f>SUM(B24:B25)</f>
        <v>34000</v>
      </c>
      <c r="C23" s="985">
        <f>SUM(C24:C25)</f>
        <v>34000</v>
      </c>
      <c r="D23" s="986">
        <f>SUM(D24:D25)</f>
        <v>22900</v>
      </c>
      <c r="E23" s="984">
        <f aca="true" t="shared" si="9" ref="E23:J23">SUM(E24:E24)</f>
        <v>0</v>
      </c>
      <c r="F23" s="985">
        <f t="shared" si="9"/>
        <v>0</v>
      </c>
      <c r="G23" s="986">
        <f t="shared" si="9"/>
        <v>0</v>
      </c>
      <c r="H23" s="984">
        <f t="shared" si="9"/>
        <v>0</v>
      </c>
      <c r="I23" s="985">
        <f t="shared" si="9"/>
        <v>0</v>
      </c>
      <c r="J23" s="986">
        <f t="shared" si="9"/>
        <v>0</v>
      </c>
      <c r="K23" s="984">
        <f>SUM(K24:K25)</f>
        <v>4248</v>
      </c>
      <c r="L23" s="985">
        <f>SUM(L24:L25)</f>
        <v>4248</v>
      </c>
      <c r="M23" s="986">
        <f>SUM(M24:M25)</f>
        <v>4248</v>
      </c>
      <c r="N23" s="987" t="s">
        <v>809</v>
      </c>
      <c r="O23" s="988">
        <f>SUM(O24:O25)</f>
        <v>29752</v>
      </c>
      <c r="P23" s="989">
        <f aca="true" t="shared" si="10" ref="P23:Q25">C23-F23-I23-L23</f>
        <v>29752</v>
      </c>
      <c r="Q23" s="990">
        <f t="shared" si="10"/>
        <v>18652</v>
      </c>
      <c r="R23" s="984">
        <f>SUM(R24:R25)</f>
        <v>29752</v>
      </c>
      <c r="S23" s="985">
        <f aca="true" t="shared" si="11" ref="S23:T25">P23</f>
        <v>29752</v>
      </c>
      <c r="T23" s="986">
        <f t="shared" si="11"/>
        <v>18652</v>
      </c>
      <c r="U23" s="984">
        <f>SUM(U24:U24)</f>
        <v>0</v>
      </c>
      <c r="V23" s="985">
        <f>SUM(V24:V24)</f>
        <v>0</v>
      </c>
      <c r="W23" s="986">
        <f>SUM(W24:W24)</f>
        <v>0</v>
      </c>
      <c r="X23" s="988">
        <f>SUM(X24:X25)</f>
        <v>29752</v>
      </c>
      <c r="Y23" s="985">
        <f>SUM(Y24:Y25)</f>
        <v>29752</v>
      </c>
      <c r="Z23" s="986">
        <f>SUM(Z24:Z25)</f>
        <v>18652</v>
      </c>
    </row>
    <row r="24" spans="1:26" s="570" customFormat="1" ht="24.75" customHeight="1">
      <c r="A24" s="1009" t="s">
        <v>855</v>
      </c>
      <c r="B24" s="992">
        <v>20000</v>
      </c>
      <c r="C24" s="993">
        <v>20000</v>
      </c>
      <c r="D24" s="994">
        <f>20000-11100</f>
        <v>8900</v>
      </c>
      <c r="E24" s="995"/>
      <c r="F24" s="996"/>
      <c r="G24" s="997"/>
      <c r="H24" s="995"/>
      <c r="I24" s="996"/>
      <c r="J24" s="997"/>
      <c r="K24" s="995"/>
      <c r="L24" s="996"/>
      <c r="M24" s="997"/>
      <c r="N24" s="1013" t="s">
        <v>855</v>
      </c>
      <c r="O24" s="999">
        <f>B24-E24-H24-K24</f>
        <v>20000</v>
      </c>
      <c r="P24" s="996">
        <f t="shared" si="10"/>
        <v>20000</v>
      </c>
      <c r="Q24" s="997">
        <f t="shared" si="10"/>
        <v>8900</v>
      </c>
      <c r="R24" s="992">
        <f>O24</f>
        <v>20000</v>
      </c>
      <c r="S24" s="993">
        <f t="shared" si="11"/>
        <v>20000</v>
      </c>
      <c r="T24" s="994">
        <f t="shared" si="11"/>
        <v>8900</v>
      </c>
      <c r="U24" s="1000"/>
      <c r="V24" s="1001"/>
      <c r="W24" s="1002"/>
      <c r="X24" s="1003">
        <v>20000</v>
      </c>
      <c r="Y24" s="1001">
        <f>S24-V24</f>
        <v>20000</v>
      </c>
      <c r="Z24" s="1002">
        <f>T24-W24</f>
        <v>8900</v>
      </c>
    </row>
    <row r="25" spans="1:26" s="570" customFormat="1" ht="24.75" customHeight="1">
      <c r="A25" s="1009" t="s">
        <v>836</v>
      </c>
      <c r="B25" s="992">
        <v>14000</v>
      </c>
      <c r="C25" s="993">
        <v>14000</v>
      </c>
      <c r="D25" s="994">
        <v>14000</v>
      </c>
      <c r="E25" s="995"/>
      <c r="F25" s="996"/>
      <c r="G25" s="997"/>
      <c r="H25" s="995"/>
      <c r="I25" s="996"/>
      <c r="J25" s="997"/>
      <c r="K25" s="995">
        <v>4248</v>
      </c>
      <c r="L25" s="996">
        <v>4248</v>
      </c>
      <c r="M25" s="997">
        <v>4248</v>
      </c>
      <c r="N25" s="1013" t="s">
        <v>836</v>
      </c>
      <c r="O25" s="999">
        <f>B25-E25-H25-K25</f>
        <v>9752</v>
      </c>
      <c r="P25" s="996">
        <f t="shared" si="10"/>
        <v>9752</v>
      </c>
      <c r="Q25" s="997">
        <f t="shared" si="10"/>
        <v>9752</v>
      </c>
      <c r="R25" s="992">
        <v>9752</v>
      </c>
      <c r="S25" s="993">
        <f t="shared" si="11"/>
        <v>9752</v>
      </c>
      <c r="T25" s="994">
        <f t="shared" si="11"/>
        <v>9752</v>
      </c>
      <c r="U25" s="1000"/>
      <c r="V25" s="1001"/>
      <c r="W25" s="1002"/>
      <c r="X25" s="1003">
        <v>9752</v>
      </c>
      <c r="Y25" s="1001">
        <f>S25-V25</f>
        <v>9752</v>
      </c>
      <c r="Z25" s="1002">
        <f>T25-W25</f>
        <v>9752</v>
      </c>
    </row>
    <row r="26" spans="1:26" s="570" customFormat="1" ht="24.75" customHeight="1">
      <c r="A26" s="1007"/>
      <c r="B26" s="992"/>
      <c r="C26" s="993"/>
      <c r="D26" s="994"/>
      <c r="E26" s="995"/>
      <c r="F26" s="996"/>
      <c r="G26" s="997"/>
      <c r="H26" s="995"/>
      <c r="I26" s="996"/>
      <c r="J26" s="997"/>
      <c r="K26" s="995"/>
      <c r="L26" s="996"/>
      <c r="M26" s="997"/>
      <c r="N26" s="1008"/>
      <c r="O26" s="999"/>
      <c r="P26" s="996"/>
      <c r="Q26" s="997"/>
      <c r="R26" s="992"/>
      <c r="S26" s="993"/>
      <c r="T26" s="994"/>
      <c r="U26" s="1000"/>
      <c r="V26" s="1001"/>
      <c r="W26" s="1002"/>
      <c r="X26" s="1003"/>
      <c r="Y26" s="1001"/>
      <c r="Z26" s="1004"/>
    </row>
    <row r="27" spans="1:26" s="570" customFormat="1" ht="24.75" customHeight="1">
      <c r="A27" s="983" t="s">
        <v>436</v>
      </c>
      <c r="B27" s="984">
        <f aca="true" t="shared" si="12" ref="B27:O27">SUM(B29)</f>
        <v>30000</v>
      </c>
      <c r="C27" s="985">
        <f t="shared" si="12"/>
        <v>30000</v>
      </c>
      <c r="D27" s="986">
        <f t="shared" si="12"/>
        <v>30000</v>
      </c>
      <c r="E27" s="984">
        <f t="shared" si="12"/>
        <v>0</v>
      </c>
      <c r="F27" s="985">
        <f t="shared" si="12"/>
        <v>0</v>
      </c>
      <c r="G27" s="986">
        <f t="shared" si="12"/>
        <v>0</v>
      </c>
      <c r="H27" s="984">
        <f t="shared" si="12"/>
        <v>0</v>
      </c>
      <c r="I27" s="985">
        <f t="shared" si="12"/>
        <v>0</v>
      </c>
      <c r="J27" s="986">
        <f t="shared" si="12"/>
        <v>0</v>
      </c>
      <c r="K27" s="984">
        <f t="shared" si="12"/>
        <v>0</v>
      </c>
      <c r="L27" s="985">
        <f t="shared" si="12"/>
        <v>8000</v>
      </c>
      <c r="M27" s="986">
        <f t="shared" si="12"/>
        <v>8000</v>
      </c>
      <c r="N27" s="987" t="s">
        <v>436</v>
      </c>
      <c r="O27" s="988">
        <f t="shared" si="12"/>
        <v>30000</v>
      </c>
      <c r="P27" s="989">
        <f>C27-F27-I27-L27</f>
        <v>22000</v>
      </c>
      <c r="Q27" s="990">
        <v>22000</v>
      </c>
      <c r="R27" s="984">
        <f>SUM(R29)</f>
        <v>30000</v>
      </c>
      <c r="S27" s="985">
        <f>P27</f>
        <v>22000</v>
      </c>
      <c r="T27" s="986">
        <f>Q27</f>
        <v>22000</v>
      </c>
      <c r="U27" s="984">
        <f aca="true" t="shared" si="13" ref="U27:Z27">SUM(U29)</f>
        <v>0</v>
      </c>
      <c r="V27" s="985">
        <f t="shared" si="13"/>
        <v>0</v>
      </c>
      <c r="W27" s="986">
        <f t="shared" si="13"/>
        <v>0</v>
      </c>
      <c r="X27" s="988">
        <f t="shared" si="13"/>
        <v>30000</v>
      </c>
      <c r="Y27" s="985">
        <f t="shared" si="13"/>
        <v>22000</v>
      </c>
      <c r="Z27" s="986">
        <f t="shared" si="13"/>
        <v>22000</v>
      </c>
    </row>
    <row r="28" spans="1:26" s="570" customFormat="1" ht="24.75" customHeight="1">
      <c r="A28" s="1007"/>
      <c r="B28" s="992"/>
      <c r="C28" s="993"/>
      <c r="D28" s="994"/>
      <c r="E28" s="995"/>
      <c r="F28" s="996"/>
      <c r="G28" s="997"/>
      <c r="H28" s="995"/>
      <c r="I28" s="996"/>
      <c r="J28" s="997"/>
      <c r="K28" s="995"/>
      <c r="L28" s="996"/>
      <c r="M28" s="997"/>
      <c r="N28" s="1008"/>
      <c r="O28" s="999"/>
      <c r="P28" s="996"/>
      <c r="Q28" s="997"/>
      <c r="R28" s="992"/>
      <c r="S28" s="993"/>
      <c r="T28" s="994"/>
      <c r="U28" s="1000"/>
      <c r="V28" s="1001"/>
      <c r="W28" s="1002"/>
      <c r="X28" s="1003"/>
      <c r="Y28" s="1001"/>
      <c r="Z28" s="1004"/>
    </row>
    <row r="29" spans="1:26" s="570" customFormat="1" ht="24.75" customHeight="1">
      <c r="A29" s="983" t="s">
        <v>809</v>
      </c>
      <c r="B29" s="984">
        <f aca="true" t="shared" si="14" ref="B29:O29">SUM(B30:B30)</f>
        <v>30000</v>
      </c>
      <c r="C29" s="985">
        <v>30000</v>
      </c>
      <c r="D29" s="986">
        <v>30000</v>
      </c>
      <c r="E29" s="984">
        <f t="shared" si="14"/>
        <v>0</v>
      </c>
      <c r="F29" s="985">
        <f t="shared" si="14"/>
        <v>0</v>
      </c>
      <c r="G29" s="986">
        <f t="shared" si="14"/>
        <v>0</v>
      </c>
      <c r="H29" s="984">
        <f t="shared" si="14"/>
        <v>0</v>
      </c>
      <c r="I29" s="985">
        <f t="shared" si="14"/>
        <v>0</v>
      </c>
      <c r="J29" s="986">
        <f t="shared" si="14"/>
        <v>0</v>
      </c>
      <c r="K29" s="984">
        <f t="shared" si="14"/>
        <v>0</v>
      </c>
      <c r="L29" s="985">
        <f t="shared" si="14"/>
        <v>8000</v>
      </c>
      <c r="M29" s="986">
        <f t="shared" si="14"/>
        <v>8000</v>
      </c>
      <c r="N29" s="987" t="s">
        <v>809</v>
      </c>
      <c r="O29" s="988">
        <f t="shared" si="14"/>
        <v>30000</v>
      </c>
      <c r="P29" s="989">
        <f>C29-F29-I29-L29</f>
        <v>22000</v>
      </c>
      <c r="Q29" s="990">
        <v>22000</v>
      </c>
      <c r="R29" s="984">
        <f>SUM(R30:R30)</f>
        <v>30000</v>
      </c>
      <c r="S29" s="985">
        <f>P29</f>
        <v>22000</v>
      </c>
      <c r="T29" s="986">
        <f>Q29</f>
        <v>22000</v>
      </c>
      <c r="U29" s="984">
        <f aca="true" t="shared" si="15" ref="U29:Z29">SUM(U30:U30)</f>
        <v>0</v>
      </c>
      <c r="V29" s="985">
        <f t="shared" si="15"/>
        <v>0</v>
      </c>
      <c r="W29" s="986">
        <f t="shared" si="15"/>
        <v>0</v>
      </c>
      <c r="X29" s="988">
        <f t="shared" si="15"/>
        <v>30000</v>
      </c>
      <c r="Y29" s="985">
        <f t="shared" si="15"/>
        <v>22000</v>
      </c>
      <c r="Z29" s="986">
        <f t="shared" si="15"/>
        <v>22000</v>
      </c>
    </row>
    <row r="30" spans="1:26" s="570" customFormat="1" ht="24.75" customHeight="1">
      <c r="A30" s="1014" t="s">
        <v>18</v>
      </c>
      <c r="B30" s="1010">
        <v>30000</v>
      </c>
      <c r="C30" s="1011">
        <v>30000</v>
      </c>
      <c r="D30" s="1012">
        <v>30000</v>
      </c>
      <c r="E30" s="995"/>
      <c r="F30" s="996"/>
      <c r="G30" s="997"/>
      <c r="H30" s="995"/>
      <c r="I30" s="996"/>
      <c r="J30" s="997"/>
      <c r="K30" s="995"/>
      <c r="L30" s="996">
        <v>8000</v>
      </c>
      <c r="M30" s="997">
        <v>8000</v>
      </c>
      <c r="N30" s="1015" t="s">
        <v>18</v>
      </c>
      <c r="O30" s="999">
        <f>B30-E30-H30-K30</f>
        <v>30000</v>
      </c>
      <c r="P30" s="996">
        <f>C30-F30-I30-L30</f>
        <v>22000</v>
      </c>
      <c r="Q30" s="997">
        <v>22000</v>
      </c>
      <c r="R30" s="992">
        <f>O30</f>
        <v>30000</v>
      </c>
      <c r="S30" s="993">
        <f>P30</f>
        <v>22000</v>
      </c>
      <c r="T30" s="994">
        <v>22000</v>
      </c>
      <c r="U30" s="1000"/>
      <c r="V30" s="1001"/>
      <c r="W30" s="1002"/>
      <c r="X30" s="1003">
        <v>30000</v>
      </c>
      <c r="Y30" s="1001">
        <f>S30-V30</f>
        <v>22000</v>
      </c>
      <c r="Z30" s="1002">
        <v>22000</v>
      </c>
    </row>
    <row r="31" spans="1:26" s="570" customFormat="1" ht="24.75" customHeight="1">
      <c r="A31" s="1016"/>
      <c r="B31" s="1017"/>
      <c r="C31" s="1018"/>
      <c r="D31" s="1019"/>
      <c r="E31" s="1017"/>
      <c r="F31" s="1018"/>
      <c r="G31" s="1019"/>
      <c r="H31" s="1017"/>
      <c r="I31" s="1018"/>
      <c r="J31" s="1019"/>
      <c r="K31" s="1017"/>
      <c r="L31" s="1018"/>
      <c r="M31" s="1019"/>
      <c r="N31" s="1020"/>
      <c r="O31" s="1021"/>
      <c r="P31" s="996"/>
      <c r="Q31" s="997"/>
      <c r="R31" s="992"/>
      <c r="S31" s="993"/>
      <c r="T31" s="994"/>
      <c r="U31" s="1000"/>
      <c r="V31" s="1001"/>
      <c r="W31" s="1002"/>
      <c r="X31" s="1003"/>
      <c r="Y31" s="1001"/>
      <c r="Z31" s="1004"/>
    </row>
    <row r="32" spans="1:26" s="571" customFormat="1" ht="24.75" customHeight="1" thickBot="1">
      <c r="A32" s="1022" t="s">
        <v>437</v>
      </c>
      <c r="B32" s="1023">
        <f aca="true" t="shared" si="16" ref="B32:O32">SUM(B8,B27)</f>
        <v>2821393</v>
      </c>
      <c r="C32" s="1024">
        <f t="shared" si="16"/>
        <v>2831125</v>
      </c>
      <c r="D32" s="1025">
        <f t="shared" si="16"/>
        <v>2820025</v>
      </c>
      <c r="E32" s="1023">
        <f t="shared" si="16"/>
        <v>1874396</v>
      </c>
      <c r="F32" s="1024">
        <f t="shared" si="16"/>
        <v>1874396</v>
      </c>
      <c r="G32" s="1025">
        <f t="shared" si="16"/>
        <v>1874396</v>
      </c>
      <c r="H32" s="1023">
        <f t="shared" si="16"/>
        <v>196680</v>
      </c>
      <c r="I32" s="1024">
        <f>SUM(I8,I27)</f>
        <v>196680</v>
      </c>
      <c r="J32" s="1025">
        <f>SUM(J8,J27)</f>
        <v>196680</v>
      </c>
      <c r="K32" s="1023">
        <f t="shared" si="16"/>
        <v>35599</v>
      </c>
      <c r="L32" s="1024">
        <f t="shared" si="16"/>
        <v>74050</v>
      </c>
      <c r="M32" s="1025">
        <f t="shared" si="16"/>
        <v>74050</v>
      </c>
      <c r="N32" s="1026" t="s">
        <v>437</v>
      </c>
      <c r="O32" s="1027">
        <f t="shared" si="16"/>
        <v>714718</v>
      </c>
      <c r="P32" s="1024">
        <f>C32-F32-I32-L32</f>
        <v>685999</v>
      </c>
      <c r="Q32" s="1025">
        <f>D32-G32-J32-M32</f>
        <v>674899</v>
      </c>
      <c r="R32" s="1023">
        <f aca="true" t="shared" si="17" ref="R32:X32">SUM(R8,R27)</f>
        <v>714718</v>
      </c>
      <c r="S32" s="1024">
        <f t="shared" si="17"/>
        <v>685999</v>
      </c>
      <c r="T32" s="1025">
        <f t="shared" si="17"/>
        <v>674899</v>
      </c>
      <c r="U32" s="1023">
        <f t="shared" si="17"/>
        <v>250000</v>
      </c>
      <c r="V32" s="1024">
        <f t="shared" si="17"/>
        <v>250000</v>
      </c>
      <c r="W32" s="1025">
        <f t="shared" si="17"/>
        <v>250000</v>
      </c>
      <c r="X32" s="1027">
        <f t="shared" si="17"/>
        <v>464718</v>
      </c>
      <c r="Y32" s="1024">
        <f>SUM(Y8,Y27)</f>
        <v>435999</v>
      </c>
      <c r="Z32" s="1025">
        <f>SUM(Z8,Z27)</f>
        <v>424899</v>
      </c>
    </row>
    <row r="33" spans="1:25" s="570" customFormat="1" ht="12.75">
      <c r="A33" s="569"/>
      <c r="B33" s="569"/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569"/>
      <c r="Q33" s="569"/>
      <c r="R33" s="569"/>
      <c r="S33" s="569"/>
      <c r="T33" s="569"/>
      <c r="Y33" s="572"/>
    </row>
    <row r="34" spans="1:25" s="570" customFormat="1" ht="12.75">
      <c r="A34" s="569"/>
      <c r="B34" s="569"/>
      <c r="C34" s="569"/>
      <c r="D34" s="569"/>
      <c r="E34" s="569"/>
      <c r="F34" s="569"/>
      <c r="G34" s="569"/>
      <c r="H34" s="569"/>
      <c r="I34" s="569"/>
      <c r="J34" s="569"/>
      <c r="K34" s="569"/>
      <c r="L34" s="569"/>
      <c r="M34" s="569"/>
      <c r="N34" s="569"/>
      <c r="O34" s="569"/>
      <c r="P34" s="569"/>
      <c r="Q34" s="569"/>
      <c r="R34" s="569"/>
      <c r="S34" s="569"/>
      <c r="T34" s="569"/>
      <c r="Y34" s="572"/>
    </row>
    <row r="35" spans="1:25" s="570" customFormat="1" ht="12.75">
      <c r="A35" s="569"/>
      <c r="B35" s="569"/>
      <c r="C35" s="569"/>
      <c r="D35" s="569"/>
      <c r="E35" s="569"/>
      <c r="F35" s="569"/>
      <c r="G35" s="569"/>
      <c r="H35" s="569"/>
      <c r="I35" s="569"/>
      <c r="J35" s="569"/>
      <c r="K35" s="569"/>
      <c r="L35" s="569"/>
      <c r="M35" s="569"/>
      <c r="N35" s="569"/>
      <c r="O35" s="569"/>
      <c r="P35" s="569"/>
      <c r="Q35" s="569"/>
      <c r="R35" s="569"/>
      <c r="S35" s="569"/>
      <c r="T35" s="569"/>
      <c r="Y35" s="572"/>
    </row>
    <row r="36" spans="1:25" s="570" customFormat="1" ht="12.75">
      <c r="A36" s="569"/>
      <c r="B36" s="569"/>
      <c r="C36" s="569"/>
      <c r="D36" s="569"/>
      <c r="E36" s="569"/>
      <c r="F36" s="569"/>
      <c r="G36" s="569"/>
      <c r="H36" s="569"/>
      <c r="I36" s="569"/>
      <c r="J36" s="569"/>
      <c r="K36" s="569"/>
      <c r="L36" s="569"/>
      <c r="M36" s="569"/>
      <c r="N36" s="569"/>
      <c r="O36" s="569"/>
      <c r="P36" s="569"/>
      <c r="Q36" s="569"/>
      <c r="R36" s="569"/>
      <c r="S36" s="569"/>
      <c r="T36" s="569"/>
      <c r="Y36" s="572"/>
    </row>
    <row r="37" spans="1:25" s="570" customFormat="1" ht="12.75">
      <c r="A37" s="569"/>
      <c r="B37" s="569"/>
      <c r="C37" s="569"/>
      <c r="D37" s="569"/>
      <c r="E37" s="569"/>
      <c r="F37" s="569"/>
      <c r="G37" s="569"/>
      <c r="H37" s="569"/>
      <c r="I37" s="569"/>
      <c r="J37" s="569"/>
      <c r="K37" s="569"/>
      <c r="L37" s="569"/>
      <c r="M37" s="569"/>
      <c r="N37" s="569"/>
      <c r="O37" s="569"/>
      <c r="P37" s="569"/>
      <c r="Q37" s="569"/>
      <c r="R37" s="569"/>
      <c r="S37" s="569"/>
      <c r="T37" s="569"/>
      <c r="Y37" s="572"/>
    </row>
    <row r="38" spans="1:25" s="570" customFormat="1" ht="12.75">
      <c r="A38" s="569"/>
      <c r="B38" s="569"/>
      <c r="C38" s="569"/>
      <c r="D38" s="569"/>
      <c r="E38" s="569"/>
      <c r="F38" s="569"/>
      <c r="G38" s="569"/>
      <c r="H38" s="569"/>
      <c r="I38" s="569"/>
      <c r="J38" s="569"/>
      <c r="K38" s="569"/>
      <c r="L38" s="569"/>
      <c r="M38" s="569"/>
      <c r="N38" s="569"/>
      <c r="O38" s="569"/>
      <c r="P38" s="569"/>
      <c r="Q38" s="569"/>
      <c r="R38" s="569"/>
      <c r="S38" s="569"/>
      <c r="T38" s="569"/>
      <c r="Y38" s="572"/>
    </row>
    <row r="39" spans="1:25" s="570" customFormat="1" ht="12.75">
      <c r="A39" s="569"/>
      <c r="B39" s="569"/>
      <c r="C39" s="569"/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69"/>
      <c r="R39" s="569"/>
      <c r="S39" s="569"/>
      <c r="T39" s="569"/>
      <c r="Y39" s="572"/>
    </row>
    <row r="40" spans="1:25" s="570" customFormat="1" ht="12.75">
      <c r="A40" s="569"/>
      <c r="B40" s="569"/>
      <c r="C40" s="569"/>
      <c r="D40" s="569"/>
      <c r="E40" s="569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9"/>
      <c r="R40" s="569"/>
      <c r="S40" s="569"/>
      <c r="T40" s="569"/>
      <c r="Y40" s="572"/>
    </row>
    <row r="41" spans="1:25" s="570" customFormat="1" ht="12.75">
      <c r="A41" s="569"/>
      <c r="B41" s="569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69"/>
      <c r="S41" s="569"/>
      <c r="T41" s="569"/>
      <c r="Y41" s="572"/>
    </row>
    <row r="42" spans="1:25" s="570" customFormat="1" ht="12.75">
      <c r="A42" s="569"/>
      <c r="B42" s="569"/>
      <c r="C42" s="569"/>
      <c r="D42" s="569"/>
      <c r="E42" s="569"/>
      <c r="F42" s="569"/>
      <c r="G42" s="569"/>
      <c r="H42" s="569"/>
      <c r="I42" s="569"/>
      <c r="J42" s="569"/>
      <c r="K42" s="569"/>
      <c r="L42" s="569"/>
      <c r="M42" s="569"/>
      <c r="N42" s="569"/>
      <c r="O42" s="569"/>
      <c r="P42" s="569"/>
      <c r="Q42" s="569"/>
      <c r="R42" s="569"/>
      <c r="S42" s="569"/>
      <c r="T42" s="569"/>
      <c r="Y42" s="572"/>
    </row>
    <row r="43" spans="1:25" s="570" customFormat="1" ht="12.75">
      <c r="A43" s="569"/>
      <c r="B43" s="569"/>
      <c r="C43" s="569"/>
      <c r="D43" s="569"/>
      <c r="E43" s="569"/>
      <c r="F43" s="569"/>
      <c r="G43" s="569"/>
      <c r="H43" s="569"/>
      <c r="I43" s="569"/>
      <c r="J43" s="569"/>
      <c r="K43" s="569"/>
      <c r="L43" s="569"/>
      <c r="M43" s="569"/>
      <c r="N43" s="569"/>
      <c r="O43" s="569"/>
      <c r="P43" s="569"/>
      <c r="Q43" s="569"/>
      <c r="R43" s="569"/>
      <c r="S43" s="569"/>
      <c r="T43" s="569"/>
      <c r="Y43" s="572"/>
    </row>
    <row r="44" spans="1:25" s="570" customFormat="1" ht="12.75">
      <c r="A44" s="569"/>
      <c r="B44" s="569"/>
      <c r="C44" s="569"/>
      <c r="D44" s="569"/>
      <c r="E44" s="569"/>
      <c r="F44" s="569"/>
      <c r="G44" s="569"/>
      <c r="H44" s="569"/>
      <c r="I44" s="569"/>
      <c r="J44" s="569"/>
      <c r="K44" s="569"/>
      <c r="L44" s="569"/>
      <c r="M44" s="569"/>
      <c r="N44" s="569"/>
      <c r="O44" s="569"/>
      <c r="P44" s="569"/>
      <c r="Q44" s="569"/>
      <c r="R44" s="569"/>
      <c r="S44" s="569"/>
      <c r="T44" s="569"/>
      <c r="Y44" s="572"/>
    </row>
    <row r="45" spans="1:25" s="570" customFormat="1" ht="12.75">
      <c r="A45" s="569"/>
      <c r="B45" s="569"/>
      <c r="C45" s="569"/>
      <c r="D45" s="569"/>
      <c r="E45" s="569"/>
      <c r="F45" s="569"/>
      <c r="G45" s="569"/>
      <c r="H45" s="569"/>
      <c r="I45" s="569"/>
      <c r="J45" s="569"/>
      <c r="K45" s="569"/>
      <c r="L45" s="569"/>
      <c r="M45" s="569"/>
      <c r="N45" s="569"/>
      <c r="O45" s="569"/>
      <c r="P45" s="569"/>
      <c r="Q45" s="569"/>
      <c r="R45" s="569"/>
      <c r="S45" s="569"/>
      <c r="T45" s="569"/>
      <c r="Y45" s="572"/>
    </row>
    <row r="46" spans="1:25" s="570" customFormat="1" ht="12.75">
      <c r="A46" s="569"/>
      <c r="B46" s="569"/>
      <c r="C46" s="569"/>
      <c r="D46" s="569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Y46" s="572"/>
    </row>
    <row r="47" spans="1:25" s="570" customFormat="1" ht="12.75">
      <c r="A47" s="569"/>
      <c r="B47" s="569"/>
      <c r="C47" s="569"/>
      <c r="D47" s="569"/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/>
      <c r="T47" s="569"/>
      <c r="Y47" s="572"/>
    </row>
    <row r="48" spans="1:25" s="570" customFormat="1" ht="12.75">
      <c r="A48" s="569"/>
      <c r="B48" s="569"/>
      <c r="C48" s="569"/>
      <c r="D48" s="569"/>
      <c r="E48" s="569"/>
      <c r="F48" s="569"/>
      <c r="G48" s="569"/>
      <c r="H48" s="569"/>
      <c r="I48" s="569"/>
      <c r="J48" s="569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Y48" s="572"/>
    </row>
    <row r="49" spans="1:25" s="570" customFormat="1" ht="12.75">
      <c r="A49" s="569"/>
      <c r="B49" s="569"/>
      <c r="C49" s="569"/>
      <c r="D49" s="569"/>
      <c r="E49" s="569"/>
      <c r="F49" s="569"/>
      <c r="G49" s="569"/>
      <c r="H49" s="569"/>
      <c r="I49" s="569"/>
      <c r="J49" s="569"/>
      <c r="K49" s="569"/>
      <c r="L49" s="569"/>
      <c r="M49" s="569"/>
      <c r="N49" s="569"/>
      <c r="O49" s="569"/>
      <c r="P49" s="569"/>
      <c r="Q49" s="569"/>
      <c r="R49" s="569"/>
      <c r="S49" s="569"/>
      <c r="T49" s="569"/>
      <c r="Y49" s="572"/>
    </row>
    <row r="50" spans="1:25" s="570" customFormat="1" ht="12.75">
      <c r="A50" s="569"/>
      <c r="B50" s="569"/>
      <c r="C50" s="569"/>
      <c r="D50" s="569"/>
      <c r="E50" s="569"/>
      <c r="F50" s="569"/>
      <c r="G50" s="569"/>
      <c r="H50" s="569"/>
      <c r="I50" s="569"/>
      <c r="J50" s="569"/>
      <c r="K50" s="569"/>
      <c r="L50" s="569"/>
      <c r="M50" s="569"/>
      <c r="N50" s="569"/>
      <c r="O50" s="569"/>
      <c r="P50" s="569"/>
      <c r="Q50" s="569"/>
      <c r="R50" s="569"/>
      <c r="S50" s="569"/>
      <c r="T50" s="569"/>
      <c r="Y50" s="572"/>
    </row>
    <row r="51" spans="1:25" s="570" customFormat="1" ht="12.75">
      <c r="A51" s="569"/>
      <c r="B51" s="569"/>
      <c r="C51" s="569"/>
      <c r="D51" s="569"/>
      <c r="E51" s="569"/>
      <c r="F51" s="569"/>
      <c r="G51" s="569"/>
      <c r="H51" s="569"/>
      <c r="I51" s="569"/>
      <c r="J51" s="569"/>
      <c r="K51" s="569"/>
      <c r="L51" s="569"/>
      <c r="M51" s="569"/>
      <c r="N51" s="569"/>
      <c r="O51" s="569"/>
      <c r="P51" s="569"/>
      <c r="Q51" s="569"/>
      <c r="R51" s="569"/>
      <c r="S51" s="569"/>
      <c r="T51" s="569"/>
      <c r="Y51" s="572"/>
    </row>
    <row r="52" spans="1:25" s="570" customFormat="1" ht="12.75">
      <c r="A52" s="569"/>
      <c r="B52" s="569"/>
      <c r="C52" s="569"/>
      <c r="D52" s="569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  <c r="S52" s="569"/>
      <c r="T52" s="569"/>
      <c r="Y52" s="572"/>
    </row>
    <row r="53" spans="1:25" s="570" customFormat="1" ht="12.75">
      <c r="A53" s="569"/>
      <c r="B53" s="569"/>
      <c r="C53" s="569"/>
      <c r="D53" s="569"/>
      <c r="E53" s="569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69"/>
      <c r="R53" s="569"/>
      <c r="S53" s="569"/>
      <c r="T53" s="569"/>
      <c r="Y53" s="572"/>
    </row>
    <row r="54" spans="1:25" s="570" customFormat="1" ht="12.75">
      <c r="A54" s="569"/>
      <c r="B54" s="569"/>
      <c r="C54" s="569"/>
      <c r="D54" s="569"/>
      <c r="E54" s="569"/>
      <c r="F54" s="569"/>
      <c r="G54" s="569"/>
      <c r="H54" s="569"/>
      <c r="I54" s="569"/>
      <c r="J54" s="569"/>
      <c r="K54" s="569"/>
      <c r="L54" s="569"/>
      <c r="M54" s="569"/>
      <c r="N54" s="569"/>
      <c r="O54" s="569"/>
      <c r="P54" s="569"/>
      <c r="Q54" s="569"/>
      <c r="R54" s="569"/>
      <c r="S54" s="569"/>
      <c r="T54" s="569"/>
      <c r="Y54" s="572"/>
    </row>
    <row r="55" spans="1:25" s="570" customFormat="1" ht="12.75">
      <c r="A55" s="569"/>
      <c r="B55" s="569"/>
      <c r="C55" s="569"/>
      <c r="D55" s="569"/>
      <c r="E55" s="569"/>
      <c r="F55" s="569"/>
      <c r="G55" s="569"/>
      <c r="H55" s="569"/>
      <c r="I55" s="569"/>
      <c r="J55" s="569"/>
      <c r="K55" s="569"/>
      <c r="L55" s="569"/>
      <c r="M55" s="569"/>
      <c r="N55" s="569"/>
      <c r="O55" s="569"/>
      <c r="P55" s="569"/>
      <c r="Q55" s="569"/>
      <c r="R55" s="569"/>
      <c r="S55" s="569"/>
      <c r="T55" s="569"/>
      <c r="Y55" s="572"/>
    </row>
    <row r="56" spans="1:25" s="570" customFormat="1" ht="12.75">
      <c r="A56" s="569"/>
      <c r="B56" s="569"/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  <c r="O56" s="569"/>
      <c r="P56" s="569"/>
      <c r="Q56" s="569"/>
      <c r="R56" s="569"/>
      <c r="S56" s="569"/>
      <c r="T56" s="569"/>
      <c r="Y56" s="572"/>
    </row>
    <row r="57" spans="1:25" s="570" customFormat="1" ht="12.75">
      <c r="A57" s="569"/>
      <c r="B57" s="569"/>
      <c r="C57" s="569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Y57" s="572"/>
    </row>
    <row r="58" spans="1:25" s="570" customFormat="1" ht="12.75">
      <c r="A58" s="569"/>
      <c r="B58" s="569"/>
      <c r="C58" s="569"/>
      <c r="D58" s="569"/>
      <c r="E58" s="569"/>
      <c r="F58" s="569"/>
      <c r="G58" s="569"/>
      <c r="H58" s="569"/>
      <c r="I58" s="569"/>
      <c r="J58" s="569"/>
      <c r="K58" s="569"/>
      <c r="L58" s="569"/>
      <c r="M58" s="569"/>
      <c r="N58" s="569"/>
      <c r="O58" s="569"/>
      <c r="P58" s="569"/>
      <c r="Q58" s="569"/>
      <c r="R58" s="569"/>
      <c r="S58" s="569"/>
      <c r="T58" s="569"/>
      <c r="Y58" s="572"/>
    </row>
    <row r="59" spans="1:25" s="570" customFormat="1" ht="12.75">
      <c r="A59" s="569"/>
      <c r="B59" s="569"/>
      <c r="C59" s="569"/>
      <c r="D59" s="569"/>
      <c r="E59" s="569"/>
      <c r="F59" s="569"/>
      <c r="G59" s="569"/>
      <c r="H59" s="569"/>
      <c r="I59" s="569"/>
      <c r="J59" s="569"/>
      <c r="K59" s="569"/>
      <c r="L59" s="569"/>
      <c r="M59" s="569"/>
      <c r="N59" s="569"/>
      <c r="O59" s="569"/>
      <c r="P59" s="569"/>
      <c r="Q59" s="569"/>
      <c r="R59" s="569"/>
      <c r="S59" s="569"/>
      <c r="T59" s="569"/>
      <c r="Y59" s="572"/>
    </row>
    <row r="60" spans="1:25" s="570" customFormat="1" ht="12.75">
      <c r="A60" s="569"/>
      <c r="B60" s="569"/>
      <c r="C60" s="569"/>
      <c r="D60" s="569"/>
      <c r="E60" s="569"/>
      <c r="F60" s="569"/>
      <c r="G60" s="569"/>
      <c r="H60" s="569"/>
      <c r="I60" s="569"/>
      <c r="J60" s="569"/>
      <c r="K60" s="569"/>
      <c r="L60" s="569"/>
      <c r="M60" s="569"/>
      <c r="N60" s="569"/>
      <c r="O60" s="569"/>
      <c r="P60" s="569"/>
      <c r="Q60" s="569"/>
      <c r="R60" s="569"/>
      <c r="S60" s="569"/>
      <c r="T60" s="569"/>
      <c r="Y60" s="572"/>
    </row>
    <row r="61" spans="1:25" s="570" customFormat="1" ht="12.75">
      <c r="A61" s="569"/>
      <c r="B61" s="569"/>
      <c r="C61" s="569"/>
      <c r="D61" s="569"/>
      <c r="E61" s="569"/>
      <c r="F61" s="569"/>
      <c r="G61" s="569"/>
      <c r="H61" s="569"/>
      <c r="I61" s="569"/>
      <c r="J61" s="569"/>
      <c r="K61" s="569"/>
      <c r="L61" s="569"/>
      <c r="M61" s="569"/>
      <c r="N61" s="569"/>
      <c r="O61" s="569"/>
      <c r="P61" s="569"/>
      <c r="Q61" s="569"/>
      <c r="R61" s="569"/>
      <c r="S61" s="569"/>
      <c r="T61" s="569"/>
      <c r="Y61" s="572"/>
    </row>
    <row r="62" spans="1:25" s="570" customFormat="1" ht="12.75">
      <c r="A62" s="569"/>
      <c r="B62" s="569"/>
      <c r="C62" s="569"/>
      <c r="D62" s="569"/>
      <c r="E62" s="569"/>
      <c r="F62" s="569"/>
      <c r="G62" s="569"/>
      <c r="H62" s="569"/>
      <c r="I62" s="569"/>
      <c r="J62" s="569"/>
      <c r="K62" s="569"/>
      <c r="L62" s="569"/>
      <c r="M62" s="569"/>
      <c r="N62" s="569"/>
      <c r="O62" s="569"/>
      <c r="P62" s="569"/>
      <c r="Q62" s="569"/>
      <c r="R62" s="569"/>
      <c r="S62" s="569"/>
      <c r="T62" s="569"/>
      <c r="Y62" s="572"/>
    </row>
    <row r="63" spans="1:25" s="570" customFormat="1" ht="12.75">
      <c r="A63" s="569"/>
      <c r="B63" s="569"/>
      <c r="C63" s="569"/>
      <c r="D63" s="569"/>
      <c r="E63" s="569"/>
      <c r="F63" s="569"/>
      <c r="G63" s="569"/>
      <c r="H63" s="569"/>
      <c r="I63" s="569"/>
      <c r="J63" s="569"/>
      <c r="K63" s="569"/>
      <c r="L63" s="569"/>
      <c r="M63" s="569"/>
      <c r="N63" s="569"/>
      <c r="O63" s="569"/>
      <c r="P63" s="569"/>
      <c r="Q63" s="569"/>
      <c r="R63" s="569"/>
      <c r="S63" s="569"/>
      <c r="T63" s="569"/>
      <c r="Y63" s="572"/>
    </row>
    <row r="64" spans="1:25" s="570" customFormat="1" ht="12.75">
      <c r="A64" s="569"/>
      <c r="B64" s="569"/>
      <c r="C64" s="569"/>
      <c r="D64" s="569"/>
      <c r="E64" s="569"/>
      <c r="F64" s="569"/>
      <c r="G64" s="569"/>
      <c r="H64" s="569"/>
      <c r="I64" s="569"/>
      <c r="J64" s="569"/>
      <c r="K64" s="569"/>
      <c r="L64" s="569"/>
      <c r="M64" s="569"/>
      <c r="N64" s="569"/>
      <c r="O64" s="569"/>
      <c r="P64" s="569"/>
      <c r="Q64" s="569"/>
      <c r="R64" s="569"/>
      <c r="S64" s="569"/>
      <c r="T64" s="569"/>
      <c r="Y64" s="572"/>
    </row>
    <row r="65" spans="1:25" s="570" customFormat="1" ht="12.75">
      <c r="A65" s="569"/>
      <c r="B65" s="569"/>
      <c r="C65" s="569"/>
      <c r="D65" s="569"/>
      <c r="E65" s="569"/>
      <c r="F65" s="569"/>
      <c r="G65" s="569"/>
      <c r="H65" s="569"/>
      <c r="I65" s="569"/>
      <c r="J65" s="569"/>
      <c r="K65" s="569"/>
      <c r="L65" s="569"/>
      <c r="M65" s="569"/>
      <c r="N65" s="569"/>
      <c r="O65" s="569"/>
      <c r="P65" s="569"/>
      <c r="Q65" s="569"/>
      <c r="R65" s="569"/>
      <c r="S65" s="569"/>
      <c r="T65" s="569"/>
      <c r="Y65" s="572"/>
    </row>
    <row r="66" spans="1:25" s="570" customFormat="1" ht="12.75">
      <c r="A66" s="569"/>
      <c r="B66" s="569"/>
      <c r="C66" s="569"/>
      <c r="D66" s="569"/>
      <c r="E66" s="569"/>
      <c r="F66" s="569"/>
      <c r="G66" s="569"/>
      <c r="H66" s="569"/>
      <c r="I66" s="569"/>
      <c r="J66" s="569"/>
      <c r="K66" s="569"/>
      <c r="L66" s="569"/>
      <c r="M66" s="569"/>
      <c r="N66" s="569"/>
      <c r="O66" s="569"/>
      <c r="P66" s="569"/>
      <c r="Q66" s="569"/>
      <c r="R66" s="569"/>
      <c r="S66" s="569"/>
      <c r="T66" s="569"/>
      <c r="Y66" s="572"/>
    </row>
    <row r="67" spans="1:25" s="570" customFormat="1" ht="12.75">
      <c r="A67" s="569"/>
      <c r="B67" s="569"/>
      <c r="C67" s="569"/>
      <c r="D67" s="569"/>
      <c r="E67" s="569"/>
      <c r="F67" s="569"/>
      <c r="G67" s="569"/>
      <c r="H67" s="569"/>
      <c r="I67" s="569"/>
      <c r="J67" s="569"/>
      <c r="K67" s="569"/>
      <c r="L67" s="569"/>
      <c r="M67" s="569"/>
      <c r="N67" s="569"/>
      <c r="O67" s="569"/>
      <c r="P67" s="569"/>
      <c r="Q67" s="569"/>
      <c r="R67" s="569"/>
      <c r="S67" s="569"/>
      <c r="T67" s="569"/>
      <c r="Y67" s="572"/>
    </row>
    <row r="68" spans="1:25" s="570" customFormat="1" ht="12.75">
      <c r="A68" s="569"/>
      <c r="B68" s="569"/>
      <c r="C68" s="569"/>
      <c r="D68" s="569"/>
      <c r="E68" s="569"/>
      <c r="F68" s="569"/>
      <c r="G68" s="569"/>
      <c r="H68" s="569"/>
      <c r="I68" s="569"/>
      <c r="J68" s="569"/>
      <c r="K68" s="569"/>
      <c r="L68" s="569"/>
      <c r="M68" s="569"/>
      <c r="N68" s="569"/>
      <c r="O68" s="569"/>
      <c r="P68" s="569"/>
      <c r="Q68" s="569"/>
      <c r="R68" s="569"/>
      <c r="S68" s="569"/>
      <c r="T68" s="569"/>
      <c r="Y68" s="572"/>
    </row>
    <row r="69" spans="1:25" s="570" customFormat="1" ht="12.75">
      <c r="A69" s="569"/>
      <c r="B69" s="569"/>
      <c r="C69" s="569"/>
      <c r="D69" s="569"/>
      <c r="E69" s="569"/>
      <c r="F69" s="569"/>
      <c r="G69" s="569"/>
      <c r="H69" s="569"/>
      <c r="I69" s="569"/>
      <c r="J69" s="569"/>
      <c r="K69" s="569"/>
      <c r="L69" s="569"/>
      <c r="M69" s="569"/>
      <c r="N69" s="569"/>
      <c r="O69" s="569"/>
      <c r="P69" s="569"/>
      <c r="Q69" s="569"/>
      <c r="R69" s="569"/>
      <c r="S69" s="569"/>
      <c r="T69" s="569"/>
      <c r="Y69" s="572"/>
    </row>
    <row r="70" spans="1:25" s="570" customFormat="1" ht="12.75">
      <c r="A70" s="569"/>
      <c r="B70" s="569"/>
      <c r="C70" s="569"/>
      <c r="D70" s="569"/>
      <c r="E70" s="569"/>
      <c r="F70" s="569"/>
      <c r="G70" s="569"/>
      <c r="H70" s="569"/>
      <c r="I70" s="569"/>
      <c r="J70" s="569"/>
      <c r="K70" s="569"/>
      <c r="L70" s="569"/>
      <c r="M70" s="569"/>
      <c r="N70" s="569"/>
      <c r="O70" s="569"/>
      <c r="P70" s="569"/>
      <c r="Q70" s="569"/>
      <c r="R70" s="569"/>
      <c r="S70" s="569"/>
      <c r="T70" s="569"/>
      <c r="Y70" s="572"/>
    </row>
    <row r="71" spans="1:25" s="570" customFormat="1" ht="12.75">
      <c r="A71" s="569"/>
      <c r="B71" s="569"/>
      <c r="C71" s="569"/>
      <c r="D71" s="569"/>
      <c r="E71" s="569"/>
      <c r="F71" s="569"/>
      <c r="G71" s="569"/>
      <c r="H71" s="569"/>
      <c r="I71" s="569"/>
      <c r="J71" s="569"/>
      <c r="K71" s="569"/>
      <c r="L71" s="569"/>
      <c r="M71" s="569"/>
      <c r="N71" s="569"/>
      <c r="O71" s="569"/>
      <c r="P71" s="569"/>
      <c r="Q71" s="569"/>
      <c r="R71" s="569"/>
      <c r="S71" s="569"/>
      <c r="T71" s="569"/>
      <c r="Y71" s="572"/>
    </row>
    <row r="72" spans="1:25" s="570" customFormat="1" ht="12.75">
      <c r="A72" s="569"/>
      <c r="B72" s="569"/>
      <c r="C72" s="569"/>
      <c r="D72" s="569"/>
      <c r="E72" s="569"/>
      <c r="F72" s="569"/>
      <c r="G72" s="569"/>
      <c r="H72" s="569"/>
      <c r="I72" s="569"/>
      <c r="J72" s="569"/>
      <c r="K72" s="569"/>
      <c r="L72" s="569"/>
      <c r="M72" s="569"/>
      <c r="N72" s="569"/>
      <c r="O72" s="569"/>
      <c r="P72" s="569"/>
      <c r="Q72" s="569"/>
      <c r="R72" s="569"/>
      <c r="S72" s="569"/>
      <c r="T72" s="569"/>
      <c r="Y72" s="572"/>
    </row>
    <row r="73" spans="1:25" s="570" customFormat="1" ht="12.75">
      <c r="A73" s="569"/>
      <c r="B73" s="569"/>
      <c r="C73" s="569"/>
      <c r="D73" s="569"/>
      <c r="E73" s="569"/>
      <c r="F73" s="569"/>
      <c r="G73" s="569"/>
      <c r="H73" s="569"/>
      <c r="I73" s="569"/>
      <c r="J73" s="569"/>
      <c r="K73" s="569"/>
      <c r="L73" s="569"/>
      <c r="M73" s="569"/>
      <c r="N73" s="569"/>
      <c r="O73" s="569"/>
      <c r="P73" s="569"/>
      <c r="Q73" s="569"/>
      <c r="R73" s="569"/>
      <c r="S73" s="569"/>
      <c r="T73" s="569"/>
      <c r="Y73" s="572"/>
    </row>
    <row r="74" spans="1:25" s="570" customFormat="1" ht="12.75">
      <c r="A74" s="569"/>
      <c r="B74" s="569"/>
      <c r="C74" s="569"/>
      <c r="D74" s="569"/>
      <c r="E74" s="569"/>
      <c r="F74" s="569"/>
      <c r="G74" s="569"/>
      <c r="H74" s="569"/>
      <c r="I74" s="569"/>
      <c r="J74" s="569"/>
      <c r="K74" s="569"/>
      <c r="L74" s="569"/>
      <c r="M74" s="569"/>
      <c r="N74" s="569"/>
      <c r="O74" s="569"/>
      <c r="P74" s="569"/>
      <c r="Q74" s="569"/>
      <c r="R74" s="569"/>
      <c r="S74" s="569"/>
      <c r="T74" s="569"/>
      <c r="Y74" s="572"/>
    </row>
    <row r="75" spans="1:25" s="570" customFormat="1" ht="12.75">
      <c r="A75" s="569"/>
      <c r="B75" s="569"/>
      <c r="C75" s="569"/>
      <c r="D75" s="569"/>
      <c r="E75" s="569"/>
      <c r="F75" s="569"/>
      <c r="G75" s="569"/>
      <c r="H75" s="569"/>
      <c r="I75" s="569"/>
      <c r="J75" s="569"/>
      <c r="K75" s="569"/>
      <c r="L75" s="569"/>
      <c r="M75" s="569"/>
      <c r="N75" s="569"/>
      <c r="O75" s="569"/>
      <c r="P75" s="569"/>
      <c r="Q75" s="569"/>
      <c r="R75" s="569"/>
      <c r="S75" s="569"/>
      <c r="T75" s="569"/>
      <c r="Y75" s="572"/>
    </row>
    <row r="76" spans="1:25" s="570" customFormat="1" ht="12.75">
      <c r="A76" s="569"/>
      <c r="B76" s="569"/>
      <c r="C76" s="569"/>
      <c r="D76" s="569"/>
      <c r="E76" s="569"/>
      <c r="F76" s="569"/>
      <c r="G76" s="569"/>
      <c r="H76" s="569"/>
      <c r="I76" s="569"/>
      <c r="J76" s="569"/>
      <c r="K76" s="569"/>
      <c r="L76" s="569"/>
      <c r="M76" s="569"/>
      <c r="N76" s="569"/>
      <c r="O76" s="569"/>
      <c r="P76" s="569"/>
      <c r="Q76" s="569"/>
      <c r="R76" s="569"/>
      <c r="S76" s="569"/>
      <c r="T76" s="569"/>
      <c r="Y76" s="572"/>
    </row>
    <row r="77" spans="1:25" s="570" customFormat="1" ht="12.75">
      <c r="A77" s="569"/>
      <c r="B77" s="569"/>
      <c r="C77" s="569"/>
      <c r="D77" s="569"/>
      <c r="E77" s="569"/>
      <c r="F77" s="569"/>
      <c r="G77" s="569"/>
      <c r="H77" s="569"/>
      <c r="I77" s="569"/>
      <c r="J77" s="569"/>
      <c r="K77" s="569"/>
      <c r="L77" s="569"/>
      <c r="M77" s="569"/>
      <c r="N77" s="569"/>
      <c r="O77" s="569"/>
      <c r="P77" s="569"/>
      <c r="Q77" s="569"/>
      <c r="R77" s="569"/>
      <c r="S77" s="569"/>
      <c r="T77" s="569"/>
      <c r="Y77" s="572"/>
    </row>
    <row r="78" spans="1:25" s="570" customFormat="1" ht="12.75">
      <c r="A78" s="569"/>
      <c r="B78" s="569"/>
      <c r="C78" s="569"/>
      <c r="D78" s="569"/>
      <c r="E78" s="569"/>
      <c r="F78" s="569"/>
      <c r="G78" s="569"/>
      <c r="H78" s="569"/>
      <c r="I78" s="569"/>
      <c r="J78" s="569"/>
      <c r="K78" s="569"/>
      <c r="L78" s="569"/>
      <c r="M78" s="569"/>
      <c r="N78" s="569"/>
      <c r="O78" s="569"/>
      <c r="P78" s="569"/>
      <c r="Q78" s="569"/>
      <c r="R78" s="569"/>
      <c r="S78" s="569"/>
      <c r="T78" s="569"/>
      <c r="Y78" s="572"/>
    </row>
    <row r="79" spans="1:25" s="570" customFormat="1" ht="12.75">
      <c r="A79" s="569"/>
      <c r="B79" s="569"/>
      <c r="C79" s="569"/>
      <c r="D79" s="569"/>
      <c r="E79" s="569"/>
      <c r="F79" s="569"/>
      <c r="G79" s="569"/>
      <c r="H79" s="569"/>
      <c r="I79" s="569"/>
      <c r="J79" s="569"/>
      <c r="K79" s="569"/>
      <c r="L79" s="569"/>
      <c r="M79" s="569"/>
      <c r="N79" s="569"/>
      <c r="O79" s="569"/>
      <c r="P79" s="569"/>
      <c r="Q79" s="569"/>
      <c r="R79" s="569"/>
      <c r="S79" s="569"/>
      <c r="T79" s="569"/>
      <c r="Y79" s="572"/>
    </row>
    <row r="80" spans="1:25" s="570" customFormat="1" ht="12.75">
      <c r="A80" s="569"/>
      <c r="B80" s="569"/>
      <c r="C80" s="569"/>
      <c r="D80" s="569"/>
      <c r="E80" s="569"/>
      <c r="F80" s="569"/>
      <c r="G80" s="569"/>
      <c r="H80" s="569"/>
      <c r="I80" s="569"/>
      <c r="J80" s="569"/>
      <c r="K80" s="569"/>
      <c r="L80" s="569"/>
      <c r="M80" s="569"/>
      <c r="N80" s="569"/>
      <c r="O80" s="569"/>
      <c r="P80" s="569"/>
      <c r="Q80" s="569"/>
      <c r="R80" s="569"/>
      <c r="S80" s="569"/>
      <c r="T80" s="569"/>
      <c r="Y80" s="572"/>
    </row>
    <row r="81" spans="1:25" s="570" customFormat="1" ht="12.75">
      <c r="A81" s="569"/>
      <c r="B81" s="569"/>
      <c r="C81" s="569"/>
      <c r="D81" s="569"/>
      <c r="E81" s="569"/>
      <c r="F81" s="569"/>
      <c r="G81" s="569"/>
      <c r="H81" s="569"/>
      <c r="I81" s="569"/>
      <c r="J81" s="569"/>
      <c r="K81" s="569"/>
      <c r="L81" s="569"/>
      <c r="M81" s="569"/>
      <c r="N81" s="569"/>
      <c r="O81" s="569"/>
      <c r="P81" s="569"/>
      <c r="Q81" s="569"/>
      <c r="R81" s="569"/>
      <c r="S81" s="569"/>
      <c r="T81" s="569"/>
      <c r="Y81" s="572"/>
    </row>
    <row r="82" spans="1:25" s="570" customFormat="1" ht="12.75">
      <c r="A82" s="569"/>
      <c r="B82" s="569"/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Y82" s="572"/>
    </row>
    <row r="83" spans="1:25" s="570" customFormat="1" ht="12.75">
      <c r="A83" s="569"/>
      <c r="B83" s="569"/>
      <c r="C83" s="569"/>
      <c r="D83" s="569"/>
      <c r="E83" s="569"/>
      <c r="F83" s="569"/>
      <c r="G83" s="569"/>
      <c r="H83" s="569"/>
      <c r="I83" s="569"/>
      <c r="J83" s="569"/>
      <c r="K83" s="569"/>
      <c r="L83" s="569"/>
      <c r="M83" s="569"/>
      <c r="N83" s="569"/>
      <c r="O83" s="569"/>
      <c r="P83" s="569"/>
      <c r="Q83" s="569"/>
      <c r="R83" s="569"/>
      <c r="S83" s="569"/>
      <c r="T83" s="569"/>
      <c r="Y83" s="572"/>
    </row>
    <row r="84" spans="1:25" s="570" customFormat="1" ht="12.75">
      <c r="A84" s="569"/>
      <c r="B84" s="569"/>
      <c r="C84" s="569"/>
      <c r="D84" s="569"/>
      <c r="E84" s="569"/>
      <c r="F84" s="569"/>
      <c r="G84" s="569"/>
      <c r="H84" s="569"/>
      <c r="I84" s="569"/>
      <c r="J84" s="569"/>
      <c r="K84" s="569"/>
      <c r="L84" s="569"/>
      <c r="M84" s="569"/>
      <c r="N84" s="569"/>
      <c r="O84" s="569"/>
      <c r="P84" s="569"/>
      <c r="Q84" s="569"/>
      <c r="R84" s="569"/>
      <c r="S84" s="569"/>
      <c r="T84" s="569"/>
      <c r="Y84" s="572"/>
    </row>
    <row r="85" spans="1:25" s="570" customFormat="1" ht="12.75">
      <c r="A85" s="569"/>
      <c r="B85" s="569"/>
      <c r="C85" s="569"/>
      <c r="D85" s="569"/>
      <c r="E85" s="569"/>
      <c r="F85" s="569"/>
      <c r="G85" s="569"/>
      <c r="H85" s="569"/>
      <c r="I85" s="569"/>
      <c r="J85" s="569"/>
      <c r="K85" s="569"/>
      <c r="L85" s="569"/>
      <c r="M85" s="569"/>
      <c r="N85" s="569"/>
      <c r="O85" s="569"/>
      <c r="P85" s="569"/>
      <c r="Q85" s="569"/>
      <c r="R85" s="569"/>
      <c r="S85" s="569"/>
      <c r="T85" s="569"/>
      <c r="Y85" s="572"/>
    </row>
    <row r="86" spans="1:25" s="570" customFormat="1" ht="12.75">
      <c r="A86" s="569"/>
      <c r="B86" s="569"/>
      <c r="C86" s="569"/>
      <c r="D86" s="569"/>
      <c r="E86" s="569"/>
      <c r="F86" s="569"/>
      <c r="G86" s="569"/>
      <c r="H86" s="569"/>
      <c r="I86" s="569"/>
      <c r="J86" s="569"/>
      <c r="K86" s="569"/>
      <c r="L86" s="569"/>
      <c r="M86" s="569"/>
      <c r="N86" s="569"/>
      <c r="O86" s="569"/>
      <c r="P86" s="569"/>
      <c r="Q86" s="569"/>
      <c r="R86" s="569"/>
      <c r="S86" s="569"/>
      <c r="T86" s="569"/>
      <c r="Y86" s="572"/>
    </row>
    <row r="87" spans="1:25" s="570" customFormat="1" ht="12.75">
      <c r="A87" s="569"/>
      <c r="B87" s="569"/>
      <c r="C87" s="569"/>
      <c r="D87" s="569"/>
      <c r="E87" s="569"/>
      <c r="F87" s="569"/>
      <c r="G87" s="569"/>
      <c r="H87" s="569"/>
      <c r="I87" s="569"/>
      <c r="J87" s="569"/>
      <c r="K87" s="569"/>
      <c r="L87" s="569"/>
      <c r="M87" s="569"/>
      <c r="N87" s="569"/>
      <c r="O87" s="569"/>
      <c r="P87" s="569"/>
      <c r="Q87" s="569"/>
      <c r="R87" s="569"/>
      <c r="S87" s="569"/>
      <c r="T87" s="569"/>
      <c r="Y87" s="572"/>
    </row>
    <row r="88" spans="1:25" s="570" customFormat="1" ht="12.75">
      <c r="A88" s="569"/>
      <c r="B88" s="569"/>
      <c r="C88" s="569"/>
      <c r="D88" s="569"/>
      <c r="E88" s="569"/>
      <c r="F88" s="569"/>
      <c r="G88" s="569"/>
      <c r="H88" s="569"/>
      <c r="I88" s="569"/>
      <c r="J88" s="569"/>
      <c r="K88" s="569"/>
      <c r="L88" s="569"/>
      <c r="M88" s="569"/>
      <c r="N88" s="569"/>
      <c r="O88" s="569"/>
      <c r="P88" s="569"/>
      <c r="Q88" s="569"/>
      <c r="R88" s="569"/>
      <c r="S88" s="569"/>
      <c r="T88" s="569"/>
      <c r="Y88" s="572"/>
    </row>
    <row r="89" spans="1:25" s="570" customFormat="1" ht="12.75">
      <c r="A89" s="569"/>
      <c r="B89" s="569"/>
      <c r="C89" s="569"/>
      <c r="D89" s="569"/>
      <c r="E89" s="569"/>
      <c r="F89" s="569"/>
      <c r="G89" s="569"/>
      <c r="H89" s="569"/>
      <c r="I89" s="569"/>
      <c r="J89" s="569"/>
      <c r="K89" s="569"/>
      <c r="L89" s="569"/>
      <c r="M89" s="569"/>
      <c r="N89" s="569"/>
      <c r="O89" s="569"/>
      <c r="P89" s="569"/>
      <c r="Q89" s="569"/>
      <c r="R89" s="569"/>
      <c r="S89" s="569"/>
      <c r="T89" s="569"/>
      <c r="Y89" s="572"/>
    </row>
    <row r="90" spans="1:25" s="570" customFormat="1" ht="12.75">
      <c r="A90" s="569"/>
      <c r="B90" s="569"/>
      <c r="C90" s="569"/>
      <c r="D90" s="569"/>
      <c r="E90" s="569"/>
      <c r="F90" s="569"/>
      <c r="G90" s="569"/>
      <c r="H90" s="569"/>
      <c r="I90" s="569"/>
      <c r="J90" s="569"/>
      <c r="K90" s="569"/>
      <c r="L90" s="569"/>
      <c r="M90" s="569"/>
      <c r="N90" s="569"/>
      <c r="O90" s="569"/>
      <c r="P90" s="569"/>
      <c r="Q90" s="569"/>
      <c r="R90" s="569"/>
      <c r="S90" s="569"/>
      <c r="T90" s="569"/>
      <c r="Y90" s="572"/>
    </row>
    <row r="91" spans="1:25" s="570" customFormat="1" ht="12.75">
      <c r="A91" s="569"/>
      <c r="B91" s="569"/>
      <c r="C91" s="569"/>
      <c r="D91" s="569"/>
      <c r="E91" s="569"/>
      <c r="F91" s="569"/>
      <c r="G91" s="569"/>
      <c r="H91" s="569"/>
      <c r="I91" s="569"/>
      <c r="J91" s="569"/>
      <c r="K91" s="569"/>
      <c r="L91" s="569"/>
      <c r="M91" s="569"/>
      <c r="N91" s="569"/>
      <c r="O91" s="569"/>
      <c r="P91" s="569"/>
      <c r="Q91" s="569"/>
      <c r="R91" s="569"/>
      <c r="S91" s="569"/>
      <c r="T91" s="569"/>
      <c r="Y91" s="572"/>
    </row>
    <row r="92" spans="1:25" s="570" customFormat="1" ht="12.75">
      <c r="A92" s="569"/>
      <c r="B92" s="569"/>
      <c r="C92" s="569"/>
      <c r="D92" s="569"/>
      <c r="E92" s="569"/>
      <c r="F92" s="569"/>
      <c r="G92" s="569"/>
      <c r="H92" s="569"/>
      <c r="I92" s="569"/>
      <c r="J92" s="569"/>
      <c r="K92" s="569"/>
      <c r="L92" s="569"/>
      <c r="M92" s="569"/>
      <c r="N92" s="569"/>
      <c r="O92" s="569"/>
      <c r="P92" s="569"/>
      <c r="Q92" s="569"/>
      <c r="R92" s="569"/>
      <c r="S92" s="569"/>
      <c r="T92" s="569"/>
      <c r="Y92" s="572"/>
    </row>
    <row r="93" spans="1:25" s="570" customFormat="1" ht="12.75">
      <c r="A93" s="569"/>
      <c r="B93" s="569"/>
      <c r="C93" s="569"/>
      <c r="D93" s="569"/>
      <c r="E93" s="569"/>
      <c r="F93" s="569"/>
      <c r="G93" s="569"/>
      <c r="H93" s="569"/>
      <c r="I93" s="569"/>
      <c r="J93" s="569"/>
      <c r="K93" s="569"/>
      <c r="L93" s="569"/>
      <c r="M93" s="569"/>
      <c r="N93" s="569"/>
      <c r="O93" s="569"/>
      <c r="P93" s="569"/>
      <c r="Q93" s="569"/>
      <c r="R93" s="569"/>
      <c r="S93" s="569"/>
      <c r="T93" s="569"/>
      <c r="Y93" s="572"/>
    </row>
    <row r="94" spans="1:25" s="570" customFormat="1" ht="12.75">
      <c r="A94" s="569"/>
      <c r="B94" s="569"/>
      <c r="C94" s="569"/>
      <c r="D94" s="569"/>
      <c r="E94" s="569"/>
      <c r="F94" s="569"/>
      <c r="G94" s="569"/>
      <c r="H94" s="569"/>
      <c r="I94" s="569"/>
      <c r="J94" s="569"/>
      <c r="K94" s="569"/>
      <c r="L94" s="569"/>
      <c r="M94" s="569"/>
      <c r="N94" s="569"/>
      <c r="O94" s="569"/>
      <c r="P94" s="569"/>
      <c r="Q94" s="569"/>
      <c r="R94" s="569"/>
      <c r="S94" s="569"/>
      <c r="T94" s="569"/>
      <c r="Y94" s="572"/>
    </row>
    <row r="95" spans="1:25" s="570" customFormat="1" ht="12.75">
      <c r="A95" s="569"/>
      <c r="B95" s="569"/>
      <c r="C95" s="569"/>
      <c r="D95" s="569"/>
      <c r="E95" s="569"/>
      <c r="F95" s="569"/>
      <c r="G95" s="569"/>
      <c r="H95" s="569"/>
      <c r="I95" s="569"/>
      <c r="J95" s="569"/>
      <c r="K95" s="569"/>
      <c r="L95" s="569"/>
      <c r="M95" s="569"/>
      <c r="N95" s="569"/>
      <c r="O95" s="569"/>
      <c r="P95" s="569"/>
      <c r="Q95" s="569"/>
      <c r="R95" s="569"/>
      <c r="S95" s="569"/>
      <c r="T95" s="569"/>
      <c r="Y95" s="572"/>
    </row>
    <row r="96" spans="1:25" s="570" customFormat="1" ht="12.75">
      <c r="A96" s="569"/>
      <c r="B96" s="569"/>
      <c r="C96" s="569"/>
      <c r="D96" s="569"/>
      <c r="E96" s="569"/>
      <c r="F96" s="569"/>
      <c r="G96" s="569"/>
      <c r="H96" s="569"/>
      <c r="I96" s="569"/>
      <c r="J96" s="569"/>
      <c r="K96" s="569"/>
      <c r="L96" s="569"/>
      <c r="M96" s="569"/>
      <c r="N96" s="569"/>
      <c r="O96" s="569"/>
      <c r="P96" s="569"/>
      <c r="Q96" s="569"/>
      <c r="R96" s="569"/>
      <c r="S96" s="569"/>
      <c r="T96" s="569"/>
      <c r="Y96" s="572"/>
    </row>
    <row r="97" spans="1:25" s="570" customFormat="1" ht="12.75">
      <c r="A97" s="569"/>
      <c r="B97" s="569"/>
      <c r="C97" s="569"/>
      <c r="D97" s="569"/>
      <c r="E97" s="569"/>
      <c r="F97" s="569"/>
      <c r="G97" s="569"/>
      <c r="H97" s="569"/>
      <c r="I97" s="569"/>
      <c r="J97" s="569"/>
      <c r="K97" s="569"/>
      <c r="L97" s="569"/>
      <c r="M97" s="569"/>
      <c r="N97" s="569"/>
      <c r="O97" s="569"/>
      <c r="P97" s="569"/>
      <c r="Q97" s="569"/>
      <c r="R97" s="569"/>
      <c r="S97" s="569"/>
      <c r="T97" s="569"/>
      <c r="Y97" s="572"/>
    </row>
    <row r="98" spans="1:25" s="570" customFormat="1" ht="12.75">
      <c r="A98" s="569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Y98" s="572"/>
    </row>
    <row r="99" spans="1:25" s="570" customFormat="1" ht="12.75">
      <c r="A99" s="569"/>
      <c r="B99" s="569"/>
      <c r="C99" s="569"/>
      <c r="D99" s="569"/>
      <c r="E99" s="569"/>
      <c r="F99" s="569"/>
      <c r="G99" s="569"/>
      <c r="H99" s="569"/>
      <c r="I99" s="569"/>
      <c r="J99" s="569"/>
      <c r="K99" s="569"/>
      <c r="L99" s="569"/>
      <c r="M99" s="569"/>
      <c r="N99" s="569"/>
      <c r="O99" s="569"/>
      <c r="P99" s="569"/>
      <c r="Q99" s="569"/>
      <c r="R99" s="569"/>
      <c r="S99" s="569"/>
      <c r="T99" s="569"/>
      <c r="Y99" s="572"/>
    </row>
    <row r="100" spans="1:25" s="570" customFormat="1" ht="12.75">
      <c r="A100" s="569"/>
      <c r="B100" s="569"/>
      <c r="C100" s="569"/>
      <c r="D100" s="569"/>
      <c r="E100" s="569"/>
      <c r="F100" s="569"/>
      <c r="G100" s="569"/>
      <c r="H100" s="569"/>
      <c r="I100" s="569"/>
      <c r="J100" s="569"/>
      <c r="K100" s="569"/>
      <c r="L100" s="569"/>
      <c r="M100" s="569"/>
      <c r="N100" s="569"/>
      <c r="O100" s="569"/>
      <c r="P100" s="569"/>
      <c r="Q100" s="569"/>
      <c r="R100" s="569"/>
      <c r="S100" s="569"/>
      <c r="T100" s="569"/>
      <c r="Y100" s="572"/>
    </row>
    <row r="101" spans="1:25" s="570" customFormat="1" ht="12.75">
      <c r="A101" s="569"/>
      <c r="B101" s="569"/>
      <c r="C101" s="569"/>
      <c r="D101" s="569"/>
      <c r="E101" s="569"/>
      <c r="F101" s="569"/>
      <c r="G101" s="569"/>
      <c r="H101" s="569"/>
      <c r="I101" s="569"/>
      <c r="J101" s="569"/>
      <c r="K101" s="569"/>
      <c r="L101" s="569"/>
      <c r="M101" s="569"/>
      <c r="N101" s="569"/>
      <c r="O101" s="569"/>
      <c r="P101" s="569"/>
      <c r="Q101" s="569"/>
      <c r="R101" s="569"/>
      <c r="S101" s="569"/>
      <c r="T101" s="569"/>
      <c r="Y101" s="572"/>
    </row>
    <row r="102" spans="1:25" s="570" customFormat="1" ht="12.75">
      <c r="A102" s="569"/>
      <c r="B102" s="569"/>
      <c r="C102" s="569"/>
      <c r="D102" s="569"/>
      <c r="E102" s="569"/>
      <c r="F102" s="569"/>
      <c r="G102" s="569"/>
      <c r="H102" s="569"/>
      <c r="I102" s="569"/>
      <c r="J102" s="569"/>
      <c r="K102" s="569"/>
      <c r="L102" s="569"/>
      <c r="M102" s="569"/>
      <c r="N102" s="569"/>
      <c r="O102" s="569"/>
      <c r="P102" s="569"/>
      <c r="Q102" s="569"/>
      <c r="R102" s="569"/>
      <c r="S102" s="569"/>
      <c r="T102" s="569"/>
      <c r="Y102" s="572"/>
    </row>
    <row r="103" spans="1:25" s="570" customFormat="1" ht="12.75">
      <c r="A103" s="569"/>
      <c r="B103" s="569"/>
      <c r="C103" s="569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569"/>
      <c r="O103" s="569"/>
      <c r="P103" s="569"/>
      <c r="Q103" s="569"/>
      <c r="R103" s="569"/>
      <c r="S103" s="569"/>
      <c r="T103" s="569"/>
      <c r="Y103" s="572"/>
    </row>
    <row r="104" spans="1:25" s="570" customFormat="1" ht="12.75">
      <c r="A104" s="569"/>
      <c r="B104" s="569"/>
      <c r="C104" s="569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569"/>
      <c r="O104" s="569"/>
      <c r="P104" s="569"/>
      <c r="Q104" s="569"/>
      <c r="R104" s="569"/>
      <c r="S104" s="569"/>
      <c r="T104" s="569"/>
      <c r="Y104" s="572"/>
    </row>
    <row r="105" spans="1:25" s="570" customFormat="1" ht="12.75">
      <c r="A105" s="569"/>
      <c r="B105" s="569"/>
      <c r="C105" s="569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569"/>
      <c r="O105" s="569"/>
      <c r="P105" s="569"/>
      <c r="Q105" s="569"/>
      <c r="R105" s="569"/>
      <c r="S105" s="569"/>
      <c r="T105" s="569"/>
      <c r="Y105" s="572"/>
    </row>
    <row r="106" spans="1:25" s="570" customFormat="1" ht="12.75">
      <c r="A106" s="569"/>
      <c r="B106" s="569"/>
      <c r="C106" s="569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569"/>
      <c r="O106" s="569"/>
      <c r="P106" s="569"/>
      <c r="Q106" s="569"/>
      <c r="R106" s="569"/>
      <c r="S106" s="569"/>
      <c r="T106" s="569"/>
      <c r="Y106" s="572"/>
    </row>
    <row r="107" spans="1:25" s="570" customFormat="1" ht="12.75">
      <c r="A107" s="569"/>
      <c r="B107" s="569"/>
      <c r="C107" s="569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569"/>
      <c r="O107" s="569"/>
      <c r="P107" s="569"/>
      <c r="Q107" s="569"/>
      <c r="R107" s="569"/>
      <c r="S107" s="569"/>
      <c r="T107" s="569"/>
      <c r="Y107" s="572"/>
    </row>
    <row r="108" spans="1:25" s="570" customFormat="1" ht="12.75">
      <c r="A108" s="569"/>
      <c r="B108" s="569"/>
      <c r="C108" s="569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569"/>
      <c r="O108" s="569"/>
      <c r="P108" s="569"/>
      <c r="Q108" s="569"/>
      <c r="R108" s="569"/>
      <c r="S108" s="569"/>
      <c r="T108" s="569"/>
      <c r="Y108" s="572"/>
    </row>
    <row r="109" spans="1:25" s="570" customFormat="1" ht="12.75">
      <c r="A109" s="569"/>
      <c r="B109" s="569"/>
      <c r="C109" s="569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569"/>
      <c r="O109" s="569"/>
      <c r="P109" s="569"/>
      <c r="Q109" s="569"/>
      <c r="R109" s="569"/>
      <c r="S109" s="569"/>
      <c r="T109" s="569"/>
      <c r="Y109" s="572"/>
    </row>
    <row r="110" spans="1:25" s="570" customFormat="1" ht="12.75">
      <c r="A110" s="569"/>
      <c r="B110" s="569"/>
      <c r="C110" s="569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569"/>
      <c r="O110" s="569"/>
      <c r="P110" s="569"/>
      <c r="Q110" s="569"/>
      <c r="R110" s="569"/>
      <c r="S110" s="569"/>
      <c r="T110" s="569"/>
      <c r="Y110" s="572"/>
    </row>
    <row r="111" spans="1:25" s="570" customFormat="1" ht="12.75">
      <c r="A111" s="569"/>
      <c r="B111" s="569"/>
      <c r="C111" s="569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569"/>
      <c r="O111" s="569"/>
      <c r="P111" s="569"/>
      <c r="Q111" s="569"/>
      <c r="R111" s="569"/>
      <c r="S111" s="569"/>
      <c r="T111" s="569"/>
      <c r="Y111" s="572"/>
    </row>
    <row r="112" spans="1:25" s="570" customFormat="1" ht="12.75">
      <c r="A112" s="569"/>
      <c r="B112" s="569"/>
      <c r="C112" s="569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569"/>
      <c r="O112" s="569"/>
      <c r="P112" s="569"/>
      <c r="Q112" s="569"/>
      <c r="R112" s="569"/>
      <c r="S112" s="569"/>
      <c r="T112" s="569"/>
      <c r="Y112" s="572"/>
    </row>
    <row r="113" spans="1:25" s="570" customFormat="1" ht="12.75">
      <c r="A113" s="569"/>
      <c r="B113" s="569"/>
      <c r="C113" s="569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569"/>
      <c r="O113" s="569"/>
      <c r="P113" s="569"/>
      <c r="Q113" s="569"/>
      <c r="R113" s="569"/>
      <c r="S113" s="569"/>
      <c r="T113" s="569"/>
      <c r="Y113" s="572"/>
    </row>
    <row r="114" spans="1:25" s="570" customFormat="1" ht="12.75">
      <c r="A114" s="569"/>
      <c r="B114" s="569"/>
      <c r="C114" s="569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569"/>
      <c r="O114" s="569"/>
      <c r="P114" s="569"/>
      <c r="Q114" s="569"/>
      <c r="R114" s="569"/>
      <c r="S114" s="569"/>
      <c r="T114" s="569"/>
      <c r="Y114" s="572"/>
    </row>
    <row r="115" spans="1:25" s="570" customFormat="1" ht="12.75">
      <c r="A115" s="569"/>
      <c r="B115" s="569"/>
      <c r="C115" s="569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569"/>
      <c r="O115" s="569"/>
      <c r="P115" s="569"/>
      <c r="Q115" s="569"/>
      <c r="R115" s="569"/>
      <c r="S115" s="569"/>
      <c r="T115" s="569"/>
      <c r="Y115" s="572"/>
    </row>
    <row r="116" spans="1:25" s="570" customFormat="1" ht="12.75">
      <c r="A116" s="569"/>
      <c r="B116" s="569"/>
      <c r="C116" s="569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569"/>
      <c r="O116" s="569"/>
      <c r="P116" s="569"/>
      <c r="Q116" s="569"/>
      <c r="R116" s="569"/>
      <c r="S116" s="569"/>
      <c r="T116" s="569"/>
      <c r="Y116" s="572"/>
    </row>
    <row r="117" spans="1:25" s="570" customFormat="1" ht="12.75">
      <c r="A117" s="569"/>
      <c r="B117" s="569"/>
      <c r="C117" s="569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569"/>
      <c r="O117" s="569"/>
      <c r="P117" s="569"/>
      <c r="Q117" s="569"/>
      <c r="R117" s="569"/>
      <c r="S117" s="569"/>
      <c r="T117" s="569"/>
      <c r="Y117" s="572"/>
    </row>
    <row r="118" spans="1:25" s="570" customFormat="1" ht="12.75">
      <c r="A118" s="569"/>
      <c r="B118" s="569"/>
      <c r="C118" s="569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569"/>
      <c r="O118" s="569"/>
      <c r="P118" s="569"/>
      <c r="Q118" s="569"/>
      <c r="R118" s="569"/>
      <c r="S118" s="569"/>
      <c r="T118" s="569"/>
      <c r="Y118" s="572"/>
    </row>
    <row r="119" spans="1:25" s="570" customFormat="1" ht="12.75">
      <c r="A119" s="569"/>
      <c r="B119" s="569"/>
      <c r="C119" s="569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569"/>
      <c r="O119" s="569"/>
      <c r="P119" s="569"/>
      <c r="Q119" s="569"/>
      <c r="R119" s="569"/>
      <c r="S119" s="569"/>
      <c r="T119" s="569"/>
      <c r="Y119" s="572"/>
    </row>
    <row r="120" spans="1:25" s="570" customFormat="1" ht="12.75">
      <c r="A120" s="569"/>
      <c r="B120" s="569"/>
      <c r="C120" s="569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569"/>
      <c r="O120" s="569"/>
      <c r="P120" s="569"/>
      <c r="Q120" s="569"/>
      <c r="R120" s="569"/>
      <c r="S120" s="569"/>
      <c r="T120" s="569"/>
      <c r="Y120" s="572"/>
    </row>
    <row r="121" spans="1:25" s="570" customFormat="1" ht="12.75">
      <c r="A121" s="569"/>
      <c r="B121" s="569"/>
      <c r="C121" s="569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569"/>
      <c r="O121" s="569"/>
      <c r="P121" s="569"/>
      <c r="Q121" s="569"/>
      <c r="R121" s="569"/>
      <c r="S121" s="569"/>
      <c r="T121" s="569"/>
      <c r="Y121" s="572"/>
    </row>
    <row r="122" spans="1:25" s="570" customFormat="1" ht="12.75">
      <c r="A122" s="569"/>
      <c r="B122" s="569"/>
      <c r="C122" s="569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569"/>
      <c r="O122" s="569"/>
      <c r="P122" s="569"/>
      <c r="Q122" s="569"/>
      <c r="R122" s="569"/>
      <c r="S122" s="569"/>
      <c r="T122" s="569"/>
      <c r="Y122" s="572"/>
    </row>
    <row r="123" spans="1:25" s="570" customFormat="1" ht="12.75">
      <c r="A123" s="569"/>
      <c r="B123" s="569"/>
      <c r="C123" s="569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569"/>
      <c r="O123" s="569"/>
      <c r="P123" s="569"/>
      <c r="Q123" s="569"/>
      <c r="R123" s="569"/>
      <c r="S123" s="569"/>
      <c r="T123" s="569"/>
      <c r="Y123" s="572"/>
    </row>
    <row r="124" spans="1:25" s="570" customFormat="1" ht="12.75">
      <c r="A124" s="569"/>
      <c r="B124" s="569"/>
      <c r="C124" s="569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569"/>
      <c r="O124" s="569"/>
      <c r="P124" s="569"/>
      <c r="Q124" s="569"/>
      <c r="R124" s="569"/>
      <c r="S124" s="569"/>
      <c r="T124" s="569"/>
      <c r="Y124" s="572"/>
    </row>
    <row r="125" spans="1:20" s="570" customFormat="1" ht="12.75">
      <c r="A125" s="569"/>
      <c r="B125" s="569"/>
      <c r="C125" s="569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569"/>
      <c r="O125" s="569"/>
      <c r="P125" s="569"/>
      <c r="Q125" s="569"/>
      <c r="R125" s="569"/>
      <c r="S125" s="569"/>
      <c r="T125" s="569"/>
    </row>
    <row r="126" spans="1:20" s="570" customFormat="1" ht="12.75">
      <c r="A126" s="569"/>
      <c r="B126" s="569"/>
      <c r="C126" s="569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569"/>
      <c r="O126" s="569"/>
      <c r="P126" s="569"/>
      <c r="Q126" s="569"/>
      <c r="R126" s="569"/>
      <c r="S126" s="569"/>
      <c r="T126" s="569"/>
    </row>
    <row r="127" spans="1:20" s="570" customFormat="1" ht="12.75">
      <c r="A127" s="569"/>
      <c r="B127" s="569"/>
      <c r="C127" s="569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569"/>
      <c r="O127" s="569"/>
      <c r="P127" s="569"/>
      <c r="Q127" s="569"/>
      <c r="R127" s="569"/>
      <c r="S127" s="569"/>
      <c r="T127" s="569"/>
    </row>
    <row r="128" spans="1:20" s="570" customFormat="1" ht="12.75">
      <c r="A128" s="569"/>
      <c r="B128" s="569"/>
      <c r="C128" s="569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569"/>
      <c r="O128" s="569"/>
      <c r="P128" s="569"/>
      <c r="Q128" s="569"/>
      <c r="R128" s="569"/>
      <c r="S128" s="569"/>
      <c r="T128" s="569"/>
    </row>
    <row r="129" spans="1:20" s="570" customFormat="1" ht="12.75">
      <c r="A129" s="569"/>
      <c r="B129" s="569"/>
      <c r="C129" s="569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569"/>
      <c r="O129" s="569"/>
      <c r="P129" s="569"/>
      <c r="Q129" s="569"/>
      <c r="R129" s="569"/>
      <c r="S129" s="569"/>
      <c r="T129" s="569"/>
    </row>
  </sheetData>
  <mergeCells count="13">
    <mergeCell ref="A3:M3"/>
    <mergeCell ref="N3:Z3"/>
    <mergeCell ref="S6:S7"/>
    <mergeCell ref="D6:D7"/>
    <mergeCell ref="E6:M6"/>
    <mergeCell ref="O6:Q6"/>
    <mergeCell ref="N6:N7"/>
    <mergeCell ref="T6:T7"/>
    <mergeCell ref="U6:Z6"/>
    <mergeCell ref="A6:A7"/>
    <mergeCell ref="B6:B7"/>
    <mergeCell ref="R6:R7"/>
    <mergeCell ref="C6:C7"/>
  </mergeCells>
  <printOptions horizontalCentered="1"/>
  <pageMargins left="0" right="0" top="0.7086614173228347" bottom="0" header="0.5118110236220472" footer="0.5118110236220472"/>
  <pageSetup horizontalDpi="300" verticalDpi="300" orientation="landscape" paperSize="9" scale="59" r:id="rId1"/>
  <headerFooter alignWithMargins="0">
    <oddHeader>&amp;L&amp;"Times New Roman,Normál"&amp;14 14. melléklet a 24/2013.(IX.13.) önkormányzati rendelethez
"16. melléklet az 1/2013.(II.01.) önkormányzati rendelethez"</oddHeader>
  </headerFooter>
  <colBreaks count="1" manualBreakCount="1">
    <brk id="13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4:J77"/>
  <sheetViews>
    <sheetView tabSelected="1" workbookViewId="0" topLeftCell="A49">
      <selection activeCell="B66" sqref="B66"/>
    </sheetView>
  </sheetViews>
  <sheetFormatPr defaultColWidth="9.00390625" defaultRowHeight="12.75"/>
  <cols>
    <col min="1" max="1" width="10.875" style="607" customWidth="1"/>
    <col min="2" max="2" width="70.875" style="669" customWidth="1"/>
    <col min="3" max="3" width="15.875" style="607" customWidth="1"/>
    <col min="4" max="4" width="7.625" style="662" customWidth="1"/>
    <col min="5" max="5" width="11.625" style="663" customWidth="1"/>
    <col min="6" max="6" width="15.75390625" style="664" hidden="1" customWidth="1"/>
    <col min="7" max="7" width="14.75390625" style="612" hidden="1" customWidth="1"/>
    <col min="8" max="9" width="13.875" style="398" hidden="1" customWidth="1"/>
    <col min="10" max="10" width="13.875" style="398" customWidth="1"/>
    <col min="11" max="16384" width="9.125" style="398" customWidth="1"/>
  </cols>
  <sheetData>
    <row r="4" spans="1:10" ht="15.75">
      <c r="A4" s="1357" t="s">
        <v>344</v>
      </c>
      <c r="B4" s="1357"/>
      <c r="C4" s="1357"/>
      <c r="D4" s="1357"/>
      <c r="E4" s="1357"/>
      <c r="F4" s="1357"/>
      <c r="G4" s="1357"/>
      <c r="H4" s="1357"/>
      <c r="I4" s="1357"/>
      <c r="J4" s="1357"/>
    </row>
    <row r="5" spans="1:10" ht="15.75">
      <c r="A5" s="1358" t="s">
        <v>345</v>
      </c>
      <c r="B5" s="1358"/>
      <c r="C5" s="1358"/>
      <c r="D5" s="1358"/>
      <c r="E5" s="1358"/>
      <c r="F5" s="1358"/>
      <c r="G5" s="1358"/>
      <c r="H5" s="1358"/>
      <c r="I5" s="1358"/>
      <c r="J5" s="1358"/>
    </row>
    <row r="6" spans="1:10" ht="15.75">
      <c r="A6" s="1358" t="s">
        <v>272</v>
      </c>
      <c r="B6" s="1358"/>
      <c r="C6" s="1358"/>
      <c r="D6" s="1358"/>
      <c r="E6" s="1358"/>
      <c r="F6" s="1358"/>
      <c r="G6" s="1358"/>
      <c r="H6" s="1358"/>
      <c r="I6" s="1358"/>
      <c r="J6" s="1358"/>
    </row>
    <row r="7" spans="1:10" ht="15.75">
      <c r="A7" s="604"/>
      <c r="B7" s="604"/>
      <c r="C7" s="604"/>
      <c r="D7" s="604"/>
      <c r="E7" s="604"/>
      <c r="F7" s="604"/>
      <c r="G7" s="605"/>
      <c r="H7" s="606"/>
      <c r="I7" s="606"/>
      <c r="J7" s="606"/>
    </row>
    <row r="8" spans="2:6" ht="16.5" thickBot="1">
      <c r="B8" s="608"/>
      <c r="C8" s="603"/>
      <c r="D8" s="609"/>
      <c r="E8" s="610"/>
      <c r="F8" s="611"/>
    </row>
    <row r="9" spans="1:10" ht="16.5" customHeight="1" thickTop="1">
      <c r="A9" s="1359" t="s">
        <v>346</v>
      </c>
      <c r="B9" s="1361" t="s">
        <v>347</v>
      </c>
      <c r="C9" s="1363" t="s">
        <v>348</v>
      </c>
      <c r="D9" s="1364"/>
      <c r="E9" s="1364"/>
      <c r="F9" s="1364"/>
      <c r="G9" s="1365" t="s">
        <v>508</v>
      </c>
      <c r="H9" s="1365" t="s">
        <v>509</v>
      </c>
      <c r="I9" s="1365" t="s">
        <v>510</v>
      </c>
      <c r="J9" s="1353" t="s">
        <v>466</v>
      </c>
    </row>
    <row r="10" spans="1:10" ht="39.75" customHeight="1" thickBot="1">
      <c r="A10" s="1360"/>
      <c r="B10" s="1362"/>
      <c r="C10" s="1355" t="s">
        <v>349</v>
      </c>
      <c r="D10" s="1356"/>
      <c r="E10" s="614" t="s">
        <v>350</v>
      </c>
      <c r="F10" s="613" t="s">
        <v>351</v>
      </c>
      <c r="G10" s="1366"/>
      <c r="H10" s="1366"/>
      <c r="I10" s="1366"/>
      <c r="J10" s="1354"/>
    </row>
    <row r="11" spans="1:10" ht="20.25" customHeight="1" thickTop="1">
      <c r="A11" s="1103" t="s">
        <v>352</v>
      </c>
      <c r="B11" s="615" t="s">
        <v>353</v>
      </c>
      <c r="C11" s="616"/>
      <c r="D11" s="617"/>
      <c r="E11" s="618"/>
      <c r="F11" s="616"/>
      <c r="G11" s="619"/>
      <c r="H11" s="619"/>
      <c r="I11" s="619"/>
      <c r="J11" s="1120"/>
    </row>
    <row r="12" spans="1:10" ht="15.75">
      <c r="A12" s="1095" t="s">
        <v>354</v>
      </c>
      <c r="B12" s="382" t="s">
        <v>355</v>
      </c>
      <c r="C12" s="620">
        <v>59.25</v>
      </c>
      <c r="D12" s="621" t="s">
        <v>356</v>
      </c>
      <c r="E12" s="622">
        <v>4580000</v>
      </c>
      <c r="F12" s="623">
        <f>C12*E12</f>
        <v>271365000</v>
      </c>
      <c r="G12" s="624">
        <f>F12/12*8</f>
        <v>180910000</v>
      </c>
      <c r="H12" s="391">
        <v>71325866.66666667</v>
      </c>
      <c r="I12" s="391">
        <f>H12+G12</f>
        <v>252235866.6666667</v>
      </c>
      <c r="J12" s="1100">
        <f>252236-22419</f>
        <v>229817</v>
      </c>
    </row>
    <row r="13" spans="1:10" ht="15.75">
      <c r="A13" s="1096" t="s">
        <v>357</v>
      </c>
      <c r="B13" s="383" t="s">
        <v>358</v>
      </c>
      <c r="C13" s="625"/>
      <c r="D13" s="626"/>
      <c r="E13" s="394"/>
      <c r="F13" s="393"/>
      <c r="G13" s="394"/>
      <c r="H13" s="394"/>
      <c r="I13" s="394"/>
      <c r="J13" s="1101"/>
    </row>
    <row r="14" spans="1:10" ht="15.75">
      <c r="A14" s="1097" t="s">
        <v>359</v>
      </c>
      <c r="B14" s="384" t="s">
        <v>360</v>
      </c>
      <c r="C14" s="394">
        <v>1675</v>
      </c>
      <c r="D14" s="626" t="s">
        <v>361</v>
      </c>
      <c r="E14" s="394">
        <v>22261</v>
      </c>
      <c r="F14" s="386">
        <v>37289401</v>
      </c>
      <c r="G14" s="387">
        <f aca="true" t="shared" si="0" ref="G14:G23">F14/12*8</f>
        <v>24859600.666666668</v>
      </c>
      <c r="H14" s="387">
        <v>12429800.333333334</v>
      </c>
      <c r="I14" s="387">
        <f aca="true" t="shared" si="1" ref="I14:I23">H14+G14</f>
        <v>37289401</v>
      </c>
      <c r="J14" s="1098">
        <v>37289</v>
      </c>
    </row>
    <row r="15" spans="1:10" s="630" customFormat="1" ht="15.75">
      <c r="A15" s="1097" t="s">
        <v>362</v>
      </c>
      <c r="B15" s="385" t="s">
        <v>363</v>
      </c>
      <c r="C15" s="627"/>
      <c r="D15" s="628" t="s">
        <v>364</v>
      </c>
      <c r="E15" s="629"/>
      <c r="F15" s="386">
        <v>52736600</v>
      </c>
      <c r="G15" s="387">
        <f t="shared" si="0"/>
        <v>35157733.333333336</v>
      </c>
      <c r="H15" s="387">
        <v>17578866.666666668</v>
      </c>
      <c r="I15" s="387">
        <f t="shared" si="1"/>
        <v>52736600</v>
      </c>
      <c r="J15" s="1098">
        <v>52737</v>
      </c>
    </row>
    <row r="16" spans="1:10" s="632" customFormat="1" ht="15.75">
      <c r="A16" s="1097" t="s">
        <v>365</v>
      </c>
      <c r="B16" s="388" t="s">
        <v>366</v>
      </c>
      <c r="C16" s="631"/>
      <c r="D16" s="628" t="s">
        <v>364</v>
      </c>
      <c r="E16" s="387"/>
      <c r="F16" s="386">
        <v>5535200</v>
      </c>
      <c r="G16" s="387">
        <f t="shared" si="0"/>
        <v>3690133.3333333335</v>
      </c>
      <c r="H16" s="387">
        <v>1845066.6666666667</v>
      </c>
      <c r="I16" s="387">
        <f t="shared" si="1"/>
        <v>5535200</v>
      </c>
      <c r="J16" s="1098">
        <v>5535</v>
      </c>
    </row>
    <row r="17" spans="1:10" ht="15.75">
      <c r="A17" s="1097" t="s">
        <v>367</v>
      </c>
      <c r="B17" s="388" t="s">
        <v>368</v>
      </c>
      <c r="C17" s="631"/>
      <c r="D17" s="628" t="s">
        <v>364</v>
      </c>
      <c r="E17" s="396"/>
      <c r="F17" s="386">
        <v>30179985</v>
      </c>
      <c r="G17" s="387">
        <f t="shared" si="0"/>
        <v>20119990</v>
      </c>
      <c r="H17" s="387">
        <v>10059995</v>
      </c>
      <c r="I17" s="387">
        <f t="shared" si="1"/>
        <v>30179985</v>
      </c>
      <c r="J17" s="1098">
        <v>30180</v>
      </c>
    </row>
    <row r="18" spans="1:10" ht="15.75">
      <c r="A18" s="1099" t="s">
        <v>357</v>
      </c>
      <c r="B18" s="389" t="s">
        <v>369</v>
      </c>
      <c r="C18" s="633"/>
      <c r="D18" s="628"/>
      <c r="E18" s="634"/>
      <c r="F18" s="390">
        <f>SUM(F14:F17)</f>
        <v>125741186</v>
      </c>
      <c r="G18" s="391">
        <f t="shared" si="0"/>
        <v>83827457.33333333</v>
      </c>
      <c r="H18" s="391">
        <v>41913728.666666664</v>
      </c>
      <c r="I18" s="391">
        <f t="shared" si="1"/>
        <v>125741186</v>
      </c>
      <c r="J18" s="1100">
        <f>SUM(J14:J17)</f>
        <v>125741</v>
      </c>
    </row>
    <row r="19" spans="1:10" ht="15.75">
      <c r="A19" s="1097"/>
      <c r="B19" s="392" t="s">
        <v>370</v>
      </c>
      <c r="C19" s="631"/>
      <c r="D19" s="628"/>
      <c r="E19" s="396"/>
      <c r="F19" s="393">
        <f>F12+F18</f>
        <v>397106186</v>
      </c>
      <c r="G19" s="394">
        <f t="shared" si="0"/>
        <v>264737457.33333334</v>
      </c>
      <c r="H19" s="394">
        <v>113239595.33333333</v>
      </c>
      <c r="I19" s="394">
        <f t="shared" si="1"/>
        <v>377977052.6666667</v>
      </c>
      <c r="J19" s="1101">
        <f>377977-22419</f>
        <v>355558</v>
      </c>
    </row>
    <row r="20" spans="1:10" ht="15.75">
      <c r="A20" s="1097"/>
      <c r="B20" s="392" t="s">
        <v>371</v>
      </c>
      <c r="C20" s="633">
        <v>53051297000</v>
      </c>
      <c r="D20" s="628"/>
      <c r="E20" s="635" t="s">
        <v>372</v>
      </c>
      <c r="F20" s="386">
        <f>C20*E20</f>
        <v>265256485</v>
      </c>
      <c r="G20" s="387">
        <f t="shared" si="0"/>
        <v>176837656.66666666</v>
      </c>
      <c r="H20" s="387">
        <v>88418828.33333333</v>
      </c>
      <c r="I20" s="387">
        <f t="shared" si="1"/>
        <v>265256485</v>
      </c>
      <c r="J20" s="1098">
        <v>265257</v>
      </c>
    </row>
    <row r="21" spans="1:10" ht="15.75" customHeight="1">
      <c r="A21" s="1099" t="s">
        <v>373</v>
      </c>
      <c r="B21" s="636" t="s">
        <v>374</v>
      </c>
      <c r="C21" s="397"/>
      <c r="D21" s="395"/>
      <c r="E21" s="396"/>
      <c r="F21" s="390">
        <f>F19-F20</f>
        <v>131849701</v>
      </c>
      <c r="G21" s="391">
        <f t="shared" si="0"/>
        <v>87899800.66666667</v>
      </c>
      <c r="H21" s="391">
        <v>24820767</v>
      </c>
      <c r="I21" s="391">
        <f t="shared" si="1"/>
        <v>112720567.66666667</v>
      </c>
      <c r="J21" s="1100">
        <f>J19-J20</f>
        <v>90301</v>
      </c>
    </row>
    <row r="22" spans="1:10" ht="15.75">
      <c r="A22" s="1099" t="s">
        <v>375</v>
      </c>
      <c r="B22" s="383" t="s">
        <v>377</v>
      </c>
      <c r="C22" s="394">
        <v>23767</v>
      </c>
      <c r="D22" s="395" t="s">
        <v>356</v>
      </c>
      <c r="E22" s="396">
        <v>2700</v>
      </c>
      <c r="F22" s="390">
        <f>C22*E22</f>
        <v>64170900</v>
      </c>
      <c r="G22" s="391">
        <f t="shared" si="0"/>
        <v>42780600</v>
      </c>
      <c r="H22" s="391">
        <v>21390300</v>
      </c>
      <c r="I22" s="391">
        <f t="shared" si="1"/>
        <v>64170900</v>
      </c>
      <c r="J22" s="1100">
        <v>64171</v>
      </c>
    </row>
    <row r="23" spans="1:10" ht="15" customHeight="1">
      <c r="A23" s="1104" t="s">
        <v>378</v>
      </c>
      <c r="B23" s="637" t="s">
        <v>380</v>
      </c>
      <c r="C23" s="638"/>
      <c r="D23" s="639"/>
      <c r="E23" s="640"/>
      <c r="F23" s="401">
        <f>F21+F22</f>
        <v>196020601</v>
      </c>
      <c r="G23" s="402">
        <f t="shared" si="0"/>
        <v>130680400.66666667</v>
      </c>
      <c r="H23" s="402">
        <v>46211067</v>
      </c>
      <c r="I23" s="402">
        <f t="shared" si="1"/>
        <v>176891467.6666667</v>
      </c>
      <c r="J23" s="1102">
        <f>SUM(J21:J22)</f>
        <v>154472</v>
      </c>
    </row>
    <row r="24" spans="1:10" ht="30" customHeight="1">
      <c r="A24" s="1099" t="s">
        <v>381</v>
      </c>
      <c r="B24" s="641" t="s">
        <v>382</v>
      </c>
      <c r="C24" s="642"/>
      <c r="D24" s="395"/>
      <c r="E24" s="396"/>
      <c r="F24" s="390"/>
      <c r="G24" s="391"/>
      <c r="H24" s="391"/>
      <c r="I24" s="391"/>
      <c r="J24" s="1100"/>
    </row>
    <row r="25" spans="1:10" ht="15.75" customHeight="1">
      <c r="A25" s="1099"/>
      <c r="B25" s="641" t="s">
        <v>383</v>
      </c>
      <c r="C25" s="642">
        <v>52</v>
      </c>
      <c r="D25" s="395" t="s">
        <v>356</v>
      </c>
      <c r="E25" s="396"/>
      <c r="F25" s="393">
        <v>98176000</v>
      </c>
      <c r="G25" s="394">
        <f>F25/12*8</f>
        <v>65450666.666666664</v>
      </c>
      <c r="H25" s="394">
        <v>32725333.333333332</v>
      </c>
      <c r="I25" s="394">
        <f>H25+G25</f>
        <v>98176000</v>
      </c>
      <c r="J25" s="1101">
        <f>98176-1888</f>
        <v>96288</v>
      </c>
    </row>
    <row r="26" spans="1:10" ht="15.75" customHeight="1">
      <c r="A26" s="1099"/>
      <c r="B26" s="641" t="s">
        <v>384</v>
      </c>
      <c r="C26" s="642">
        <v>54</v>
      </c>
      <c r="D26" s="395" t="s">
        <v>356</v>
      </c>
      <c r="E26" s="396"/>
      <c r="F26" s="393">
        <v>50976000</v>
      </c>
      <c r="G26" s="394">
        <f>F26/12*8</f>
        <v>33984000</v>
      </c>
      <c r="H26" s="394">
        <v>16992000</v>
      </c>
      <c r="I26" s="394">
        <f>H26+G26</f>
        <v>50976000</v>
      </c>
      <c r="J26" s="1101">
        <v>50976</v>
      </c>
    </row>
    <row r="27" spans="1:10" ht="15.75" customHeight="1">
      <c r="A27" s="1099"/>
      <c r="B27" s="641" t="s">
        <v>385</v>
      </c>
      <c r="C27" s="642">
        <v>24</v>
      </c>
      <c r="D27" s="395" t="s">
        <v>356</v>
      </c>
      <c r="E27" s="396"/>
      <c r="F27" s="393">
        <v>26112000</v>
      </c>
      <c r="G27" s="394">
        <f>F27/12*8</f>
        <v>17408000</v>
      </c>
      <c r="H27" s="394">
        <v>8704000</v>
      </c>
      <c r="I27" s="394">
        <f>H27+G27</f>
        <v>26112000</v>
      </c>
      <c r="J27" s="1101">
        <v>26112</v>
      </c>
    </row>
    <row r="28" spans="1:10" ht="15.75" customHeight="1">
      <c r="A28" s="1099"/>
      <c r="B28" s="641" t="s">
        <v>438</v>
      </c>
      <c r="C28" s="642">
        <v>35</v>
      </c>
      <c r="D28" s="395" t="s">
        <v>356</v>
      </c>
      <c r="E28" s="396"/>
      <c r="F28" s="393">
        <v>19040000</v>
      </c>
      <c r="G28" s="394">
        <f>F28/12*8</f>
        <v>12693333.333333334</v>
      </c>
      <c r="H28" s="394">
        <v>6346666.666666667</v>
      </c>
      <c r="I28" s="394">
        <f>H28+G28</f>
        <v>19040000</v>
      </c>
      <c r="J28" s="1101">
        <f>19040-3808</f>
        <v>15232</v>
      </c>
    </row>
    <row r="29" spans="1:10" ht="28.5" customHeight="1">
      <c r="A29" s="1104" t="s">
        <v>381</v>
      </c>
      <c r="B29" s="643" t="s">
        <v>439</v>
      </c>
      <c r="C29" s="642"/>
      <c r="D29" s="395"/>
      <c r="E29" s="396"/>
      <c r="F29" s="401">
        <f>SUM(F25:F28)</f>
        <v>194304000</v>
      </c>
      <c r="G29" s="402">
        <f>F29/12*8</f>
        <v>129536000</v>
      </c>
      <c r="H29" s="402">
        <v>64768000</v>
      </c>
      <c r="I29" s="402">
        <f>H29+G29</f>
        <v>194304000</v>
      </c>
      <c r="J29" s="1102">
        <f>SUM(J25:J28)</f>
        <v>188608</v>
      </c>
    </row>
    <row r="30" spans="1:10" ht="15.75">
      <c r="A30" s="1099" t="s">
        <v>440</v>
      </c>
      <c r="B30" s="383" t="s">
        <v>441</v>
      </c>
      <c r="C30" s="397"/>
      <c r="D30" s="395"/>
      <c r="E30" s="396"/>
      <c r="F30" s="390"/>
      <c r="G30" s="391"/>
      <c r="H30" s="391"/>
      <c r="I30" s="391"/>
      <c r="J30" s="1100"/>
    </row>
    <row r="31" spans="1:10" ht="15.75">
      <c r="A31" s="1099"/>
      <c r="B31" s="383" t="s">
        <v>448</v>
      </c>
      <c r="C31" s="397">
        <v>588</v>
      </c>
      <c r="D31" s="395" t="s">
        <v>356</v>
      </c>
      <c r="E31" s="396"/>
      <c r="F31" s="393">
        <v>21168000</v>
      </c>
      <c r="G31" s="394">
        <f>F31/12*8</f>
        <v>14112000</v>
      </c>
      <c r="H31" s="394">
        <v>7056000</v>
      </c>
      <c r="I31" s="394">
        <f>H31+G31</f>
        <v>21168000</v>
      </c>
      <c r="J31" s="1101">
        <f>21168-72</f>
        <v>21096</v>
      </c>
    </row>
    <row r="32" spans="1:10" ht="15.75">
      <c r="A32" s="1099"/>
      <c r="B32" s="383" t="s">
        <v>449</v>
      </c>
      <c r="C32" s="397">
        <v>593</v>
      </c>
      <c r="D32" s="395" t="s">
        <v>356</v>
      </c>
      <c r="E32" s="396"/>
      <c r="F32" s="393">
        <v>10674000</v>
      </c>
      <c r="G32" s="394">
        <f>F32/12*8</f>
        <v>7116000</v>
      </c>
      <c r="H32" s="394">
        <v>3558000</v>
      </c>
      <c r="I32" s="394">
        <f>H32+G32</f>
        <v>10674000</v>
      </c>
      <c r="J32" s="1101">
        <f>10674-36</f>
        <v>10638</v>
      </c>
    </row>
    <row r="33" spans="1:10" ht="15.75">
      <c r="A33" s="1104" t="s">
        <v>440</v>
      </c>
      <c r="B33" s="399" t="s">
        <v>450</v>
      </c>
      <c r="C33" s="397"/>
      <c r="D33" s="395"/>
      <c r="E33" s="396"/>
      <c r="F33" s="401">
        <f>SUM(F31:F32)</f>
        <v>31842000</v>
      </c>
      <c r="G33" s="402">
        <f>F33/12*8</f>
        <v>21228000</v>
      </c>
      <c r="H33" s="402">
        <v>10614000</v>
      </c>
      <c r="I33" s="402">
        <f>H33+G33</f>
        <v>31842000</v>
      </c>
      <c r="J33" s="1102">
        <f>SUM(J31:J32)</f>
        <v>31734</v>
      </c>
    </row>
    <row r="34" spans="1:10" ht="15.75">
      <c r="A34" s="1099" t="s">
        <v>451</v>
      </c>
      <c r="B34" s="389" t="s">
        <v>452</v>
      </c>
      <c r="C34" s="397"/>
      <c r="D34" s="395"/>
      <c r="E34" s="396"/>
      <c r="F34" s="390"/>
      <c r="G34" s="391"/>
      <c r="H34" s="391"/>
      <c r="I34" s="391"/>
      <c r="J34" s="1100"/>
    </row>
    <row r="35" spans="1:10" ht="29.25" customHeight="1">
      <c r="A35" s="1097" t="s">
        <v>453</v>
      </c>
      <c r="B35" s="641" t="s">
        <v>454</v>
      </c>
      <c r="C35" s="397">
        <v>12</v>
      </c>
      <c r="D35" s="395" t="s">
        <v>455</v>
      </c>
      <c r="E35" s="396">
        <v>102000</v>
      </c>
      <c r="F35" s="393">
        <f>C35*E35</f>
        <v>1224000</v>
      </c>
      <c r="G35" s="394">
        <f aca="true" t="shared" si="2" ref="G35:G40">F35/12*8</f>
        <v>816000</v>
      </c>
      <c r="H35" s="394">
        <v>408000</v>
      </c>
      <c r="I35" s="394">
        <f aca="true" t="shared" si="3" ref="I35:I40">H35+G35</f>
        <v>1224000</v>
      </c>
      <c r="J35" s="1101">
        <v>1224</v>
      </c>
    </row>
    <row r="36" spans="1:10" ht="15.75">
      <c r="A36" s="1097" t="s">
        <v>456</v>
      </c>
      <c r="B36" s="383" t="s">
        <v>457</v>
      </c>
      <c r="C36" s="644">
        <v>982</v>
      </c>
      <c r="D36" s="395" t="s">
        <v>455</v>
      </c>
      <c r="E36" s="396">
        <v>102000</v>
      </c>
      <c r="F36" s="393">
        <f>C36*E36</f>
        <v>100164000</v>
      </c>
      <c r="G36" s="394">
        <f t="shared" si="2"/>
        <v>66776000</v>
      </c>
      <c r="H36" s="394">
        <v>33388000</v>
      </c>
      <c r="I36" s="394">
        <f t="shared" si="3"/>
        <v>100164000</v>
      </c>
      <c r="J36" s="1101">
        <f>100164-7956</f>
        <v>92208</v>
      </c>
    </row>
    <row r="37" spans="1:10" ht="15.75">
      <c r="A37" s="1104" t="s">
        <v>451</v>
      </c>
      <c r="B37" s="399" t="s">
        <v>458</v>
      </c>
      <c r="C37" s="644"/>
      <c r="D37" s="395"/>
      <c r="E37" s="396"/>
      <c r="F37" s="393">
        <f>SUM(F35:F36)</f>
        <v>101388000</v>
      </c>
      <c r="G37" s="394">
        <f t="shared" si="2"/>
        <v>67592000</v>
      </c>
      <c r="H37" s="394">
        <v>33796000</v>
      </c>
      <c r="I37" s="394">
        <f t="shared" si="3"/>
        <v>101388000</v>
      </c>
      <c r="J37" s="1101">
        <f>SUM(J35:J36)</f>
        <v>93432</v>
      </c>
    </row>
    <row r="38" spans="1:10" ht="18" customHeight="1">
      <c r="A38" s="1104" t="s">
        <v>459</v>
      </c>
      <c r="B38" s="643" t="s">
        <v>460</v>
      </c>
      <c r="C38" s="397"/>
      <c r="D38" s="395"/>
      <c r="E38" s="396"/>
      <c r="F38" s="401">
        <f>F29+F33+F37</f>
        <v>327534000</v>
      </c>
      <c r="G38" s="402">
        <f t="shared" si="2"/>
        <v>218356000</v>
      </c>
      <c r="H38" s="402">
        <v>109178000</v>
      </c>
      <c r="I38" s="402">
        <f t="shared" si="3"/>
        <v>327534000</v>
      </c>
      <c r="J38" s="1102">
        <f>J29+J33+J37</f>
        <v>313774</v>
      </c>
    </row>
    <row r="39" spans="1:10" ht="18" customHeight="1">
      <c r="A39" s="1104" t="s">
        <v>465</v>
      </c>
      <c r="B39" s="643" t="s">
        <v>468</v>
      </c>
      <c r="C39" s="397"/>
      <c r="D39" s="395"/>
      <c r="E39" s="396"/>
      <c r="F39" s="401">
        <v>77059000</v>
      </c>
      <c r="G39" s="402">
        <f t="shared" si="2"/>
        <v>51372666.666666664</v>
      </c>
      <c r="H39" s="402">
        <v>25686333.333333332</v>
      </c>
      <c r="I39" s="402">
        <f t="shared" si="3"/>
        <v>77059000</v>
      </c>
      <c r="J39" s="1102">
        <v>77059</v>
      </c>
    </row>
    <row r="40" spans="1:10" ht="15.75" customHeight="1">
      <c r="A40" s="1104" t="s">
        <v>469</v>
      </c>
      <c r="B40" s="643" t="s">
        <v>470</v>
      </c>
      <c r="C40" s="397"/>
      <c r="D40" s="395"/>
      <c r="E40" s="396"/>
      <c r="F40" s="401">
        <v>39707272</v>
      </c>
      <c r="G40" s="402">
        <f t="shared" si="2"/>
        <v>26471514.666666668</v>
      </c>
      <c r="H40" s="402">
        <v>13235757.333333334</v>
      </c>
      <c r="I40" s="402">
        <f t="shared" si="3"/>
        <v>39707272</v>
      </c>
      <c r="J40" s="1102">
        <v>39707</v>
      </c>
    </row>
    <row r="41" spans="1:10" ht="15.75">
      <c r="A41" s="1105" t="s">
        <v>471</v>
      </c>
      <c r="B41" s="392" t="s">
        <v>474</v>
      </c>
      <c r="C41" s="397"/>
      <c r="D41" s="395"/>
      <c r="E41" s="396"/>
      <c r="F41" s="393"/>
      <c r="G41" s="394"/>
      <c r="H41" s="394"/>
      <c r="I41" s="394"/>
      <c r="J41" s="1101"/>
    </row>
    <row r="42" spans="1:10" ht="15.75">
      <c r="A42" s="1105" t="s">
        <v>475</v>
      </c>
      <c r="B42" s="383" t="s">
        <v>476</v>
      </c>
      <c r="C42" s="645">
        <v>7.8602</v>
      </c>
      <c r="D42" s="395" t="s">
        <v>356</v>
      </c>
      <c r="E42" s="396">
        <v>3950000</v>
      </c>
      <c r="F42" s="393">
        <f>C42*3950000</f>
        <v>31047790</v>
      </c>
      <c r="G42" s="394">
        <f aca="true" t="shared" si="4" ref="G42:G54">F42/12*8</f>
        <v>20698526.666666668</v>
      </c>
      <c r="H42" s="394">
        <v>10349263.333333334</v>
      </c>
      <c r="I42" s="394">
        <f aca="true" t="shared" si="5" ref="I42:I49">H42+G42</f>
        <v>31047790</v>
      </c>
      <c r="J42" s="1101">
        <v>31048</v>
      </c>
    </row>
    <row r="43" spans="1:10" ht="15.75">
      <c r="A43" s="1105" t="s">
        <v>477</v>
      </c>
      <c r="B43" s="383" t="s">
        <v>511</v>
      </c>
      <c r="C43" s="645" t="s">
        <v>478</v>
      </c>
      <c r="D43" s="395" t="s">
        <v>356</v>
      </c>
      <c r="E43" s="396">
        <v>300</v>
      </c>
      <c r="F43" s="393">
        <f>2*39301*300</f>
        <v>23580600</v>
      </c>
      <c r="G43" s="394">
        <f t="shared" si="4"/>
        <v>15720400</v>
      </c>
      <c r="H43" s="394">
        <v>7860200</v>
      </c>
      <c r="I43" s="394">
        <f t="shared" si="5"/>
        <v>23580600</v>
      </c>
      <c r="J43" s="1101">
        <v>23580</v>
      </c>
    </row>
    <row r="44" spans="1:10" ht="15.75">
      <c r="A44" s="1099" t="s">
        <v>479</v>
      </c>
      <c r="B44" s="383" t="s">
        <v>480</v>
      </c>
      <c r="C44" s="645"/>
      <c r="D44" s="395"/>
      <c r="E44" s="396"/>
      <c r="F44" s="390">
        <f>SUM(F42:F43)</f>
        <v>54628390</v>
      </c>
      <c r="G44" s="391">
        <f t="shared" si="4"/>
        <v>36418926.666666664</v>
      </c>
      <c r="H44" s="391">
        <v>18209463.333333332</v>
      </c>
      <c r="I44" s="391">
        <f t="shared" si="5"/>
        <v>54628390</v>
      </c>
      <c r="J44" s="1100">
        <f>SUM(J42:J43)</f>
        <v>54628</v>
      </c>
    </row>
    <row r="45" spans="1:10" ht="15.75">
      <c r="A45" s="1099" t="s">
        <v>481</v>
      </c>
      <c r="B45" s="383" t="s">
        <v>482</v>
      </c>
      <c r="C45" s="397">
        <v>100</v>
      </c>
      <c r="D45" s="395" t="s">
        <v>356</v>
      </c>
      <c r="E45" s="396">
        <v>55360</v>
      </c>
      <c r="F45" s="390">
        <f>C45*E45</f>
        <v>5536000</v>
      </c>
      <c r="G45" s="391">
        <f t="shared" si="4"/>
        <v>3690666.6666666665</v>
      </c>
      <c r="H45" s="391">
        <v>1845333.3333333333</v>
      </c>
      <c r="I45" s="391">
        <f t="shared" si="5"/>
        <v>5536000</v>
      </c>
      <c r="J45" s="1100">
        <v>5536</v>
      </c>
    </row>
    <row r="46" spans="1:10" ht="29.25" customHeight="1">
      <c r="A46" s="1099" t="s">
        <v>483</v>
      </c>
      <c r="B46" s="641" t="s">
        <v>484</v>
      </c>
      <c r="C46" s="397">
        <v>18</v>
      </c>
      <c r="D46" s="395" t="s">
        <v>356</v>
      </c>
      <c r="E46" s="396">
        <v>145000</v>
      </c>
      <c r="F46" s="390">
        <f>C46*(E46*130%)</f>
        <v>3393000</v>
      </c>
      <c r="G46" s="391">
        <f t="shared" si="4"/>
        <v>2262000</v>
      </c>
      <c r="H46" s="391">
        <v>1131000</v>
      </c>
      <c r="I46" s="391">
        <f t="shared" si="5"/>
        <v>3393000</v>
      </c>
      <c r="J46" s="1100">
        <v>3393</v>
      </c>
    </row>
    <row r="47" spans="1:10" ht="31.5">
      <c r="A47" s="1099" t="s">
        <v>485</v>
      </c>
      <c r="B47" s="641" t="s">
        <v>486</v>
      </c>
      <c r="C47" s="397">
        <v>65</v>
      </c>
      <c r="D47" s="395" t="s">
        <v>356</v>
      </c>
      <c r="E47" s="396">
        <v>109000</v>
      </c>
      <c r="F47" s="390">
        <f>C47*(E47*150%)</f>
        <v>10627500</v>
      </c>
      <c r="G47" s="391">
        <f t="shared" si="4"/>
        <v>7085000</v>
      </c>
      <c r="H47" s="391">
        <v>3542500</v>
      </c>
      <c r="I47" s="391">
        <f t="shared" si="5"/>
        <v>10627500</v>
      </c>
      <c r="J47" s="1100">
        <v>10628</v>
      </c>
    </row>
    <row r="48" spans="1:10" ht="31.5">
      <c r="A48" s="1099" t="s">
        <v>487</v>
      </c>
      <c r="B48" s="641" t="s">
        <v>488</v>
      </c>
      <c r="C48" s="397">
        <v>25</v>
      </c>
      <c r="D48" s="395" t="s">
        <v>356</v>
      </c>
      <c r="E48" s="396">
        <v>500000</v>
      </c>
      <c r="F48" s="390">
        <f>C48*(E48*110%)</f>
        <v>13750000</v>
      </c>
      <c r="G48" s="391">
        <f t="shared" si="4"/>
        <v>9166666.666666666</v>
      </c>
      <c r="H48" s="391">
        <v>4583333.333333333</v>
      </c>
      <c r="I48" s="391">
        <f t="shared" si="5"/>
        <v>13750000</v>
      </c>
      <c r="J48" s="1100">
        <f>13750+550</f>
        <v>14300</v>
      </c>
    </row>
    <row r="49" spans="1:10" ht="31.5">
      <c r="A49" s="1099" t="s">
        <v>489</v>
      </c>
      <c r="B49" s="641" t="s">
        <v>490</v>
      </c>
      <c r="C49" s="397">
        <v>36</v>
      </c>
      <c r="D49" s="395" t="s">
        <v>356</v>
      </c>
      <c r="E49" s="396">
        <v>206100</v>
      </c>
      <c r="F49" s="390">
        <f>C49*(E49*120%)</f>
        <v>8903520</v>
      </c>
      <c r="G49" s="391">
        <f t="shared" si="4"/>
        <v>5935680</v>
      </c>
      <c r="H49" s="391">
        <v>2967840</v>
      </c>
      <c r="I49" s="391">
        <f t="shared" si="5"/>
        <v>8903520</v>
      </c>
      <c r="J49" s="1100">
        <v>8904</v>
      </c>
    </row>
    <row r="50" spans="1:10" ht="15.75">
      <c r="A50" s="1104" t="s">
        <v>491</v>
      </c>
      <c r="B50" s="399" t="s">
        <v>492</v>
      </c>
      <c r="C50" s="400"/>
      <c r="D50" s="395"/>
      <c r="E50" s="396"/>
      <c r="F50" s="401"/>
      <c r="G50" s="402">
        <f t="shared" si="4"/>
        <v>0</v>
      </c>
      <c r="H50" s="402">
        <v>0</v>
      </c>
      <c r="I50" s="402"/>
      <c r="J50" s="1102"/>
    </row>
    <row r="51" spans="1:10" ht="15.75">
      <c r="A51" s="1097" t="s">
        <v>493</v>
      </c>
      <c r="B51" s="392" t="s">
        <v>266</v>
      </c>
      <c r="C51" s="397">
        <v>58</v>
      </c>
      <c r="D51" s="395" t="s">
        <v>356</v>
      </c>
      <c r="E51" s="396">
        <v>494100</v>
      </c>
      <c r="F51" s="390">
        <f>C51*E51</f>
        <v>28657800</v>
      </c>
      <c r="G51" s="391">
        <f t="shared" si="4"/>
        <v>19105200</v>
      </c>
      <c r="H51" s="391">
        <v>9552600</v>
      </c>
      <c r="I51" s="391">
        <f>H51+G51</f>
        <v>28657800</v>
      </c>
      <c r="J51" s="1100">
        <v>28658</v>
      </c>
    </row>
    <row r="52" spans="1:10" ht="31.5">
      <c r="A52" s="1099" t="s">
        <v>494</v>
      </c>
      <c r="B52" s="641" t="s">
        <v>495</v>
      </c>
      <c r="C52" s="397">
        <v>40</v>
      </c>
      <c r="D52" s="395" t="s">
        <v>496</v>
      </c>
      <c r="E52" s="396">
        <v>468350</v>
      </c>
      <c r="F52" s="390">
        <f>C52*(E52*110%)</f>
        <v>20607400.000000004</v>
      </c>
      <c r="G52" s="391">
        <f t="shared" si="4"/>
        <v>13738266.66666667</v>
      </c>
      <c r="H52" s="391">
        <v>6869133.333333335</v>
      </c>
      <c r="I52" s="391">
        <f>H52+G52</f>
        <v>20607400.000000004</v>
      </c>
      <c r="J52" s="1100">
        <v>20607</v>
      </c>
    </row>
    <row r="53" spans="1:10" ht="15.75">
      <c r="A53" s="1104" t="s">
        <v>471</v>
      </c>
      <c r="B53" s="399" t="s">
        <v>497</v>
      </c>
      <c r="C53" s="397"/>
      <c r="D53" s="395"/>
      <c r="E53" s="396"/>
      <c r="F53" s="401">
        <f>SUM(F44:F52)</f>
        <v>146103610</v>
      </c>
      <c r="G53" s="402">
        <f t="shared" si="4"/>
        <v>97402406.66666667</v>
      </c>
      <c r="H53" s="402">
        <v>48701203.333333336</v>
      </c>
      <c r="I53" s="402">
        <f>H53+G53</f>
        <v>146103610</v>
      </c>
      <c r="J53" s="1102">
        <f>SUM(J44:J52)</f>
        <v>146654</v>
      </c>
    </row>
    <row r="54" spans="1:10" ht="30.75" customHeight="1">
      <c r="A54" s="1106" t="s">
        <v>498</v>
      </c>
      <c r="B54" s="643" t="s">
        <v>499</v>
      </c>
      <c r="C54" s="397"/>
      <c r="D54" s="395"/>
      <c r="E54" s="396"/>
      <c r="F54" s="401">
        <f>F40+F53</f>
        <v>185810882</v>
      </c>
      <c r="G54" s="402">
        <f t="shared" si="4"/>
        <v>123873921.33333333</v>
      </c>
      <c r="H54" s="402">
        <v>61936960.666666664</v>
      </c>
      <c r="I54" s="402">
        <f>H54+G54</f>
        <v>185810882</v>
      </c>
      <c r="J54" s="1102">
        <f>J40+J53</f>
        <v>186361</v>
      </c>
    </row>
    <row r="55" spans="1:10" ht="15.75" customHeight="1">
      <c r="A55" s="1104" t="s">
        <v>500</v>
      </c>
      <c r="B55" s="646" t="s">
        <v>501</v>
      </c>
      <c r="C55" s="397"/>
      <c r="D55" s="395"/>
      <c r="E55" s="396"/>
      <c r="F55" s="401"/>
      <c r="G55" s="402"/>
      <c r="H55" s="402"/>
      <c r="I55" s="402"/>
      <c r="J55" s="1102"/>
    </row>
    <row r="56" spans="1:10" ht="15.75" customHeight="1">
      <c r="A56" s="1099" t="s">
        <v>502</v>
      </c>
      <c r="B56" s="641" t="s">
        <v>503</v>
      </c>
      <c r="C56" s="397"/>
      <c r="D56" s="395"/>
      <c r="E56" s="396"/>
      <c r="F56" s="390">
        <v>76000000</v>
      </c>
      <c r="G56" s="391">
        <f>F56/12*8</f>
        <v>50666666.666666664</v>
      </c>
      <c r="H56" s="391">
        <v>25333333.333333332</v>
      </c>
      <c r="I56" s="391">
        <f>H56+G56</f>
        <v>76000000</v>
      </c>
      <c r="J56" s="1100">
        <v>76000</v>
      </c>
    </row>
    <row r="57" spans="1:10" ht="15.75">
      <c r="A57" s="1099" t="s">
        <v>504</v>
      </c>
      <c r="B57" s="383" t="s">
        <v>505</v>
      </c>
      <c r="C57" s="397">
        <v>23767</v>
      </c>
      <c r="D57" s="395" t="s">
        <v>356</v>
      </c>
      <c r="E57" s="396">
        <v>1140</v>
      </c>
      <c r="F57" s="390">
        <f>C57*E57</f>
        <v>27094380</v>
      </c>
      <c r="G57" s="391">
        <f>F57/12*8</f>
        <v>18062920</v>
      </c>
      <c r="H57" s="391">
        <v>9031460</v>
      </c>
      <c r="I57" s="391">
        <f>H57+G57</f>
        <v>27094380</v>
      </c>
      <c r="J57" s="1100">
        <v>27094</v>
      </c>
    </row>
    <row r="58" spans="1:10" ht="30" customHeight="1">
      <c r="A58" s="1106" t="s">
        <v>506</v>
      </c>
      <c r="B58" s="399" t="s">
        <v>467</v>
      </c>
      <c r="C58" s="400"/>
      <c r="D58" s="647"/>
      <c r="E58" s="648"/>
      <c r="F58" s="649">
        <f>SUM(F56:F57)</f>
        <v>103094380</v>
      </c>
      <c r="G58" s="650">
        <f>F58/12*8</f>
        <v>68729586.66666667</v>
      </c>
      <c r="H58" s="402">
        <v>34364793.333333336</v>
      </c>
      <c r="I58" s="402">
        <f>H58+G58</f>
        <v>103094380</v>
      </c>
      <c r="J58" s="1102">
        <f>SUM(J56:J57)</f>
        <v>103094</v>
      </c>
    </row>
    <row r="59" spans="1:10" ht="30" customHeight="1">
      <c r="A59" s="1106" t="s">
        <v>273</v>
      </c>
      <c r="B59" s="399" t="s">
        <v>293</v>
      </c>
      <c r="C59" s="393"/>
      <c r="D59" s="395"/>
      <c r="E59" s="651"/>
      <c r="F59" s="649"/>
      <c r="G59" s="650"/>
      <c r="H59" s="402"/>
      <c r="I59" s="402"/>
      <c r="J59" s="1102">
        <f>76866+2511</f>
        <v>79377</v>
      </c>
    </row>
    <row r="60" spans="1:10" s="652" customFormat="1" ht="27.75" customHeight="1" thickBot="1">
      <c r="A60" s="1107"/>
      <c r="B60" s="1108" t="s">
        <v>507</v>
      </c>
      <c r="C60" s="1109"/>
      <c r="D60" s="1114"/>
      <c r="E60" s="1115"/>
      <c r="F60" s="1116">
        <f>F23+F38+F39+F54+F58+F59</f>
        <v>889518863</v>
      </c>
      <c r="G60" s="1117">
        <f>F60/12*8</f>
        <v>593012575.3333334</v>
      </c>
      <c r="H60" s="1117">
        <v>285126487.6666667</v>
      </c>
      <c r="I60" s="1117">
        <f>H60+G60</f>
        <v>878139063</v>
      </c>
      <c r="J60" s="1118">
        <f>J23+J38+J39+J54+J58+J59</f>
        <v>914137</v>
      </c>
    </row>
    <row r="61" spans="1:7" s="659" customFormat="1" ht="16.5" thickTop="1">
      <c r="A61" s="653"/>
      <c r="B61" s="654"/>
      <c r="C61" s="653"/>
      <c r="D61" s="655"/>
      <c r="E61" s="656"/>
      <c r="F61" s="657"/>
      <c r="G61" s="658"/>
    </row>
    <row r="62" spans="2:3" ht="15.75">
      <c r="B62" s="660"/>
      <c r="C62" s="661"/>
    </row>
    <row r="63" spans="2:3" ht="15.75">
      <c r="B63" s="665"/>
      <c r="C63" s="666"/>
    </row>
    <row r="64" spans="2:3" ht="15.75">
      <c r="B64" s="667"/>
      <c r="C64" s="668"/>
    </row>
    <row r="73" ht="15.75">
      <c r="E73" s="1119"/>
    </row>
    <row r="74" ht="15.75">
      <c r="E74" s="1119"/>
    </row>
    <row r="75" ht="15.75">
      <c r="E75" s="1119"/>
    </row>
    <row r="76" ht="15.75">
      <c r="E76" s="1119"/>
    </row>
    <row r="77" ht="15.75">
      <c r="E77" s="1119"/>
    </row>
  </sheetData>
  <mergeCells count="11">
    <mergeCell ref="I9:I10"/>
    <mergeCell ref="J9:J10"/>
    <mergeCell ref="C10:D10"/>
    <mergeCell ref="A4:J4"/>
    <mergeCell ref="A5:J5"/>
    <mergeCell ref="A6:J6"/>
    <mergeCell ref="A9:A10"/>
    <mergeCell ref="B9:B10"/>
    <mergeCell ref="C9:F9"/>
    <mergeCell ref="G9:G10"/>
    <mergeCell ref="H9:H10"/>
  </mergeCells>
  <printOptions horizontalCentered="1"/>
  <pageMargins left="0.31496062992125984" right="0.2362204724409449" top="0.4724409448818898" bottom="0.35433070866141736" header="0.1968503937007874" footer="0.2362204724409449"/>
  <pageSetup horizontalDpi="600" verticalDpi="600" orientation="portrait" paperSize="9" scale="70" r:id="rId1"/>
  <headerFooter alignWithMargins="0">
    <oddHeader>&amp;L15. melléklet a 24/2013.(IX.13.) rendelethez
"17. melléklet az 1/2013.(II.01.) önkormányzati rendelethez"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2"/>
  <sheetViews>
    <sheetView view="pageBreakPreview" zoomScaleSheetLayoutView="100" workbookViewId="0" topLeftCell="A37">
      <selection activeCell="D17" sqref="D17"/>
    </sheetView>
  </sheetViews>
  <sheetFormatPr defaultColWidth="9.00390625" defaultRowHeight="12.75"/>
  <cols>
    <col min="1" max="1" width="55.25390625" style="83" customWidth="1"/>
    <col min="2" max="2" width="11.75390625" style="83" customWidth="1"/>
    <col min="3" max="4" width="14.25390625" style="83" customWidth="1"/>
    <col min="5" max="5" width="57.75390625" style="83" customWidth="1"/>
    <col min="6" max="6" width="11.75390625" style="83" customWidth="1"/>
    <col min="7" max="7" width="14.25390625" style="83" customWidth="1"/>
    <col min="8" max="8" width="13.00390625" style="83" customWidth="1"/>
    <col min="9" max="16384" width="9.125" style="83" customWidth="1"/>
  </cols>
  <sheetData>
    <row r="1" spans="1:8" s="84" customFormat="1" ht="15" customHeight="1">
      <c r="A1" s="1164" t="s">
        <v>655</v>
      </c>
      <c r="B1" s="1164"/>
      <c r="C1" s="1164"/>
      <c r="D1" s="1164"/>
      <c r="E1" s="1164"/>
      <c r="F1" s="1164"/>
      <c r="G1" s="1164"/>
      <c r="H1" s="1164"/>
    </row>
    <row r="2" spans="1:5" ht="15.75" thickBot="1">
      <c r="A2" s="85"/>
      <c r="B2" s="85"/>
      <c r="C2" s="85"/>
      <c r="D2" s="85"/>
      <c r="E2" s="85"/>
    </row>
    <row r="3" spans="1:8" ht="14.25">
      <c r="A3" s="1165" t="s">
        <v>618</v>
      </c>
      <c r="B3" s="1166"/>
      <c r="C3" s="1166"/>
      <c r="D3" s="1167"/>
      <c r="E3" s="1165" t="s">
        <v>619</v>
      </c>
      <c r="F3" s="1166"/>
      <c r="G3" s="1166"/>
      <c r="H3" s="1167"/>
    </row>
    <row r="4" spans="1:8" ht="15" thickBot="1">
      <c r="A4" s="86"/>
      <c r="B4" s="87" t="s">
        <v>521</v>
      </c>
      <c r="C4" s="765" t="s">
        <v>472</v>
      </c>
      <c r="D4" s="759" t="s">
        <v>549</v>
      </c>
      <c r="E4" s="86"/>
      <c r="F4" s="87" t="s">
        <v>521</v>
      </c>
      <c r="G4" s="765" t="s">
        <v>472</v>
      </c>
      <c r="H4" s="759" t="s">
        <v>549</v>
      </c>
    </row>
    <row r="5" spans="1:8" ht="15">
      <c r="A5" s="89" t="s">
        <v>524</v>
      </c>
      <c r="B5" s="90">
        <v>1000</v>
      </c>
      <c r="C5" s="682">
        <v>1000</v>
      </c>
      <c r="D5" s="677">
        <v>296</v>
      </c>
      <c r="E5" s="686" t="s">
        <v>656</v>
      </c>
      <c r="F5" s="90">
        <v>837643</v>
      </c>
      <c r="G5" s="682">
        <v>901999</v>
      </c>
      <c r="H5" s="677">
        <v>863093</v>
      </c>
    </row>
    <row r="6" spans="1:8" ht="15">
      <c r="A6" s="91" t="s">
        <v>657</v>
      </c>
      <c r="B6" s="92">
        <v>268721</v>
      </c>
      <c r="C6" s="545">
        <v>285204</v>
      </c>
      <c r="D6" s="678">
        <v>330525</v>
      </c>
      <c r="E6" s="687" t="s">
        <v>658</v>
      </c>
      <c r="F6" s="94">
        <v>222964</v>
      </c>
      <c r="G6" s="545">
        <v>240471</v>
      </c>
      <c r="H6" s="678">
        <v>230083</v>
      </c>
    </row>
    <row r="7" spans="1:8" ht="15">
      <c r="A7" s="95" t="s">
        <v>529</v>
      </c>
      <c r="B7" s="94">
        <v>1645016</v>
      </c>
      <c r="C7" s="545">
        <v>1645016</v>
      </c>
      <c r="D7" s="678">
        <v>1645124</v>
      </c>
      <c r="E7" s="688" t="s">
        <v>659</v>
      </c>
      <c r="F7" s="94">
        <f>1242901+5000</f>
        <v>1247901</v>
      </c>
      <c r="G7" s="545">
        <v>1364942</v>
      </c>
      <c r="H7" s="678">
        <v>1339189</v>
      </c>
    </row>
    <row r="8" spans="1:8" ht="15">
      <c r="A8" s="95" t="s">
        <v>660</v>
      </c>
      <c r="B8" s="94">
        <v>855379</v>
      </c>
      <c r="C8" s="545">
        <v>979552</v>
      </c>
      <c r="D8" s="678">
        <v>966062</v>
      </c>
      <c r="E8" s="687" t="s">
        <v>661</v>
      </c>
      <c r="F8" s="94">
        <v>420631</v>
      </c>
      <c r="G8" s="545">
        <v>513314</v>
      </c>
      <c r="H8" s="678">
        <v>616463</v>
      </c>
    </row>
    <row r="9" spans="1:8" ht="15">
      <c r="A9" s="95" t="s">
        <v>547</v>
      </c>
      <c r="B9" s="94">
        <v>105021</v>
      </c>
      <c r="C9" s="545">
        <v>123209</v>
      </c>
      <c r="D9" s="678">
        <v>148048</v>
      </c>
      <c r="E9" s="687" t="s">
        <v>662</v>
      </c>
      <c r="F9" s="94">
        <v>155714</v>
      </c>
      <c r="G9" s="545">
        <v>161429</v>
      </c>
      <c r="H9" s="678">
        <v>163929</v>
      </c>
    </row>
    <row r="10" spans="1:8" ht="15">
      <c r="A10" s="95" t="s">
        <v>663</v>
      </c>
      <c r="B10" s="94">
        <f>SUM(B11:B15)</f>
        <v>105257</v>
      </c>
      <c r="C10" s="545">
        <f>SUM(C11:C15)</f>
        <v>146197</v>
      </c>
      <c r="D10" s="678">
        <f>SUM(D11:D15)</f>
        <v>169197</v>
      </c>
      <c r="E10" s="687" t="s">
        <v>593</v>
      </c>
      <c r="F10" s="94">
        <v>13000</v>
      </c>
      <c r="G10" s="545">
        <v>10110</v>
      </c>
      <c r="H10" s="678">
        <v>5584</v>
      </c>
    </row>
    <row r="11" spans="1:8" ht="15">
      <c r="A11" s="97" t="s">
        <v>664</v>
      </c>
      <c r="B11" s="98">
        <v>20241</v>
      </c>
      <c r="C11" s="544">
        <v>61181</v>
      </c>
      <c r="D11" s="679">
        <v>61181</v>
      </c>
      <c r="E11" s="689" t="s">
        <v>594</v>
      </c>
      <c r="F11" s="94">
        <v>100000</v>
      </c>
      <c r="G11" s="545">
        <v>67913</v>
      </c>
      <c r="H11" s="678">
        <v>56853</v>
      </c>
    </row>
    <row r="12" spans="1:8" ht="15">
      <c r="A12" s="97" t="s">
        <v>665</v>
      </c>
      <c r="B12" s="98">
        <v>7000</v>
      </c>
      <c r="C12" s="544">
        <v>7000</v>
      </c>
      <c r="D12" s="679">
        <v>0</v>
      </c>
      <c r="E12" s="689" t="s">
        <v>595</v>
      </c>
      <c r="F12" s="94">
        <f>SUM(F13:F16)</f>
        <v>46632</v>
      </c>
      <c r="G12" s="545">
        <f>SUM(G13:G16)</f>
        <v>42921</v>
      </c>
      <c r="H12" s="678">
        <f>SUM(H13:H18)</f>
        <v>87318</v>
      </c>
    </row>
    <row r="13" spans="1:8" ht="15.75">
      <c r="A13" s="97" t="s">
        <v>666</v>
      </c>
      <c r="B13" s="98">
        <v>1200</v>
      </c>
      <c r="C13" s="544">
        <v>1200</v>
      </c>
      <c r="D13" s="679">
        <v>1200</v>
      </c>
      <c r="E13" s="690" t="s">
        <v>667</v>
      </c>
      <c r="F13" s="99">
        <v>5000</v>
      </c>
      <c r="G13" s="545">
        <v>5000</v>
      </c>
      <c r="H13" s="678">
        <v>3000</v>
      </c>
    </row>
    <row r="14" spans="1:8" ht="15.75">
      <c r="A14" s="97" t="s">
        <v>668</v>
      </c>
      <c r="B14" s="98">
        <f>36200+38616</f>
        <v>74816</v>
      </c>
      <c r="C14" s="544">
        <v>74816</v>
      </c>
      <c r="D14" s="679">
        <v>104816</v>
      </c>
      <c r="E14" s="690" t="s">
        <v>669</v>
      </c>
      <c r="F14" s="99">
        <v>32632</v>
      </c>
      <c r="G14" s="545">
        <v>20632</v>
      </c>
      <c r="H14" s="678">
        <v>632</v>
      </c>
    </row>
    <row r="15" spans="1:8" ht="15.75">
      <c r="A15" s="97" t="s">
        <v>670</v>
      </c>
      <c r="B15" s="98">
        <v>2000</v>
      </c>
      <c r="C15" s="544">
        <v>2000</v>
      </c>
      <c r="D15" s="679">
        <v>2000</v>
      </c>
      <c r="E15" s="690" t="s">
        <v>671</v>
      </c>
      <c r="F15" s="99">
        <v>9000</v>
      </c>
      <c r="G15" s="545">
        <v>9000</v>
      </c>
      <c r="H15" s="678">
        <v>9000</v>
      </c>
    </row>
    <row r="16" spans="1:8" ht="15.75">
      <c r="A16" s="100" t="s">
        <v>574</v>
      </c>
      <c r="B16" s="101">
        <v>1507660</v>
      </c>
      <c r="C16" s="685">
        <v>1577721</v>
      </c>
      <c r="D16" s="760">
        <v>1486358</v>
      </c>
      <c r="E16" s="690" t="s">
        <v>164</v>
      </c>
      <c r="F16" s="99"/>
      <c r="G16" s="545">
        <v>8289</v>
      </c>
      <c r="H16" s="678">
        <v>8289</v>
      </c>
    </row>
    <row r="17" spans="1:8" ht="31.5">
      <c r="A17" s="100"/>
      <c r="B17" s="101"/>
      <c r="C17" s="685"/>
      <c r="D17" s="760"/>
      <c r="E17" s="1059" t="s">
        <v>0</v>
      </c>
      <c r="F17" s="99"/>
      <c r="G17" s="545"/>
      <c r="H17" s="678">
        <v>40000</v>
      </c>
    </row>
    <row r="18" spans="1:8" ht="31.5">
      <c r="A18" s="100"/>
      <c r="B18" s="101"/>
      <c r="C18" s="685"/>
      <c r="D18" s="760"/>
      <c r="E18" s="1059" t="s">
        <v>1</v>
      </c>
      <c r="F18" s="99"/>
      <c r="G18" s="545"/>
      <c r="H18" s="678">
        <v>26397</v>
      </c>
    </row>
    <row r="19" spans="1:8" ht="15">
      <c r="A19" s="95" t="s">
        <v>400</v>
      </c>
      <c r="B19" s="98"/>
      <c r="C19" s="545">
        <v>47464</v>
      </c>
      <c r="D19" s="678">
        <v>47464</v>
      </c>
      <c r="E19" s="691" t="s">
        <v>672</v>
      </c>
      <c r="F19" s="94">
        <f>SUM(F20:F20)</f>
        <v>25000</v>
      </c>
      <c r="G19" s="545">
        <f>SUM(G20:G20)</f>
        <v>25000</v>
      </c>
      <c r="H19" s="678">
        <f>SUM(H20:H20)</f>
        <v>25000</v>
      </c>
    </row>
    <row r="20" spans="1:8" ht="15">
      <c r="A20" s="95"/>
      <c r="B20" s="98"/>
      <c r="C20" s="545"/>
      <c r="D20" s="678"/>
      <c r="E20" s="692" t="s">
        <v>673</v>
      </c>
      <c r="F20" s="98">
        <v>25000</v>
      </c>
      <c r="G20" s="545">
        <v>25000</v>
      </c>
      <c r="H20" s="678">
        <v>25000</v>
      </c>
    </row>
    <row r="21" spans="1:8" ht="15">
      <c r="A21" s="97"/>
      <c r="B21" s="98"/>
      <c r="C21" s="544"/>
      <c r="D21" s="679"/>
      <c r="E21" s="687" t="s">
        <v>674</v>
      </c>
      <c r="F21" s="94">
        <f>SUM(F23:F24)</f>
        <v>4800</v>
      </c>
      <c r="G21" s="545">
        <f>SUM(G23:G24)</f>
        <v>12108</v>
      </c>
      <c r="H21" s="678">
        <f>SUM(H22:H24)</f>
        <v>42108</v>
      </c>
    </row>
    <row r="22" spans="1:8" ht="15">
      <c r="A22" s="97"/>
      <c r="B22" s="98"/>
      <c r="C22" s="544"/>
      <c r="D22" s="679"/>
      <c r="E22" s="1058" t="s">
        <v>866</v>
      </c>
      <c r="F22" s="94"/>
      <c r="G22" s="545"/>
      <c r="H22" s="678">
        <v>30000</v>
      </c>
    </row>
    <row r="23" spans="1:8" ht="15">
      <c r="A23" s="100"/>
      <c r="B23" s="101"/>
      <c r="C23" s="685"/>
      <c r="D23" s="760"/>
      <c r="E23" s="693" t="s">
        <v>664</v>
      </c>
      <c r="F23" s="98">
        <v>2800</v>
      </c>
      <c r="G23" s="545">
        <v>10108</v>
      </c>
      <c r="H23" s="678">
        <v>10108</v>
      </c>
    </row>
    <row r="24" spans="1:8" ht="15">
      <c r="A24" s="95"/>
      <c r="B24" s="98"/>
      <c r="C24" s="544"/>
      <c r="D24" s="679"/>
      <c r="E24" s="694" t="s">
        <v>675</v>
      </c>
      <c r="F24" s="102">
        <v>2000</v>
      </c>
      <c r="G24" s="545">
        <v>2000</v>
      </c>
      <c r="H24" s="678">
        <v>2000</v>
      </c>
    </row>
    <row r="25" spans="1:8" ht="15">
      <c r="A25" s="95"/>
      <c r="B25" s="697"/>
      <c r="C25" s="544"/>
      <c r="D25" s="679"/>
      <c r="E25" s="100" t="s">
        <v>133</v>
      </c>
      <c r="F25" s="771">
        <v>1507660</v>
      </c>
      <c r="G25" s="545">
        <v>1577721</v>
      </c>
      <c r="H25" s="678">
        <v>1486358</v>
      </c>
    </row>
    <row r="26" spans="1:8" ht="15.75" thickBot="1">
      <c r="A26" s="103"/>
      <c r="B26" s="104"/>
      <c r="C26" s="766"/>
      <c r="D26" s="761"/>
      <c r="E26" s="695" t="s">
        <v>165</v>
      </c>
      <c r="F26" s="673"/>
      <c r="G26" s="674">
        <v>17778</v>
      </c>
      <c r="H26" s="772">
        <v>17778</v>
      </c>
    </row>
    <row r="27" spans="1:256" s="108" customFormat="1" ht="15" thickBot="1">
      <c r="A27" s="105" t="s">
        <v>646</v>
      </c>
      <c r="B27" s="106">
        <f>SUM(B5+B6+B7+B8+B9+B10+B16+B19)</f>
        <v>4488054</v>
      </c>
      <c r="C27" s="767">
        <f>SUM(C5+C6+C7+C8+C9+C10+C16+C19)</f>
        <v>4805363</v>
      </c>
      <c r="D27" s="767">
        <f>SUM(D5+D6+D7+D8+D9+D10+D16+D19)</f>
        <v>4793074</v>
      </c>
      <c r="E27" s="696" t="s">
        <v>647</v>
      </c>
      <c r="F27" s="106">
        <f>SUM(F5:F12,F19,F21,F25,F26)</f>
        <v>4581945</v>
      </c>
      <c r="G27" s="777">
        <f>SUM(G5:G12,G19,G21,G25,G26)</f>
        <v>4935706</v>
      </c>
      <c r="H27" s="773">
        <f>SUM(H5:H12,H19,H21,H25,H26)</f>
        <v>4933756</v>
      </c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  <c r="IV27" s="107"/>
    </row>
    <row r="28" spans="1:8" s="107" customFormat="1" ht="14.25">
      <c r="A28" s="109" t="s">
        <v>676</v>
      </c>
      <c r="B28" s="110"/>
      <c r="C28" s="768"/>
      <c r="D28" s="763"/>
      <c r="E28" s="109"/>
      <c r="F28" s="110"/>
      <c r="G28" s="778"/>
      <c r="H28" s="774"/>
    </row>
    <row r="29" spans="1:8" s="107" customFormat="1" ht="15.75" thickBot="1">
      <c r="A29" s="111" t="s">
        <v>677</v>
      </c>
      <c r="B29" s="101">
        <v>93891</v>
      </c>
      <c r="C29" s="769">
        <v>184967</v>
      </c>
      <c r="D29" s="681">
        <v>184967</v>
      </c>
      <c r="E29" s="135"/>
      <c r="F29" s="112"/>
      <c r="G29" s="779"/>
      <c r="H29" s="775"/>
    </row>
    <row r="30" spans="1:8" s="107" customFormat="1" ht="15" thickBot="1">
      <c r="A30" s="113" t="s">
        <v>678</v>
      </c>
      <c r="B30" s="114">
        <f>SUM(B27,B29)</f>
        <v>4581945</v>
      </c>
      <c r="C30" s="770">
        <f>SUM(C27+C29)</f>
        <v>4990330</v>
      </c>
      <c r="D30" s="764">
        <f>SUM(D27+D29)</f>
        <v>4978041</v>
      </c>
      <c r="E30" s="113" t="s">
        <v>678</v>
      </c>
      <c r="F30" s="115">
        <f>SUM(F27)</f>
        <v>4581945</v>
      </c>
      <c r="G30" s="406">
        <f>SUM(G27)</f>
        <v>4935706</v>
      </c>
      <c r="H30" s="776">
        <f>SUM(H27:H29)</f>
        <v>4933756</v>
      </c>
    </row>
    <row r="31" spans="1:6" s="107" customFormat="1" ht="15">
      <c r="A31" s="1"/>
      <c r="B31" s="1"/>
      <c r="C31" s="1"/>
      <c r="D31" s="1"/>
      <c r="E31" s="1"/>
      <c r="F31" s="116"/>
    </row>
    <row r="32" spans="1:8" s="84" customFormat="1" ht="15" customHeight="1">
      <c r="A32" s="1164" t="s">
        <v>679</v>
      </c>
      <c r="B32" s="1164"/>
      <c r="C32" s="1164"/>
      <c r="D32" s="1164"/>
      <c r="E32" s="1164"/>
      <c r="F32" s="1164"/>
      <c r="G32" s="1164"/>
      <c r="H32" s="1164"/>
    </row>
    <row r="33" spans="1:5" ht="14.25" customHeight="1" thickBot="1">
      <c r="A33" s="85"/>
      <c r="B33" s="85"/>
      <c r="C33" s="85"/>
      <c r="D33" s="85"/>
      <c r="E33" s="117"/>
    </row>
    <row r="34" spans="1:8" s="84" customFormat="1" ht="14.25">
      <c r="A34" s="1165" t="s">
        <v>618</v>
      </c>
      <c r="B34" s="1166"/>
      <c r="C34" s="1166"/>
      <c r="D34" s="1167"/>
      <c r="E34" s="1165" t="s">
        <v>619</v>
      </c>
      <c r="F34" s="1166"/>
      <c r="G34" s="1166"/>
      <c r="H34" s="1167"/>
    </row>
    <row r="35" spans="1:8" s="84" customFormat="1" ht="15" thickBot="1">
      <c r="A35" s="118"/>
      <c r="B35" s="87" t="s">
        <v>521</v>
      </c>
      <c r="C35" s="765" t="s">
        <v>472</v>
      </c>
      <c r="D35" s="759" t="s">
        <v>549</v>
      </c>
      <c r="E35" s="119"/>
      <c r="F35" s="87" t="s">
        <v>522</v>
      </c>
      <c r="G35" s="88" t="s">
        <v>472</v>
      </c>
      <c r="H35" s="88" t="s">
        <v>549</v>
      </c>
    </row>
    <row r="36" spans="1:8" s="84" customFormat="1" ht="15">
      <c r="A36" s="89" t="s">
        <v>636</v>
      </c>
      <c r="B36" s="90">
        <v>450279</v>
      </c>
      <c r="C36" s="682">
        <v>450279</v>
      </c>
      <c r="D36" s="677">
        <v>489276</v>
      </c>
      <c r="E36" s="89" t="s">
        <v>680</v>
      </c>
      <c r="F36" s="90">
        <v>2136937</v>
      </c>
      <c r="G36" s="93">
        <v>2675765</v>
      </c>
      <c r="H36" s="93">
        <v>2716565</v>
      </c>
    </row>
    <row r="37" spans="1:8" s="84" customFormat="1" ht="15">
      <c r="A37" s="95" t="s">
        <v>681</v>
      </c>
      <c r="B37" s="94">
        <v>1978</v>
      </c>
      <c r="C37" s="545">
        <v>1978</v>
      </c>
      <c r="D37" s="678">
        <v>32843</v>
      </c>
      <c r="E37" s="95" t="s">
        <v>682</v>
      </c>
      <c r="F37" s="94">
        <v>138549</v>
      </c>
      <c r="G37" s="96">
        <v>180549</v>
      </c>
      <c r="H37" s="96">
        <v>185117</v>
      </c>
    </row>
    <row r="38" spans="1:8" ht="15">
      <c r="A38" s="91" t="s">
        <v>683</v>
      </c>
      <c r="B38" s="92">
        <f>3129041+127081</f>
        <v>3256122</v>
      </c>
      <c r="C38" s="545">
        <v>3256425</v>
      </c>
      <c r="D38" s="678">
        <v>3250918</v>
      </c>
      <c r="E38" s="120" t="s">
        <v>684</v>
      </c>
      <c r="F38" s="94">
        <v>134081</v>
      </c>
      <c r="G38" s="96">
        <v>134099</v>
      </c>
      <c r="H38" s="96">
        <v>76603</v>
      </c>
    </row>
    <row r="39" spans="1:8" ht="15">
      <c r="A39" s="97" t="s">
        <v>685</v>
      </c>
      <c r="B39" s="98">
        <f>11084+202281+127081</f>
        <v>340446</v>
      </c>
      <c r="C39" s="544">
        <v>340446</v>
      </c>
      <c r="D39" s="679">
        <v>340446</v>
      </c>
      <c r="E39" s="95" t="s">
        <v>597</v>
      </c>
      <c r="F39" s="94">
        <v>2280302</v>
      </c>
      <c r="G39" s="96">
        <v>1812206</v>
      </c>
      <c r="H39" s="96">
        <v>1801106</v>
      </c>
    </row>
    <row r="40" spans="1:8" ht="15">
      <c r="A40" s="95" t="s">
        <v>686</v>
      </c>
      <c r="B40" s="94">
        <f>SUM(B41:B42)</f>
        <v>4192</v>
      </c>
      <c r="C40" s="545">
        <f>SUM(C41:C42)</f>
        <v>4192</v>
      </c>
      <c r="D40" s="404">
        <f>SUM(D41:D42)</f>
        <v>4192</v>
      </c>
      <c r="E40" s="95" t="s">
        <v>687</v>
      </c>
      <c r="F40" s="94">
        <f>SUM(F41:F43)</f>
        <v>5300</v>
      </c>
      <c r="G40" s="96">
        <f>SUM(G41:G43)</f>
        <v>7205</v>
      </c>
      <c r="H40" s="678">
        <f>SUM(H41:H43)</f>
        <v>202837</v>
      </c>
    </row>
    <row r="41" spans="1:8" ht="15">
      <c r="A41" s="121" t="s">
        <v>688</v>
      </c>
      <c r="B41" s="122">
        <v>2500</v>
      </c>
      <c r="C41" s="683">
        <v>2500</v>
      </c>
      <c r="D41" s="680">
        <v>2500</v>
      </c>
      <c r="E41" s="97" t="s">
        <v>689</v>
      </c>
      <c r="F41" s="98">
        <v>3500</v>
      </c>
      <c r="G41" s="96">
        <v>3500</v>
      </c>
      <c r="H41" s="96">
        <v>3500</v>
      </c>
    </row>
    <row r="42" spans="1:8" ht="15">
      <c r="A42" s="121" t="s">
        <v>690</v>
      </c>
      <c r="B42" s="122">
        <v>1692</v>
      </c>
      <c r="C42" s="683">
        <v>1692</v>
      </c>
      <c r="D42" s="680">
        <v>1692</v>
      </c>
      <c r="E42" s="97" t="s">
        <v>604</v>
      </c>
      <c r="F42" s="98">
        <v>1800</v>
      </c>
      <c r="G42" s="96">
        <v>1800</v>
      </c>
      <c r="H42" s="96">
        <v>1800</v>
      </c>
    </row>
    <row r="43" spans="1:8" ht="15">
      <c r="A43" s="121"/>
      <c r="B43" s="780"/>
      <c r="C43" s="684"/>
      <c r="D43" s="675"/>
      <c r="E43" s="97" t="s">
        <v>166</v>
      </c>
      <c r="F43" s="98"/>
      <c r="G43" s="96">
        <v>1905</v>
      </c>
      <c r="H43" s="96">
        <v>197537</v>
      </c>
    </row>
    <row r="44" spans="1:8" ht="15">
      <c r="A44" s="95" t="s">
        <v>691</v>
      </c>
      <c r="B44" s="92">
        <f>SUM(B45)</f>
        <v>128864</v>
      </c>
      <c r="C44" s="545">
        <f>SUM(C45)</f>
        <v>128864</v>
      </c>
      <c r="D44" s="676">
        <f>SUM(D45)</f>
        <v>128864</v>
      </c>
      <c r="E44" s="124" t="s">
        <v>596</v>
      </c>
      <c r="F44" s="101">
        <v>50000</v>
      </c>
      <c r="G44" s="96">
        <v>145777</v>
      </c>
      <c r="H44" s="96">
        <v>8293</v>
      </c>
    </row>
    <row r="45" spans="1:8" ht="15">
      <c r="A45" s="121" t="s">
        <v>534</v>
      </c>
      <c r="B45" s="122">
        <v>128864</v>
      </c>
      <c r="C45" s="683">
        <v>128864</v>
      </c>
      <c r="D45" s="676">
        <v>128864</v>
      </c>
      <c r="E45" s="124" t="s">
        <v>167</v>
      </c>
      <c r="F45" s="101">
        <f>SUM(F46:F47)</f>
        <v>0</v>
      </c>
      <c r="G45" s="96">
        <f>SUM(G46:G47)</f>
        <v>48118</v>
      </c>
      <c r="H45" s="678">
        <f>SUM(H46:H48)</f>
        <v>78118</v>
      </c>
    </row>
    <row r="46" spans="1:8" ht="15">
      <c r="A46" s="95"/>
      <c r="B46" s="92"/>
      <c r="C46" s="682"/>
      <c r="D46" s="676"/>
      <c r="E46" s="121" t="s">
        <v>168</v>
      </c>
      <c r="F46" s="122"/>
      <c r="G46" s="123">
        <v>40940</v>
      </c>
      <c r="H46" s="123">
        <v>40940</v>
      </c>
    </row>
    <row r="47" spans="1:8" ht="15">
      <c r="A47" s="95"/>
      <c r="B47" s="92"/>
      <c r="C47" s="682"/>
      <c r="D47" s="676"/>
      <c r="E47" s="121" t="s">
        <v>169</v>
      </c>
      <c r="F47" s="122"/>
      <c r="G47" s="123">
        <v>7178</v>
      </c>
      <c r="H47" s="123">
        <v>7178</v>
      </c>
    </row>
    <row r="48" spans="1:8" ht="30">
      <c r="A48" s="95"/>
      <c r="B48" s="92"/>
      <c r="C48" s="682"/>
      <c r="D48" s="676"/>
      <c r="E48" s="1060" t="s">
        <v>2</v>
      </c>
      <c r="F48" s="122"/>
      <c r="G48" s="123"/>
      <c r="H48" s="123">
        <v>30000</v>
      </c>
    </row>
    <row r="49" spans="1:8" s="125" customFormat="1" ht="15">
      <c r="A49" s="121"/>
      <c r="B49" s="122"/>
      <c r="C49" s="683"/>
      <c r="D49" s="680"/>
      <c r="E49" s="95" t="s">
        <v>692</v>
      </c>
      <c r="F49" s="94">
        <v>40164</v>
      </c>
      <c r="G49" s="96">
        <v>40164</v>
      </c>
      <c r="H49" s="96">
        <v>62348</v>
      </c>
    </row>
    <row r="50" spans="1:8" ht="15">
      <c r="A50" s="97"/>
      <c r="B50" s="98"/>
      <c r="C50" s="544"/>
      <c r="D50" s="679"/>
      <c r="E50" s="124" t="s">
        <v>693</v>
      </c>
      <c r="F50" s="101">
        <v>52213</v>
      </c>
      <c r="G50" s="96">
        <v>52213</v>
      </c>
      <c r="H50" s="96">
        <v>33329</v>
      </c>
    </row>
    <row r="51" spans="1:8" ht="15">
      <c r="A51" s="97"/>
      <c r="B51" s="98"/>
      <c r="C51" s="544"/>
      <c r="D51" s="679"/>
      <c r="E51" s="126" t="s">
        <v>608</v>
      </c>
      <c r="F51" s="127">
        <f>SUM(F52:F52)</f>
        <v>3046</v>
      </c>
      <c r="G51" s="703">
        <f>SUM(G52:G52)</f>
        <v>3046</v>
      </c>
      <c r="H51" s="698">
        <f>SUM(H52:H52)</f>
        <v>3046</v>
      </c>
    </row>
    <row r="52" spans="1:8" s="125" customFormat="1" ht="15.75" thickBot="1">
      <c r="A52" s="128"/>
      <c r="B52" s="781"/>
      <c r="C52" s="769"/>
      <c r="D52" s="681"/>
      <c r="E52" s="129" t="s">
        <v>694</v>
      </c>
      <c r="F52" s="102">
        <v>3046</v>
      </c>
      <c r="G52" s="703">
        <v>3046</v>
      </c>
      <c r="H52" s="703">
        <v>3046</v>
      </c>
    </row>
    <row r="53" spans="1:8" ht="15" thickBot="1">
      <c r="A53" s="130" t="s">
        <v>646</v>
      </c>
      <c r="B53" s="115">
        <f>SUM(B36,B37,B38,B40,B44)</f>
        <v>3841435</v>
      </c>
      <c r="C53" s="406">
        <f>SUM(C36,C37,C38,C40,C44)</f>
        <v>3841738</v>
      </c>
      <c r="D53" s="782">
        <f>SUM(D36,D37,D38,D40,D44)</f>
        <v>3906093</v>
      </c>
      <c r="E53" s="130" t="s">
        <v>647</v>
      </c>
      <c r="F53" s="115">
        <f>SUM(F36+F37+F38+F39+F40+F44+F45+F49+F50+F51)</f>
        <v>4840592</v>
      </c>
      <c r="G53" s="788">
        <f>SUM(G36+G37+G38+G39+G40+G44+G45+G49+G50+G51)</f>
        <v>5099142</v>
      </c>
      <c r="H53" s="547">
        <f>SUM(H36+H37+H38+H39+H40+H44+H45+H49+H50+H51)</f>
        <v>5167362</v>
      </c>
    </row>
    <row r="54" spans="1:8" ht="15">
      <c r="A54" s="131" t="s">
        <v>695</v>
      </c>
      <c r="B54" s="132"/>
      <c r="C54" s="785"/>
      <c r="D54" s="783"/>
      <c r="E54" s="133"/>
      <c r="F54" s="134"/>
      <c r="G54" s="93"/>
      <c r="H54" s="93"/>
    </row>
    <row r="55" spans="1:8" ht="15">
      <c r="A55" s="135" t="s">
        <v>696</v>
      </c>
      <c r="B55" s="132">
        <f>SUM(B56,B57)</f>
        <v>1122696</v>
      </c>
      <c r="C55" s="785">
        <f>SUM(C56,C57)</f>
        <v>1326319</v>
      </c>
      <c r="D55" s="546">
        <f>SUM(D56,D57)</f>
        <v>1315219</v>
      </c>
      <c r="E55" s="133"/>
      <c r="F55" s="134"/>
      <c r="G55" s="96"/>
      <c r="H55" s="96"/>
    </row>
    <row r="56" spans="1:8" ht="15">
      <c r="A56" s="136" t="s">
        <v>697</v>
      </c>
      <c r="B56" s="94">
        <v>407978</v>
      </c>
      <c r="C56" s="545">
        <v>640320</v>
      </c>
      <c r="D56" s="678">
        <v>640320</v>
      </c>
      <c r="E56" s="111"/>
      <c r="F56" s="137"/>
      <c r="G56" s="96"/>
      <c r="H56" s="96"/>
    </row>
    <row r="57" spans="1:8" ht="15" customHeight="1">
      <c r="A57" s="136" t="s">
        <v>702</v>
      </c>
      <c r="B57" s="94">
        <f>SUM(B58:B59)</f>
        <v>714718</v>
      </c>
      <c r="C57" s="545">
        <v>685999</v>
      </c>
      <c r="D57" s="404">
        <v>674899</v>
      </c>
      <c r="E57" s="138" t="s">
        <v>703</v>
      </c>
      <c r="F57" s="139">
        <v>123539</v>
      </c>
      <c r="G57" s="699">
        <v>123539</v>
      </c>
      <c r="H57" s="699">
        <v>98235</v>
      </c>
    </row>
    <row r="58" spans="1:8" ht="15">
      <c r="A58" s="121" t="s">
        <v>704</v>
      </c>
      <c r="B58" s="122">
        <v>250000</v>
      </c>
      <c r="C58" s="683">
        <v>250000</v>
      </c>
      <c r="D58" s="680">
        <v>250000</v>
      </c>
      <c r="E58" s="140"/>
      <c r="F58" s="137"/>
      <c r="G58" s="96"/>
      <c r="H58" s="96"/>
    </row>
    <row r="59" spans="1:8" ht="15.75" thickBot="1">
      <c r="A59" s="121" t="s">
        <v>705</v>
      </c>
      <c r="B59" s="122">
        <v>464718</v>
      </c>
      <c r="C59" s="786">
        <v>435999</v>
      </c>
      <c r="D59" s="784">
        <v>424899</v>
      </c>
      <c r="E59" s="405"/>
      <c r="F59" s="787"/>
      <c r="G59" s="704"/>
      <c r="H59" s="704"/>
    </row>
    <row r="60" spans="1:8" ht="15" thickBot="1">
      <c r="A60" s="105" t="s">
        <v>678</v>
      </c>
      <c r="B60" s="106">
        <f>SUM(B53,B55)</f>
        <v>4964131</v>
      </c>
      <c r="C60" s="777">
        <f>SUM(C53,C55)</f>
        <v>5168057</v>
      </c>
      <c r="D60" s="762">
        <f>SUM(D53,D55)</f>
        <v>5221312</v>
      </c>
      <c r="E60" s="141" t="s">
        <v>678</v>
      </c>
      <c r="F60" s="142">
        <f>SUM(F53,F57)</f>
        <v>4964131</v>
      </c>
      <c r="G60" s="789">
        <f>SUM(G53,G57)</f>
        <v>5222681</v>
      </c>
      <c r="H60" s="548">
        <f>SUM(H53,H57)</f>
        <v>5265597</v>
      </c>
    </row>
    <row r="61" spans="1:8" ht="15">
      <c r="A61" s="143"/>
      <c r="B61" s="144"/>
      <c r="C61" s="144"/>
      <c r="D61" s="144"/>
      <c r="E61" s="143"/>
      <c r="F61" s="144"/>
      <c r="G61" s="85"/>
      <c r="H61" s="85"/>
    </row>
    <row r="62" spans="1:8" ht="14.25">
      <c r="A62" s="145" t="s">
        <v>706</v>
      </c>
      <c r="B62" s="146">
        <f>SUM(B30,B60)</f>
        <v>9546076</v>
      </c>
      <c r="C62" s="146">
        <f>SUM(C30,C60)</f>
        <v>10158387</v>
      </c>
      <c r="D62" s="146">
        <f>SUM(D30,D60)</f>
        <v>10199353</v>
      </c>
      <c r="E62" s="145" t="s">
        <v>707</v>
      </c>
      <c r="F62" s="147">
        <f>SUM(F30,F60)</f>
        <v>9546076</v>
      </c>
      <c r="G62" s="705">
        <f>SUM(G30,G60)</f>
        <v>10158387</v>
      </c>
      <c r="H62" s="705">
        <f>SUM(H30,H60)</f>
        <v>10199353</v>
      </c>
    </row>
  </sheetData>
  <mergeCells count="6">
    <mergeCell ref="A1:H1"/>
    <mergeCell ref="A3:D3"/>
    <mergeCell ref="A34:D34"/>
    <mergeCell ref="E3:H3"/>
    <mergeCell ref="E34:H34"/>
    <mergeCell ref="A32:H32"/>
  </mergeCells>
  <printOptions horizontalCentered="1"/>
  <pageMargins left="0.15748031496062992" right="0.15748031496062992" top="0.65" bottom="0.27" header="0.35" footer="0.15748031496062992"/>
  <pageSetup horizontalDpi="300" verticalDpi="300" orientation="landscape" paperSize="9" scale="45" r:id="rId1"/>
  <headerFooter alignWithMargins="0">
    <oddHeader>&amp;L2. melléklet a 24/2013.(IX.13.) önkormányzati rendelethez
"2. melléklet az 1/2013.(II.01.) önkormányzati rendelethez"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4"/>
  <sheetViews>
    <sheetView view="pageBreakPreview" zoomScaleSheetLayoutView="100" workbookViewId="0" topLeftCell="L37">
      <selection activeCell="P56" sqref="P56"/>
    </sheetView>
  </sheetViews>
  <sheetFormatPr defaultColWidth="9.00390625" defaultRowHeight="12.75"/>
  <cols>
    <col min="1" max="1" width="49.625" style="408" customWidth="1"/>
    <col min="2" max="2" width="11.375" style="408" customWidth="1"/>
    <col min="3" max="3" width="14.75390625" style="408" customWidth="1"/>
    <col min="4" max="4" width="13.75390625" style="408" customWidth="1"/>
    <col min="5" max="5" width="10.75390625" style="408" customWidth="1"/>
    <col min="6" max="6" width="14.75390625" style="408" customWidth="1"/>
    <col min="7" max="7" width="13.75390625" style="408" customWidth="1"/>
    <col min="8" max="8" width="10.125" style="408" customWidth="1"/>
    <col min="9" max="9" width="14.25390625" style="408" customWidth="1"/>
    <col min="10" max="10" width="13.125" style="408" customWidth="1"/>
    <col min="11" max="11" width="14.625" style="408" customWidth="1"/>
    <col min="12" max="12" width="13.625" style="408" customWidth="1"/>
    <col min="13" max="13" width="10.875" style="408" customWidth="1"/>
    <col min="14" max="14" width="14.25390625" style="408" customWidth="1"/>
    <col min="15" max="15" width="13.125" style="408" customWidth="1"/>
    <col min="16" max="16" width="10.00390625" style="408" customWidth="1"/>
    <col min="17" max="17" width="15.00390625" style="408" customWidth="1"/>
    <col min="18" max="18" width="13.25390625" style="408" customWidth="1"/>
    <col min="19" max="19" width="11.25390625" style="408" customWidth="1"/>
    <col min="20" max="20" width="14.375" style="408" customWidth="1"/>
    <col min="21" max="21" width="13.625" style="408" customWidth="1"/>
    <col min="22" max="16384" width="9.125" style="408" customWidth="1"/>
  </cols>
  <sheetData>
    <row r="1" spans="1:19" ht="15.75">
      <c r="A1" s="407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21" ht="15.75">
      <c r="A2" s="1171" t="s">
        <v>512</v>
      </c>
      <c r="B2" s="1171"/>
      <c r="C2" s="1171"/>
      <c r="D2" s="1171"/>
      <c r="E2" s="1171"/>
      <c r="F2" s="1171"/>
      <c r="G2" s="1171"/>
      <c r="H2" s="1171"/>
      <c r="I2" s="1171"/>
      <c r="J2" s="1171"/>
      <c r="K2" s="1171"/>
      <c r="L2" s="1171"/>
      <c r="M2" s="1171"/>
      <c r="N2" s="1171"/>
      <c r="O2" s="1171"/>
      <c r="P2" s="1171"/>
      <c r="Q2" s="1171"/>
      <c r="R2" s="1171"/>
      <c r="S2" s="1171"/>
      <c r="T2" s="1171"/>
      <c r="U2" s="1171"/>
    </row>
    <row r="3" spans="1:19" ht="16.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1" ht="45.75" customHeight="1">
      <c r="A4" s="409" t="s">
        <v>513</v>
      </c>
      <c r="B4" s="1168" t="s">
        <v>514</v>
      </c>
      <c r="C4" s="1169"/>
      <c r="D4" s="1170"/>
      <c r="E4" s="1168" t="s">
        <v>515</v>
      </c>
      <c r="F4" s="1169"/>
      <c r="G4" s="1170"/>
      <c r="H4" s="1168" t="s">
        <v>516</v>
      </c>
      <c r="I4" s="1169"/>
      <c r="J4" s="1170"/>
      <c r="K4" s="1168" t="s">
        <v>517</v>
      </c>
      <c r="L4" s="1170"/>
      <c r="M4" s="1168" t="s">
        <v>518</v>
      </c>
      <c r="N4" s="1169"/>
      <c r="O4" s="1170"/>
      <c r="P4" s="1168" t="s">
        <v>519</v>
      </c>
      <c r="Q4" s="1169"/>
      <c r="R4" s="1170"/>
      <c r="S4" s="1140" t="s">
        <v>520</v>
      </c>
      <c r="T4" s="1141"/>
      <c r="U4" s="1142"/>
    </row>
    <row r="5" spans="1:21" ht="18.75" customHeight="1">
      <c r="A5" s="410"/>
      <c r="B5" s="411" t="s">
        <v>521</v>
      </c>
      <c r="C5" s="411" t="s">
        <v>473</v>
      </c>
      <c r="D5" s="411" t="s">
        <v>549</v>
      </c>
      <c r="E5" s="412" t="s">
        <v>521</v>
      </c>
      <c r="F5" s="411" t="s">
        <v>473</v>
      </c>
      <c r="G5" s="411" t="s">
        <v>549</v>
      </c>
      <c r="H5" s="412" t="s">
        <v>521</v>
      </c>
      <c r="I5" s="411" t="s">
        <v>473</v>
      </c>
      <c r="J5" s="411" t="s">
        <v>549</v>
      </c>
      <c r="K5" s="411" t="s">
        <v>473</v>
      </c>
      <c r="L5" s="411" t="s">
        <v>549</v>
      </c>
      <c r="M5" s="411" t="s">
        <v>521</v>
      </c>
      <c r="N5" s="411" t="s">
        <v>473</v>
      </c>
      <c r="O5" s="411" t="s">
        <v>549</v>
      </c>
      <c r="P5" s="411" t="s">
        <v>521</v>
      </c>
      <c r="Q5" s="411" t="s">
        <v>473</v>
      </c>
      <c r="R5" s="411" t="s">
        <v>549</v>
      </c>
      <c r="S5" s="413" t="s">
        <v>522</v>
      </c>
      <c r="T5" s="413" t="s">
        <v>473</v>
      </c>
      <c r="U5" s="414" t="s">
        <v>549</v>
      </c>
    </row>
    <row r="6" spans="1:21" ht="19.5" customHeight="1">
      <c r="A6" s="415" t="s">
        <v>523</v>
      </c>
      <c r="B6" s="416">
        <f aca="true" t="shared" si="0" ref="B6:R6">SUM(B7,B8,B12)</f>
        <v>1852019</v>
      </c>
      <c r="C6" s="416">
        <f>SUM(C7,C8,C12)</f>
        <v>1853549</v>
      </c>
      <c r="D6" s="416">
        <v>1936786</v>
      </c>
      <c r="E6" s="416">
        <f t="shared" si="0"/>
        <v>2000</v>
      </c>
      <c r="F6" s="416">
        <f>SUM(F7,F8,F12)</f>
        <v>2000</v>
      </c>
      <c r="G6" s="416">
        <v>2000</v>
      </c>
      <c r="H6" s="416">
        <f t="shared" si="0"/>
        <v>7723</v>
      </c>
      <c r="I6" s="416">
        <f>SUM(I7,I8,I12)</f>
        <v>489</v>
      </c>
      <c r="J6" s="416">
        <f t="shared" si="0"/>
        <v>489</v>
      </c>
      <c r="K6" s="416">
        <f>SUM(K7,K8,K12)</f>
        <v>7234</v>
      </c>
      <c r="L6" s="416">
        <f t="shared" si="0"/>
        <v>6399</v>
      </c>
      <c r="M6" s="416">
        <f t="shared" si="0"/>
        <v>168371</v>
      </c>
      <c r="N6" s="416">
        <f>SUM(N7,N8,N12)</f>
        <v>183324</v>
      </c>
      <c r="O6" s="416">
        <f t="shared" si="0"/>
        <v>175675</v>
      </c>
      <c r="P6" s="416">
        <f t="shared" si="0"/>
        <v>15466</v>
      </c>
      <c r="Q6" s="416">
        <f>SUM(Q7,Q8,Q12)</f>
        <v>15466</v>
      </c>
      <c r="R6" s="416">
        <f t="shared" si="0"/>
        <v>16303</v>
      </c>
      <c r="S6" s="417">
        <f aca="true" t="shared" si="1" ref="S6:S51">SUM(B6+E6+H6+M6+P6)</f>
        <v>2045579</v>
      </c>
      <c r="T6" s="417">
        <f aca="true" t="shared" si="2" ref="T6:U52">SUM(C6+F6+I6+K6+N6+Q6)</f>
        <v>2062062</v>
      </c>
      <c r="U6" s="543">
        <f t="shared" si="2"/>
        <v>2137652</v>
      </c>
    </row>
    <row r="7" spans="1:21" s="421" customFormat="1" ht="19.5" customHeight="1">
      <c r="A7" s="418" t="s">
        <v>524</v>
      </c>
      <c r="B7" s="419"/>
      <c r="C7" s="419"/>
      <c r="D7" s="419"/>
      <c r="E7" s="419"/>
      <c r="F7" s="419"/>
      <c r="G7" s="419"/>
      <c r="H7" s="419">
        <v>1000</v>
      </c>
      <c r="I7" s="419">
        <v>296</v>
      </c>
      <c r="J7" s="419">
        <v>296</v>
      </c>
      <c r="K7" s="419">
        <v>704</v>
      </c>
      <c r="L7" s="419"/>
      <c r="M7" s="419">
        <v>0</v>
      </c>
      <c r="N7" s="419"/>
      <c r="O7" s="419"/>
      <c r="P7" s="419">
        <v>0</v>
      </c>
      <c r="Q7" s="420"/>
      <c r="R7" s="420"/>
      <c r="S7" s="417">
        <f t="shared" si="1"/>
        <v>1000</v>
      </c>
      <c r="T7" s="417">
        <f t="shared" si="2"/>
        <v>1000</v>
      </c>
      <c r="U7" s="543">
        <f t="shared" si="2"/>
        <v>296</v>
      </c>
    </row>
    <row r="8" spans="1:21" s="421" customFormat="1" ht="19.5" customHeight="1">
      <c r="A8" s="418" t="s">
        <v>525</v>
      </c>
      <c r="B8" s="419">
        <f aca="true" t="shared" si="3" ref="B8:R8">SUM(B9:B11)</f>
        <v>80139</v>
      </c>
      <c r="C8" s="419">
        <f>SUM(C9:C11)</f>
        <v>81669</v>
      </c>
      <c r="D8" s="419">
        <f t="shared" si="3"/>
        <v>164906</v>
      </c>
      <c r="E8" s="419">
        <f t="shared" si="3"/>
        <v>0</v>
      </c>
      <c r="F8" s="419">
        <f>SUM(F9:F11)</f>
        <v>0</v>
      </c>
      <c r="G8" s="419">
        <f t="shared" si="3"/>
        <v>0</v>
      </c>
      <c r="H8" s="419">
        <f t="shared" si="3"/>
        <v>6723</v>
      </c>
      <c r="I8" s="419">
        <f>SUM(I9:I11)</f>
        <v>193</v>
      </c>
      <c r="J8" s="419">
        <f t="shared" si="3"/>
        <v>193</v>
      </c>
      <c r="K8" s="419">
        <f>SUM(K9:K11)</f>
        <v>6530</v>
      </c>
      <c r="L8" s="419">
        <f t="shared" si="3"/>
        <v>6399</v>
      </c>
      <c r="M8" s="419">
        <f t="shared" si="3"/>
        <v>168371</v>
      </c>
      <c r="N8" s="419">
        <f>SUM(N9:N11)</f>
        <v>183324</v>
      </c>
      <c r="O8" s="419">
        <f t="shared" si="3"/>
        <v>175675</v>
      </c>
      <c r="P8" s="419">
        <f t="shared" si="3"/>
        <v>15466</v>
      </c>
      <c r="Q8" s="419">
        <f>SUM(Q9:Q11)</f>
        <v>15466</v>
      </c>
      <c r="R8" s="419">
        <f t="shared" si="3"/>
        <v>16195</v>
      </c>
      <c r="S8" s="417">
        <f t="shared" si="1"/>
        <v>270699</v>
      </c>
      <c r="T8" s="417">
        <f t="shared" si="2"/>
        <v>287182</v>
      </c>
      <c r="U8" s="543">
        <f t="shared" si="2"/>
        <v>363368</v>
      </c>
    </row>
    <row r="9" spans="1:21" ht="30" customHeight="1">
      <c r="A9" s="422" t="s">
        <v>526</v>
      </c>
      <c r="B9" s="423">
        <v>47472</v>
      </c>
      <c r="C9" s="423">
        <v>48677</v>
      </c>
      <c r="D9" s="423">
        <v>100058</v>
      </c>
      <c r="E9" s="423"/>
      <c r="F9" s="423"/>
      <c r="G9" s="423"/>
      <c r="H9" s="423">
        <v>6048</v>
      </c>
      <c r="I9" s="423">
        <v>136</v>
      </c>
      <c r="J9" s="423">
        <v>136</v>
      </c>
      <c r="K9" s="423">
        <v>5912</v>
      </c>
      <c r="L9" s="423">
        <v>5781</v>
      </c>
      <c r="M9" s="423">
        <v>129030</v>
      </c>
      <c r="N9" s="423">
        <v>143983</v>
      </c>
      <c r="O9" s="423">
        <v>138111</v>
      </c>
      <c r="P9" s="423">
        <v>12435</v>
      </c>
      <c r="Q9" s="424">
        <v>12435</v>
      </c>
      <c r="R9" s="424">
        <v>12544</v>
      </c>
      <c r="S9" s="425">
        <f t="shared" si="1"/>
        <v>194985</v>
      </c>
      <c r="T9" s="424">
        <f t="shared" si="2"/>
        <v>211143</v>
      </c>
      <c r="U9" s="543">
        <f t="shared" si="2"/>
        <v>256630</v>
      </c>
    </row>
    <row r="10" spans="1:21" ht="19.5" customHeight="1">
      <c r="A10" s="426" t="s">
        <v>527</v>
      </c>
      <c r="B10" s="423">
        <v>29667</v>
      </c>
      <c r="C10" s="423">
        <v>29992</v>
      </c>
      <c r="D10" s="423">
        <v>60857</v>
      </c>
      <c r="E10" s="423"/>
      <c r="F10" s="423"/>
      <c r="G10" s="423"/>
      <c r="H10" s="423">
        <v>475</v>
      </c>
      <c r="I10" s="423">
        <v>37</v>
      </c>
      <c r="J10" s="423">
        <v>37</v>
      </c>
      <c r="K10" s="423">
        <v>438</v>
      </c>
      <c r="L10" s="423">
        <v>438</v>
      </c>
      <c r="M10" s="423">
        <v>39341</v>
      </c>
      <c r="N10" s="423">
        <v>39341</v>
      </c>
      <c r="O10" s="423">
        <v>37564</v>
      </c>
      <c r="P10" s="423">
        <v>3031</v>
      </c>
      <c r="Q10" s="424">
        <v>3031</v>
      </c>
      <c r="R10" s="424">
        <v>3311</v>
      </c>
      <c r="S10" s="425">
        <f t="shared" si="1"/>
        <v>72514</v>
      </c>
      <c r="T10" s="424">
        <f t="shared" si="2"/>
        <v>72839</v>
      </c>
      <c r="U10" s="543">
        <f t="shared" si="2"/>
        <v>102207</v>
      </c>
    </row>
    <row r="11" spans="1:21" ht="19.5" customHeight="1">
      <c r="A11" s="426" t="s">
        <v>528</v>
      </c>
      <c r="B11" s="423">
        <v>3000</v>
      </c>
      <c r="C11" s="423">
        <v>3000</v>
      </c>
      <c r="D11" s="423">
        <v>3991</v>
      </c>
      <c r="E11" s="423"/>
      <c r="F11" s="423"/>
      <c r="G11" s="423"/>
      <c r="H11" s="423">
        <v>200</v>
      </c>
      <c r="I11" s="423">
        <v>20</v>
      </c>
      <c r="J11" s="423">
        <v>20</v>
      </c>
      <c r="K11" s="423">
        <v>180</v>
      </c>
      <c r="L11" s="423">
        <v>180</v>
      </c>
      <c r="M11" s="423"/>
      <c r="N11" s="423"/>
      <c r="O11" s="423"/>
      <c r="P11" s="423"/>
      <c r="Q11" s="424"/>
      <c r="R11" s="424">
        <v>340</v>
      </c>
      <c r="S11" s="425">
        <f t="shared" si="1"/>
        <v>3200</v>
      </c>
      <c r="T11" s="424">
        <f t="shared" si="2"/>
        <v>3200</v>
      </c>
      <c r="U11" s="543">
        <f t="shared" si="2"/>
        <v>4531</v>
      </c>
    </row>
    <row r="12" spans="1:21" s="421" customFormat="1" ht="19.5" customHeight="1">
      <c r="A12" s="418" t="s">
        <v>529</v>
      </c>
      <c r="B12" s="419">
        <f aca="true" t="shared" si="4" ref="B12:R12">SUM(B13,B20,B23,B24,B25,B26)</f>
        <v>1771880</v>
      </c>
      <c r="C12" s="419">
        <f>SUM(C13,C20,C23,C24,C25,C26)</f>
        <v>1771880</v>
      </c>
      <c r="D12" s="419">
        <f t="shared" si="4"/>
        <v>1771880</v>
      </c>
      <c r="E12" s="419">
        <f t="shared" si="4"/>
        <v>2000</v>
      </c>
      <c r="F12" s="419">
        <f t="shared" si="4"/>
        <v>2000</v>
      </c>
      <c r="G12" s="419">
        <f t="shared" si="4"/>
        <v>2000</v>
      </c>
      <c r="H12" s="419">
        <f t="shared" si="4"/>
        <v>0</v>
      </c>
      <c r="I12" s="419">
        <f>SUM(I13,I20,I23,I24,I25,I26)</f>
        <v>0</v>
      </c>
      <c r="J12" s="419">
        <f t="shared" si="4"/>
        <v>0</v>
      </c>
      <c r="K12" s="419">
        <f>SUM(K13,K20,K23,K24,K25,K26)</f>
        <v>0</v>
      </c>
      <c r="L12" s="419">
        <f t="shared" si="4"/>
        <v>0</v>
      </c>
      <c r="M12" s="419">
        <f t="shared" si="4"/>
        <v>0</v>
      </c>
      <c r="N12" s="419">
        <f>SUM(N13,N20,N23,N24,N25,N26)</f>
        <v>0</v>
      </c>
      <c r="O12" s="419">
        <f t="shared" si="4"/>
        <v>0</v>
      </c>
      <c r="P12" s="419">
        <f t="shared" si="4"/>
        <v>0</v>
      </c>
      <c r="Q12" s="419">
        <f>SUM(Q13,Q20,Q23,Q24,Q25,Q26)</f>
        <v>0</v>
      </c>
      <c r="R12" s="419">
        <f t="shared" si="4"/>
        <v>108</v>
      </c>
      <c r="S12" s="425">
        <f t="shared" si="1"/>
        <v>1773880</v>
      </c>
      <c r="T12" s="424">
        <f t="shared" si="2"/>
        <v>1773880</v>
      </c>
      <c r="U12" s="543">
        <f t="shared" si="2"/>
        <v>1773988</v>
      </c>
    </row>
    <row r="13" spans="1:21" ht="19.5" customHeight="1">
      <c r="A13" s="426" t="s">
        <v>530</v>
      </c>
      <c r="B13" s="423">
        <f>SUM(B14:B19)</f>
        <v>1567000</v>
      </c>
      <c r="C13" s="423">
        <f>SUM(C14:C19)</f>
        <v>1567000</v>
      </c>
      <c r="D13" s="423">
        <f>SUM(D14:D19)</f>
        <v>1567000</v>
      </c>
      <c r="E13" s="423">
        <f>SUM(E14:E19)</f>
        <v>0</v>
      </c>
      <c r="F13" s="423"/>
      <c r="G13" s="423"/>
      <c r="H13" s="423"/>
      <c r="I13" s="423"/>
      <c r="J13" s="423"/>
      <c r="K13" s="423"/>
      <c r="L13" s="423"/>
      <c r="M13" s="423">
        <f>SUM(M14:M19)</f>
        <v>0</v>
      </c>
      <c r="N13" s="423"/>
      <c r="O13" s="423"/>
      <c r="P13" s="423">
        <f>SUM(P14:P19)</f>
        <v>0</v>
      </c>
      <c r="Q13" s="424"/>
      <c r="R13" s="424"/>
      <c r="S13" s="425">
        <f t="shared" si="1"/>
        <v>1567000</v>
      </c>
      <c r="T13" s="424">
        <f t="shared" si="2"/>
        <v>1567000</v>
      </c>
      <c r="U13" s="543">
        <f t="shared" si="2"/>
        <v>1567000</v>
      </c>
    </row>
    <row r="14" spans="1:21" s="430" customFormat="1" ht="19.5" customHeight="1">
      <c r="A14" s="427" t="s">
        <v>531</v>
      </c>
      <c r="B14" s="428">
        <v>305000</v>
      </c>
      <c r="C14" s="428">
        <v>305000</v>
      </c>
      <c r="D14" s="428">
        <v>305000</v>
      </c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9"/>
      <c r="R14" s="429"/>
      <c r="S14" s="425">
        <f t="shared" si="1"/>
        <v>305000</v>
      </c>
      <c r="T14" s="424">
        <f t="shared" si="2"/>
        <v>305000</v>
      </c>
      <c r="U14" s="543">
        <f t="shared" si="2"/>
        <v>305000</v>
      </c>
    </row>
    <row r="15" spans="1:21" s="430" customFormat="1" ht="19.5" customHeight="1">
      <c r="A15" s="427" t="s">
        <v>532</v>
      </c>
      <c r="B15" s="428">
        <v>90000</v>
      </c>
      <c r="C15" s="428">
        <v>90000</v>
      </c>
      <c r="D15" s="428">
        <v>90000</v>
      </c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9"/>
      <c r="R15" s="429"/>
      <c r="S15" s="425">
        <f t="shared" si="1"/>
        <v>90000</v>
      </c>
      <c r="T15" s="424">
        <f t="shared" si="2"/>
        <v>90000</v>
      </c>
      <c r="U15" s="543">
        <f t="shared" si="2"/>
        <v>90000</v>
      </c>
    </row>
    <row r="16" spans="1:21" s="430" customFormat="1" ht="19.5" customHeight="1">
      <c r="A16" s="427" t="s">
        <v>533</v>
      </c>
      <c r="B16" s="428">
        <v>22000</v>
      </c>
      <c r="C16" s="428">
        <v>22000</v>
      </c>
      <c r="D16" s="428">
        <v>22000</v>
      </c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9"/>
      <c r="R16" s="429"/>
      <c r="S16" s="425">
        <f t="shared" si="1"/>
        <v>22000</v>
      </c>
      <c r="T16" s="424">
        <f t="shared" si="2"/>
        <v>22000</v>
      </c>
      <c r="U16" s="543">
        <f t="shared" si="2"/>
        <v>22000</v>
      </c>
    </row>
    <row r="17" spans="1:21" s="430" customFormat="1" ht="19.5" customHeight="1">
      <c r="A17" s="427" t="s">
        <v>534</v>
      </c>
      <c r="B17" s="428">
        <v>1135000</v>
      </c>
      <c r="C17" s="428">
        <v>1135000</v>
      </c>
      <c r="D17" s="428">
        <v>1135000</v>
      </c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9"/>
      <c r="R17" s="429"/>
      <c r="S17" s="425">
        <f t="shared" si="1"/>
        <v>1135000</v>
      </c>
      <c r="T17" s="424">
        <f t="shared" si="2"/>
        <v>1135000</v>
      </c>
      <c r="U17" s="543">
        <f t="shared" si="2"/>
        <v>1135000</v>
      </c>
    </row>
    <row r="18" spans="1:21" s="430" customFormat="1" ht="19.5" customHeight="1">
      <c r="A18" s="427" t="s">
        <v>535</v>
      </c>
      <c r="B18" s="431">
        <v>14000</v>
      </c>
      <c r="C18" s="431">
        <v>14000</v>
      </c>
      <c r="D18" s="431">
        <v>14000</v>
      </c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2"/>
      <c r="R18" s="432"/>
      <c r="S18" s="425">
        <f t="shared" si="1"/>
        <v>14000</v>
      </c>
      <c r="T18" s="424">
        <f t="shared" si="2"/>
        <v>14000</v>
      </c>
      <c r="U18" s="543">
        <f t="shared" si="2"/>
        <v>14000</v>
      </c>
    </row>
    <row r="19" spans="1:21" s="430" customFormat="1" ht="19.5" customHeight="1">
      <c r="A19" s="433" t="s">
        <v>536</v>
      </c>
      <c r="B19" s="428">
        <v>1000</v>
      </c>
      <c r="C19" s="428">
        <v>1000</v>
      </c>
      <c r="D19" s="428">
        <v>1000</v>
      </c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9"/>
      <c r="R19" s="429"/>
      <c r="S19" s="425">
        <f t="shared" si="1"/>
        <v>1000</v>
      </c>
      <c r="T19" s="424">
        <f t="shared" si="2"/>
        <v>1000</v>
      </c>
      <c r="U19" s="543">
        <f t="shared" si="2"/>
        <v>1000</v>
      </c>
    </row>
    <row r="20" spans="1:21" ht="19.5" customHeight="1">
      <c r="A20" s="426" t="s">
        <v>537</v>
      </c>
      <c r="B20" s="434">
        <f>SUM(B21:B22)</f>
        <v>115200</v>
      </c>
      <c r="C20" s="434">
        <f>SUM(C21:C22)</f>
        <v>115200</v>
      </c>
      <c r="D20" s="434">
        <f>SUM(D21:D22)</f>
        <v>115200</v>
      </c>
      <c r="E20" s="434">
        <f>SUM(E21:E22)</f>
        <v>0</v>
      </c>
      <c r="F20" s="434"/>
      <c r="G20" s="434"/>
      <c r="H20" s="434"/>
      <c r="I20" s="434"/>
      <c r="J20" s="434"/>
      <c r="K20" s="434"/>
      <c r="L20" s="434"/>
      <c r="M20" s="434">
        <f>SUM(M21:M22)</f>
        <v>0</v>
      </c>
      <c r="N20" s="434"/>
      <c r="O20" s="434"/>
      <c r="P20" s="434">
        <f>SUM(P21:P22)</f>
        <v>0</v>
      </c>
      <c r="Q20" s="435"/>
      <c r="R20" s="435"/>
      <c r="S20" s="425">
        <f t="shared" si="1"/>
        <v>115200</v>
      </c>
      <c r="T20" s="424">
        <f t="shared" si="2"/>
        <v>115200</v>
      </c>
      <c r="U20" s="543">
        <f t="shared" si="2"/>
        <v>115200</v>
      </c>
    </row>
    <row r="21" spans="1:21" s="430" customFormat="1" ht="19.5" customHeight="1">
      <c r="A21" s="427" t="s">
        <v>538</v>
      </c>
      <c r="B21" s="431">
        <v>115000</v>
      </c>
      <c r="C21" s="431">
        <v>115000</v>
      </c>
      <c r="D21" s="431">
        <v>115000</v>
      </c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2"/>
      <c r="R21" s="432"/>
      <c r="S21" s="425">
        <f t="shared" si="1"/>
        <v>115000</v>
      </c>
      <c r="T21" s="424">
        <f t="shared" si="2"/>
        <v>115000</v>
      </c>
      <c r="U21" s="543">
        <f t="shared" si="2"/>
        <v>115000</v>
      </c>
    </row>
    <row r="22" spans="1:21" s="430" customFormat="1" ht="19.5" customHeight="1">
      <c r="A22" s="427" t="s">
        <v>539</v>
      </c>
      <c r="B22" s="431">
        <v>200</v>
      </c>
      <c r="C22" s="431">
        <v>200</v>
      </c>
      <c r="D22" s="431">
        <v>200</v>
      </c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2"/>
      <c r="R22" s="432"/>
      <c r="S22" s="425">
        <f t="shared" si="1"/>
        <v>200</v>
      </c>
      <c r="T22" s="424">
        <f t="shared" si="2"/>
        <v>200</v>
      </c>
      <c r="U22" s="543">
        <f t="shared" si="2"/>
        <v>200</v>
      </c>
    </row>
    <row r="23" spans="1:21" ht="19.5" customHeight="1">
      <c r="A23" s="426" t="s">
        <v>540</v>
      </c>
      <c r="B23" s="434">
        <v>300</v>
      </c>
      <c r="C23" s="434">
        <v>300</v>
      </c>
      <c r="D23" s="434">
        <v>300</v>
      </c>
      <c r="E23" s="434">
        <v>2000</v>
      </c>
      <c r="F23" s="434">
        <v>2000</v>
      </c>
      <c r="G23" s="434">
        <v>2000</v>
      </c>
      <c r="H23" s="434"/>
      <c r="I23" s="434"/>
      <c r="J23" s="434"/>
      <c r="K23" s="434"/>
      <c r="L23" s="434"/>
      <c r="M23" s="434"/>
      <c r="N23" s="434"/>
      <c r="O23" s="434"/>
      <c r="P23" s="434"/>
      <c r="Q23" s="435"/>
      <c r="R23" s="435"/>
      <c r="S23" s="425">
        <f t="shared" si="1"/>
        <v>2300</v>
      </c>
      <c r="T23" s="424">
        <f t="shared" si="2"/>
        <v>2300</v>
      </c>
      <c r="U23" s="543">
        <f t="shared" si="2"/>
        <v>2300</v>
      </c>
    </row>
    <row r="24" spans="1:21" ht="19.5" customHeight="1">
      <c r="A24" s="426" t="s">
        <v>541</v>
      </c>
      <c r="B24" s="434">
        <v>10000</v>
      </c>
      <c r="C24" s="434">
        <v>10000</v>
      </c>
      <c r="D24" s="434">
        <v>10000</v>
      </c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5"/>
      <c r="R24" s="435"/>
      <c r="S24" s="425">
        <f t="shared" si="1"/>
        <v>10000</v>
      </c>
      <c r="T24" s="424">
        <f t="shared" si="2"/>
        <v>10000</v>
      </c>
      <c r="U24" s="543">
        <f t="shared" si="2"/>
        <v>10000</v>
      </c>
    </row>
    <row r="25" spans="1:21" ht="19.5" customHeight="1">
      <c r="A25" s="426" t="s">
        <v>542</v>
      </c>
      <c r="B25" s="434">
        <v>32380</v>
      </c>
      <c r="C25" s="434">
        <v>32380</v>
      </c>
      <c r="D25" s="434">
        <v>32380</v>
      </c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5"/>
      <c r="R25" s="435">
        <v>108</v>
      </c>
      <c r="S25" s="425">
        <f t="shared" si="1"/>
        <v>32380</v>
      </c>
      <c r="T25" s="424">
        <f t="shared" si="2"/>
        <v>32380</v>
      </c>
      <c r="U25" s="543">
        <f t="shared" si="2"/>
        <v>32488</v>
      </c>
    </row>
    <row r="26" spans="1:21" ht="19.5" customHeight="1">
      <c r="A26" s="426" t="s">
        <v>543</v>
      </c>
      <c r="B26" s="434">
        <v>47000</v>
      </c>
      <c r="C26" s="434">
        <v>47000</v>
      </c>
      <c r="D26" s="434">
        <v>47000</v>
      </c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5"/>
      <c r="R26" s="435"/>
      <c r="S26" s="425">
        <f t="shared" si="1"/>
        <v>47000</v>
      </c>
      <c r="T26" s="424">
        <f t="shared" si="2"/>
        <v>47000</v>
      </c>
      <c r="U26" s="543">
        <f t="shared" si="2"/>
        <v>47000</v>
      </c>
    </row>
    <row r="27" spans="1:21" s="439" customFormat="1" ht="19.5" customHeight="1">
      <c r="A27" s="436" t="s">
        <v>544</v>
      </c>
      <c r="B27" s="437">
        <f aca="true" t="shared" si="5" ref="B27:R27">SUM(B28:B29)</f>
        <v>855379</v>
      </c>
      <c r="C27" s="437">
        <f>SUM(C28:C30)</f>
        <v>979552</v>
      </c>
      <c r="D27" s="437">
        <f>SUM(D28:D30)</f>
        <v>966062</v>
      </c>
      <c r="E27" s="437">
        <f t="shared" si="5"/>
        <v>0</v>
      </c>
      <c r="F27" s="437">
        <f>SUM(F28:F29)</f>
        <v>0</v>
      </c>
      <c r="G27" s="437">
        <f t="shared" si="5"/>
        <v>0</v>
      </c>
      <c r="H27" s="437">
        <f t="shared" si="5"/>
        <v>0</v>
      </c>
      <c r="I27" s="437">
        <f>SUM(I28:I29)</f>
        <v>0</v>
      </c>
      <c r="J27" s="437">
        <f t="shared" si="5"/>
        <v>0</v>
      </c>
      <c r="K27" s="437">
        <f>SUM(K28:K29)</f>
        <v>0</v>
      </c>
      <c r="L27" s="437">
        <f t="shared" si="5"/>
        <v>0</v>
      </c>
      <c r="M27" s="437">
        <f t="shared" si="5"/>
        <v>0</v>
      </c>
      <c r="N27" s="437">
        <f>SUM(N28:N29)</f>
        <v>0</v>
      </c>
      <c r="O27" s="437">
        <f t="shared" si="5"/>
        <v>0</v>
      </c>
      <c r="P27" s="437">
        <f t="shared" si="5"/>
        <v>0</v>
      </c>
      <c r="Q27" s="437">
        <f>SUM(Q28:Q29)</f>
        <v>0</v>
      </c>
      <c r="R27" s="437">
        <f t="shared" si="5"/>
        <v>0</v>
      </c>
      <c r="S27" s="417">
        <f t="shared" si="1"/>
        <v>855379</v>
      </c>
      <c r="T27" s="417">
        <f t="shared" si="2"/>
        <v>979552</v>
      </c>
      <c r="U27" s="543">
        <f t="shared" si="2"/>
        <v>966062</v>
      </c>
    </row>
    <row r="28" spans="1:21" ht="19.5" customHeight="1">
      <c r="A28" s="426" t="s">
        <v>545</v>
      </c>
      <c r="B28" s="434">
        <v>778320</v>
      </c>
      <c r="C28" s="434">
        <v>870196</v>
      </c>
      <c r="D28" s="434">
        <v>837078</v>
      </c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5"/>
      <c r="R28" s="435"/>
      <c r="S28" s="425">
        <f t="shared" si="1"/>
        <v>778320</v>
      </c>
      <c r="T28" s="424">
        <f t="shared" si="2"/>
        <v>870196</v>
      </c>
      <c r="U28" s="543">
        <f t="shared" si="2"/>
        <v>837078</v>
      </c>
    </row>
    <row r="29" spans="1:21" s="430" customFormat="1" ht="19.5" customHeight="1">
      <c r="A29" s="440" t="s">
        <v>546</v>
      </c>
      <c r="B29" s="441">
        <v>77059</v>
      </c>
      <c r="C29" s="441">
        <v>77059</v>
      </c>
      <c r="D29" s="441">
        <v>77059</v>
      </c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2"/>
      <c r="R29" s="442"/>
      <c r="S29" s="425">
        <f t="shared" si="1"/>
        <v>77059</v>
      </c>
      <c r="T29" s="424">
        <f t="shared" si="2"/>
        <v>77059</v>
      </c>
      <c r="U29" s="543">
        <f t="shared" si="2"/>
        <v>77059</v>
      </c>
    </row>
    <row r="30" spans="1:21" s="430" customFormat="1" ht="19.5" customHeight="1">
      <c r="A30" s="440" t="s">
        <v>376</v>
      </c>
      <c r="B30" s="441"/>
      <c r="C30" s="441">
        <v>32297</v>
      </c>
      <c r="D30" s="441">
        <v>51925</v>
      </c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2"/>
      <c r="R30" s="442"/>
      <c r="S30" s="425"/>
      <c r="T30" s="543">
        <f t="shared" si="2"/>
        <v>32297</v>
      </c>
      <c r="U30" s="543">
        <f t="shared" si="2"/>
        <v>51925</v>
      </c>
    </row>
    <row r="31" spans="1:21" s="439" customFormat="1" ht="19.5" customHeight="1">
      <c r="A31" s="436" t="s">
        <v>547</v>
      </c>
      <c r="B31" s="437">
        <f aca="true" t="shared" si="6" ref="B31:R31">SUM(B32:B33)</f>
        <v>76210</v>
      </c>
      <c r="C31" s="437">
        <f>SUM(C32:C33)</f>
        <v>78773</v>
      </c>
      <c r="D31" s="437">
        <f t="shared" si="6"/>
        <v>85126</v>
      </c>
      <c r="E31" s="437">
        <f t="shared" si="6"/>
        <v>0</v>
      </c>
      <c r="F31" s="437">
        <f>SUM(F32:F33)</f>
        <v>0</v>
      </c>
      <c r="G31" s="437">
        <f t="shared" si="6"/>
        <v>0</v>
      </c>
      <c r="H31" s="437">
        <f t="shared" si="6"/>
        <v>8431</v>
      </c>
      <c r="I31" s="437">
        <f>SUM(I32:I33)</f>
        <v>0</v>
      </c>
      <c r="J31" s="437">
        <f t="shared" si="6"/>
        <v>0</v>
      </c>
      <c r="K31" s="437">
        <f>SUM(K32:K33)</f>
        <v>20208</v>
      </c>
      <c r="L31" s="437">
        <f t="shared" si="6"/>
        <v>46209</v>
      </c>
      <c r="M31" s="437">
        <f t="shared" si="6"/>
        <v>19880</v>
      </c>
      <c r="N31" s="437">
        <f>SUM(N32:N33)</f>
        <v>23728</v>
      </c>
      <c r="O31" s="437">
        <f t="shared" si="6"/>
        <v>15963</v>
      </c>
      <c r="P31" s="437">
        <f t="shared" si="6"/>
        <v>500</v>
      </c>
      <c r="Q31" s="437">
        <f>SUM(Q32:Q33)</f>
        <v>500</v>
      </c>
      <c r="R31" s="437">
        <f t="shared" si="6"/>
        <v>750</v>
      </c>
      <c r="S31" s="417">
        <f t="shared" si="1"/>
        <v>105021</v>
      </c>
      <c r="T31" s="417">
        <f t="shared" si="2"/>
        <v>123209</v>
      </c>
      <c r="U31" s="543">
        <f t="shared" si="2"/>
        <v>148048</v>
      </c>
    </row>
    <row r="32" spans="1:21" ht="19.5" customHeight="1">
      <c r="A32" s="426" t="s">
        <v>548</v>
      </c>
      <c r="B32" s="434">
        <v>72410</v>
      </c>
      <c r="C32" s="434">
        <v>74973</v>
      </c>
      <c r="D32" s="434">
        <v>78035</v>
      </c>
      <c r="E32" s="434"/>
      <c r="F32" s="434"/>
      <c r="G32" s="434"/>
      <c r="H32" s="434"/>
      <c r="I32" s="434"/>
      <c r="J32" s="434"/>
      <c r="K32" s="434">
        <v>20208</v>
      </c>
      <c r="L32" s="434">
        <v>46209</v>
      </c>
      <c r="M32" s="434">
        <v>10000</v>
      </c>
      <c r="N32" s="434">
        <v>13848</v>
      </c>
      <c r="O32" s="434">
        <v>14042</v>
      </c>
      <c r="P32" s="434"/>
      <c r="Q32" s="435"/>
      <c r="R32" s="435"/>
      <c r="S32" s="425">
        <f t="shared" si="1"/>
        <v>82410</v>
      </c>
      <c r="T32" s="424">
        <f t="shared" si="2"/>
        <v>109029</v>
      </c>
      <c r="U32" s="543">
        <f t="shared" si="2"/>
        <v>138286</v>
      </c>
    </row>
    <row r="33" spans="1:21" ht="19.5" customHeight="1">
      <c r="A33" s="426" t="s">
        <v>559</v>
      </c>
      <c r="B33" s="434">
        <v>3800</v>
      </c>
      <c r="C33" s="434">
        <v>3800</v>
      </c>
      <c r="D33" s="434">
        <v>7091</v>
      </c>
      <c r="E33" s="434"/>
      <c r="F33" s="434"/>
      <c r="G33" s="434"/>
      <c r="H33" s="434">
        <v>8431</v>
      </c>
      <c r="I33" s="434"/>
      <c r="J33" s="434"/>
      <c r="K33" s="434"/>
      <c r="L33" s="434"/>
      <c r="M33" s="434">
        <v>9880</v>
      </c>
      <c r="N33" s="434">
        <v>9880</v>
      </c>
      <c r="O33" s="434">
        <v>1921</v>
      </c>
      <c r="P33" s="434">
        <v>500</v>
      </c>
      <c r="Q33" s="435">
        <v>500</v>
      </c>
      <c r="R33" s="435">
        <v>750</v>
      </c>
      <c r="S33" s="425">
        <f t="shared" si="1"/>
        <v>22611</v>
      </c>
      <c r="T33" s="424">
        <f t="shared" si="2"/>
        <v>14180</v>
      </c>
      <c r="U33" s="543">
        <f t="shared" si="2"/>
        <v>9762</v>
      </c>
    </row>
    <row r="34" spans="1:21" ht="19.5" customHeight="1">
      <c r="A34" s="443" t="s">
        <v>560</v>
      </c>
      <c r="B34" s="437">
        <f aca="true" t="shared" si="7" ref="B34:R34">SUM(B35:B40)</f>
        <v>450279</v>
      </c>
      <c r="C34" s="437">
        <f>SUM(C35:C40)</f>
        <v>450279</v>
      </c>
      <c r="D34" s="437">
        <f>SUM(D35:D41)</f>
        <v>489276</v>
      </c>
      <c r="E34" s="437">
        <f t="shared" si="7"/>
        <v>0</v>
      </c>
      <c r="F34" s="437">
        <f>SUM(F35:F40)</f>
        <v>0</v>
      </c>
      <c r="G34" s="437">
        <f t="shared" si="7"/>
        <v>0</v>
      </c>
      <c r="H34" s="437">
        <f t="shared" si="7"/>
        <v>0</v>
      </c>
      <c r="I34" s="437">
        <f>SUM(I35:I40)</f>
        <v>0</v>
      </c>
      <c r="J34" s="437">
        <f t="shared" si="7"/>
        <v>0</v>
      </c>
      <c r="K34" s="437">
        <f>SUM(K35:K40)</f>
        <v>0</v>
      </c>
      <c r="L34" s="437">
        <f t="shared" si="7"/>
        <v>0</v>
      </c>
      <c r="M34" s="437">
        <f t="shared" si="7"/>
        <v>0</v>
      </c>
      <c r="N34" s="437">
        <f>SUM(N35:N40)</f>
        <v>0</v>
      </c>
      <c r="O34" s="437">
        <f t="shared" si="7"/>
        <v>0</v>
      </c>
      <c r="P34" s="437">
        <f t="shared" si="7"/>
        <v>0</v>
      </c>
      <c r="Q34" s="437">
        <f>SUM(Q35:Q40)</f>
        <v>0</v>
      </c>
      <c r="R34" s="437">
        <f t="shared" si="7"/>
        <v>0</v>
      </c>
      <c r="S34" s="417">
        <f t="shared" si="1"/>
        <v>450279</v>
      </c>
      <c r="T34" s="417">
        <f t="shared" si="2"/>
        <v>450279</v>
      </c>
      <c r="U34" s="543">
        <f t="shared" si="2"/>
        <v>489276</v>
      </c>
    </row>
    <row r="35" spans="1:21" ht="19.5" customHeight="1">
      <c r="A35" s="426" t="s">
        <v>561</v>
      </c>
      <c r="B35" s="434">
        <v>250</v>
      </c>
      <c r="C35" s="434">
        <v>250</v>
      </c>
      <c r="D35" s="434">
        <v>4935</v>
      </c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5"/>
      <c r="R35" s="435"/>
      <c r="S35" s="425">
        <f t="shared" si="1"/>
        <v>250</v>
      </c>
      <c r="T35" s="424">
        <f t="shared" si="2"/>
        <v>250</v>
      </c>
      <c r="U35" s="543">
        <f t="shared" si="2"/>
        <v>4935</v>
      </c>
    </row>
    <row r="36" spans="1:21" ht="19.5" customHeight="1">
      <c r="A36" s="426" t="s">
        <v>562</v>
      </c>
      <c r="B36" s="434">
        <v>277977</v>
      </c>
      <c r="C36" s="434">
        <v>277977</v>
      </c>
      <c r="D36" s="434">
        <v>277977</v>
      </c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5"/>
      <c r="R36" s="435"/>
      <c r="S36" s="425">
        <f t="shared" si="1"/>
        <v>277977</v>
      </c>
      <c r="T36" s="424">
        <f t="shared" si="2"/>
        <v>277977</v>
      </c>
      <c r="U36" s="543">
        <f t="shared" si="2"/>
        <v>277977</v>
      </c>
    </row>
    <row r="37" spans="1:21" ht="19.5" customHeight="1">
      <c r="A37" s="426" t="s">
        <v>563</v>
      </c>
      <c r="B37" s="434">
        <v>162972</v>
      </c>
      <c r="C37" s="434">
        <v>162972</v>
      </c>
      <c r="D37" s="434">
        <v>162972</v>
      </c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5"/>
      <c r="R37" s="435"/>
      <c r="S37" s="425">
        <f t="shared" si="1"/>
        <v>162972</v>
      </c>
      <c r="T37" s="424">
        <f t="shared" si="2"/>
        <v>162972</v>
      </c>
      <c r="U37" s="543">
        <f t="shared" si="2"/>
        <v>162972</v>
      </c>
    </row>
    <row r="38" spans="1:21" ht="19.5" customHeight="1">
      <c r="A38" s="426" t="s">
        <v>564</v>
      </c>
      <c r="B38" s="434">
        <v>7080</v>
      </c>
      <c r="C38" s="434">
        <v>7080</v>
      </c>
      <c r="D38" s="434">
        <v>13080</v>
      </c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5"/>
      <c r="R38" s="435"/>
      <c r="S38" s="425">
        <f t="shared" si="1"/>
        <v>7080</v>
      </c>
      <c r="T38" s="424">
        <f t="shared" si="2"/>
        <v>7080</v>
      </c>
      <c r="U38" s="543">
        <f t="shared" si="2"/>
        <v>13080</v>
      </c>
    </row>
    <row r="39" spans="1:21" ht="19.5" customHeight="1">
      <c r="A39" s="426" t="s">
        <v>565</v>
      </c>
      <c r="B39" s="434">
        <v>2000</v>
      </c>
      <c r="C39" s="434">
        <v>2000</v>
      </c>
      <c r="D39" s="434">
        <v>29600</v>
      </c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5"/>
      <c r="R39" s="435"/>
      <c r="S39" s="425">
        <f t="shared" si="1"/>
        <v>2000</v>
      </c>
      <c r="T39" s="424">
        <f t="shared" si="2"/>
        <v>2000</v>
      </c>
      <c r="U39" s="543">
        <f t="shared" si="2"/>
        <v>29600</v>
      </c>
    </row>
    <row r="40" spans="1:21" ht="19.5" customHeight="1">
      <c r="A40" s="444" t="s">
        <v>566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5"/>
      <c r="R40" s="435"/>
      <c r="S40" s="425">
        <f t="shared" si="1"/>
        <v>0</v>
      </c>
      <c r="T40" s="424">
        <f t="shared" si="2"/>
        <v>0</v>
      </c>
      <c r="U40" s="543">
        <f t="shared" si="2"/>
        <v>0</v>
      </c>
    </row>
    <row r="41" spans="1:21" ht="19.5" customHeight="1">
      <c r="A41" s="444" t="s">
        <v>289</v>
      </c>
      <c r="B41" s="434"/>
      <c r="C41" s="434"/>
      <c r="D41" s="434">
        <v>712</v>
      </c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5"/>
      <c r="R41" s="435"/>
      <c r="S41" s="425"/>
      <c r="T41" s="424"/>
      <c r="U41" s="543"/>
    </row>
    <row r="42" spans="1:21" s="439" customFormat="1" ht="19.5" customHeight="1">
      <c r="A42" s="443" t="s">
        <v>567</v>
      </c>
      <c r="B42" s="437">
        <f aca="true" t="shared" si="8" ref="B42:R42">SUM(B44,B43)</f>
        <v>3256122</v>
      </c>
      <c r="C42" s="437">
        <f>SUM(C44,C43)</f>
        <v>3256140</v>
      </c>
      <c r="D42" s="437">
        <f t="shared" si="8"/>
        <v>3250633</v>
      </c>
      <c r="E42" s="437">
        <f t="shared" si="8"/>
        <v>0</v>
      </c>
      <c r="F42" s="437">
        <f>SUM(F44,F43)</f>
        <v>0</v>
      </c>
      <c r="G42" s="437">
        <f t="shared" si="8"/>
        <v>0</v>
      </c>
      <c r="H42" s="437">
        <f t="shared" si="8"/>
        <v>0</v>
      </c>
      <c r="I42" s="437">
        <f>SUM(I44,I43)</f>
        <v>0</v>
      </c>
      <c r="J42" s="437">
        <f t="shared" si="8"/>
        <v>0</v>
      </c>
      <c r="K42" s="437">
        <f>SUM(K44,K43)</f>
        <v>0</v>
      </c>
      <c r="L42" s="437">
        <f t="shared" si="8"/>
        <v>0</v>
      </c>
      <c r="M42" s="437">
        <f t="shared" si="8"/>
        <v>0</v>
      </c>
      <c r="N42" s="437">
        <f>SUM(N44,N43)</f>
        <v>285</v>
      </c>
      <c r="O42" s="437">
        <f t="shared" si="8"/>
        <v>285</v>
      </c>
      <c r="P42" s="437">
        <f t="shared" si="8"/>
        <v>0</v>
      </c>
      <c r="Q42" s="437">
        <f>SUM(Q44,Q43)</f>
        <v>0</v>
      </c>
      <c r="R42" s="437">
        <f t="shared" si="8"/>
        <v>0</v>
      </c>
      <c r="S42" s="417">
        <f t="shared" si="1"/>
        <v>3256122</v>
      </c>
      <c r="T42" s="417">
        <f t="shared" si="2"/>
        <v>3256425</v>
      </c>
      <c r="U42" s="543">
        <f t="shared" si="2"/>
        <v>3250918</v>
      </c>
    </row>
    <row r="43" spans="1:21" ht="19.5" customHeight="1">
      <c r="A43" s="444" t="s">
        <v>568</v>
      </c>
      <c r="B43" s="434">
        <v>0</v>
      </c>
      <c r="C43" s="434">
        <v>18</v>
      </c>
      <c r="D43" s="434">
        <v>1099</v>
      </c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5"/>
      <c r="R43" s="435"/>
      <c r="S43" s="425">
        <f t="shared" si="1"/>
        <v>0</v>
      </c>
      <c r="T43" s="424">
        <f t="shared" si="2"/>
        <v>18</v>
      </c>
      <c r="U43" s="543">
        <f t="shared" si="2"/>
        <v>1099</v>
      </c>
    </row>
    <row r="44" spans="1:21" ht="19.5" customHeight="1">
      <c r="A44" s="444" t="s">
        <v>569</v>
      </c>
      <c r="B44" s="434">
        <f aca="true" t="shared" si="9" ref="B44:R44">SUM(B45:B47)</f>
        <v>3256122</v>
      </c>
      <c r="C44" s="434">
        <f t="shared" si="9"/>
        <v>3256122</v>
      </c>
      <c r="D44" s="434">
        <f t="shared" si="9"/>
        <v>3249534</v>
      </c>
      <c r="E44" s="434">
        <f t="shared" si="9"/>
        <v>0</v>
      </c>
      <c r="F44" s="434">
        <f>SUM(F45:F47)</f>
        <v>0</v>
      </c>
      <c r="G44" s="434">
        <f t="shared" si="9"/>
        <v>0</v>
      </c>
      <c r="H44" s="434">
        <f t="shared" si="9"/>
        <v>0</v>
      </c>
      <c r="I44" s="434">
        <f>SUM(I45:I47)</f>
        <v>0</v>
      </c>
      <c r="J44" s="434">
        <f t="shared" si="9"/>
        <v>0</v>
      </c>
      <c r="K44" s="434">
        <f>SUM(K45:K47)</f>
        <v>0</v>
      </c>
      <c r="L44" s="434">
        <f t="shared" si="9"/>
        <v>0</v>
      </c>
      <c r="M44" s="434">
        <f t="shared" si="9"/>
        <v>0</v>
      </c>
      <c r="N44" s="434">
        <f t="shared" si="9"/>
        <v>285</v>
      </c>
      <c r="O44" s="434">
        <f t="shared" si="9"/>
        <v>285</v>
      </c>
      <c r="P44" s="434">
        <f t="shared" si="9"/>
        <v>0</v>
      </c>
      <c r="Q44" s="434">
        <f>SUM(Q45:Q47)</f>
        <v>0</v>
      </c>
      <c r="R44" s="434">
        <f t="shared" si="9"/>
        <v>0</v>
      </c>
      <c r="S44" s="425">
        <f t="shared" si="1"/>
        <v>3256122</v>
      </c>
      <c r="T44" s="424">
        <f t="shared" si="2"/>
        <v>3256407</v>
      </c>
      <c r="U44" s="543">
        <f t="shared" si="2"/>
        <v>3249819</v>
      </c>
    </row>
    <row r="45" spans="1:21" s="430" customFormat="1" ht="19.5" customHeight="1">
      <c r="A45" s="445" t="s">
        <v>570</v>
      </c>
      <c r="B45" s="446">
        <v>1537265</v>
      </c>
      <c r="C45" s="446">
        <v>1976642</v>
      </c>
      <c r="D45" s="446">
        <v>1965054</v>
      </c>
      <c r="E45" s="446"/>
      <c r="F45" s="446"/>
      <c r="G45" s="446"/>
      <c r="H45" s="446"/>
      <c r="I45" s="446"/>
      <c r="J45" s="446"/>
      <c r="K45" s="446"/>
      <c r="L45" s="446"/>
      <c r="M45" s="446"/>
      <c r="N45" s="446">
        <v>285</v>
      </c>
      <c r="O45" s="446">
        <v>285</v>
      </c>
      <c r="P45" s="446"/>
      <c r="Q45" s="447"/>
      <c r="R45" s="447"/>
      <c r="S45" s="425">
        <f t="shared" si="1"/>
        <v>1537265</v>
      </c>
      <c r="T45" s="424">
        <f t="shared" si="2"/>
        <v>1976927</v>
      </c>
      <c r="U45" s="543">
        <f t="shared" si="2"/>
        <v>1965339</v>
      </c>
    </row>
    <row r="46" spans="1:21" s="430" customFormat="1" ht="31.5">
      <c r="A46" s="448" t="s">
        <v>571</v>
      </c>
      <c r="B46" s="446">
        <f>1591726+127081</f>
        <v>1718807</v>
      </c>
      <c r="C46" s="446">
        <v>1279430</v>
      </c>
      <c r="D46" s="446">
        <v>1279430</v>
      </c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7"/>
      <c r="R46" s="447"/>
      <c r="S46" s="425">
        <f t="shared" si="1"/>
        <v>1718807</v>
      </c>
      <c r="T46" s="424">
        <f t="shared" si="2"/>
        <v>1279430</v>
      </c>
      <c r="U46" s="543">
        <f t="shared" si="2"/>
        <v>1279430</v>
      </c>
    </row>
    <row r="47" spans="1:21" s="430" customFormat="1" ht="19.5" customHeight="1">
      <c r="A47" s="445" t="s">
        <v>572</v>
      </c>
      <c r="B47" s="446">
        <v>50</v>
      </c>
      <c r="C47" s="446">
        <v>50</v>
      </c>
      <c r="D47" s="446">
        <v>5050</v>
      </c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7"/>
      <c r="R47" s="447"/>
      <c r="S47" s="425">
        <f t="shared" si="1"/>
        <v>50</v>
      </c>
      <c r="T47" s="424">
        <f t="shared" si="2"/>
        <v>50</v>
      </c>
      <c r="U47" s="543">
        <f t="shared" si="2"/>
        <v>5050</v>
      </c>
    </row>
    <row r="48" spans="1:21" s="439" customFormat="1" ht="19.5" customHeight="1">
      <c r="A48" s="443" t="s">
        <v>573</v>
      </c>
      <c r="B48" s="437">
        <v>107757</v>
      </c>
      <c r="C48" s="437">
        <v>148697</v>
      </c>
      <c r="D48" s="437">
        <v>171697</v>
      </c>
      <c r="E48" s="437">
        <v>0</v>
      </c>
      <c r="F48" s="437"/>
      <c r="G48" s="437"/>
      <c r="H48" s="437">
        <v>1692</v>
      </c>
      <c r="I48" s="437">
        <v>209</v>
      </c>
      <c r="J48" s="437">
        <v>209</v>
      </c>
      <c r="K48" s="437">
        <v>1483</v>
      </c>
      <c r="L48" s="437">
        <v>1483</v>
      </c>
      <c r="M48" s="437">
        <v>0</v>
      </c>
      <c r="N48" s="437"/>
      <c r="O48" s="437"/>
      <c r="P48" s="437">
        <v>0</v>
      </c>
      <c r="Q48" s="438"/>
      <c r="R48" s="438"/>
      <c r="S48" s="417">
        <f t="shared" si="1"/>
        <v>109449</v>
      </c>
      <c r="T48" s="449">
        <f t="shared" si="2"/>
        <v>150389</v>
      </c>
      <c r="U48" s="543">
        <f t="shared" si="2"/>
        <v>173389</v>
      </c>
    </row>
    <row r="49" spans="1:21" s="453" customFormat="1" ht="30.75" customHeight="1">
      <c r="A49" s="450" t="s">
        <v>574</v>
      </c>
      <c r="B49" s="451"/>
      <c r="C49" s="451"/>
      <c r="D49" s="451"/>
      <c r="E49" s="451">
        <v>14726</v>
      </c>
      <c r="F49" s="451">
        <v>14726</v>
      </c>
      <c r="G49" s="451">
        <v>15714</v>
      </c>
      <c r="H49" s="451">
        <v>578880</v>
      </c>
      <c r="I49" s="451">
        <v>112951</v>
      </c>
      <c r="J49" s="451">
        <v>112951</v>
      </c>
      <c r="K49" s="451">
        <v>510748</v>
      </c>
      <c r="L49" s="451">
        <v>489906</v>
      </c>
      <c r="M49" s="451">
        <v>779538</v>
      </c>
      <c r="N49" s="451">
        <v>804082</v>
      </c>
      <c r="O49" s="451">
        <v>732082</v>
      </c>
      <c r="P49" s="451">
        <v>134516</v>
      </c>
      <c r="Q49" s="452">
        <v>135214</v>
      </c>
      <c r="R49" s="452">
        <v>135705</v>
      </c>
      <c r="S49" s="417">
        <f t="shared" si="1"/>
        <v>1507660</v>
      </c>
      <c r="T49" s="449">
        <f t="shared" si="2"/>
        <v>1577721</v>
      </c>
      <c r="U49" s="543">
        <f t="shared" si="2"/>
        <v>1486358</v>
      </c>
    </row>
    <row r="50" spans="1:21" ht="19.5" customHeight="1">
      <c r="A50" s="443" t="s">
        <v>575</v>
      </c>
      <c r="B50" s="437">
        <v>501869</v>
      </c>
      <c r="C50" s="437">
        <v>778737</v>
      </c>
      <c r="D50" s="437">
        <v>778737</v>
      </c>
      <c r="E50" s="437">
        <v>0</v>
      </c>
      <c r="F50" s="437">
        <v>2000</v>
      </c>
      <c r="G50" s="437">
        <v>2000</v>
      </c>
      <c r="H50" s="437">
        <v>0</v>
      </c>
      <c r="I50" s="437">
        <v>16949</v>
      </c>
      <c r="J50" s="437">
        <v>16949</v>
      </c>
      <c r="K50" s="437"/>
      <c r="L50" s="437"/>
      <c r="M50" s="437">
        <v>0</v>
      </c>
      <c r="N50" s="437">
        <v>27601</v>
      </c>
      <c r="O50" s="437">
        <v>27601</v>
      </c>
      <c r="P50" s="437">
        <v>0</v>
      </c>
      <c r="Q50" s="438"/>
      <c r="R50" s="438"/>
      <c r="S50" s="417">
        <f t="shared" si="1"/>
        <v>501869</v>
      </c>
      <c r="T50" s="449">
        <f t="shared" si="2"/>
        <v>825287</v>
      </c>
      <c r="U50" s="543">
        <f t="shared" si="2"/>
        <v>825287</v>
      </c>
    </row>
    <row r="51" spans="1:21" ht="19.5" customHeight="1">
      <c r="A51" s="443" t="s">
        <v>576</v>
      </c>
      <c r="B51" s="437">
        <v>714718</v>
      </c>
      <c r="C51" s="437">
        <v>685999</v>
      </c>
      <c r="D51" s="437">
        <v>674899</v>
      </c>
      <c r="E51" s="437"/>
      <c r="F51" s="437"/>
      <c r="G51" s="437"/>
      <c r="H51" s="437"/>
      <c r="I51" s="437"/>
      <c r="J51" s="437"/>
      <c r="K51" s="437"/>
      <c r="L51" s="437"/>
      <c r="M51" s="437">
        <v>0</v>
      </c>
      <c r="N51" s="437"/>
      <c r="O51" s="437"/>
      <c r="P51" s="437">
        <v>0</v>
      </c>
      <c r="Q51" s="438"/>
      <c r="R51" s="438"/>
      <c r="S51" s="417">
        <f t="shared" si="1"/>
        <v>714718</v>
      </c>
      <c r="T51" s="449">
        <f t="shared" si="2"/>
        <v>685999</v>
      </c>
      <c r="U51" s="543">
        <f t="shared" si="2"/>
        <v>674899</v>
      </c>
    </row>
    <row r="52" spans="1:21" ht="19.5" customHeight="1">
      <c r="A52" s="559" t="s">
        <v>400</v>
      </c>
      <c r="B52" s="560"/>
      <c r="C52" s="560">
        <v>102</v>
      </c>
      <c r="D52" s="560">
        <v>102</v>
      </c>
      <c r="E52" s="560"/>
      <c r="F52" s="560"/>
      <c r="G52" s="560"/>
      <c r="H52" s="560"/>
      <c r="I52" s="560"/>
      <c r="J52" s="560"/>
      <c r="K52" s="560"/>
      <c r="L52" s="560"/>
      <c r="M52" s="560"/>
      <c r="N52" s="560">
        <v>17676</v>
      </c>
      <c r="O52" s="560">
        <v>17676</v>
      </c>
      <c r="P52" s="560"/>
      <c r="Q52" s="561">
        <v>29686</v>
      </c>
      <c r="R52" s="561">
        <v>29686</v>
      </c>
      <c r="S52" s="562"/>
      <c r="T52" s="563">
        <f>C52+N52+Q52</f>
        <v>47464</v>
      </c>
      <c r="U52" s="543">
        <f t="shared" si="2"/>
        <v>47464</v>
      </c>
    </row>
    <row r="53" spans="1:21" ht="19.5" customHeight="1" thickBot="1">
      <c r="A53" s="454" t="s">
        <v>577</v>
      </c>
      <c r="B53" s="455">
        <f aca="true" t="shared" si="10" ref="B53:M53">SUM(B6,B27,B31,B34,B42,B48,B50,B51,B49)</f>
        <v>7814353</v>
      </c>
      <c r="C53" s="455">
        <f>SUM(C6,C27,C31,C34,C42,C48,C50,C51,C49+C52)</f>
        <v>8231828</v>
      </c>
      <c r="D53" s="455">
        <f>SUM(D6,D27,D31,D34,D42,D48,D50,D51,D49+D52)</f>
        <v>8353318</v>
      </c>
      <c r="E53" s="455">
        <f t="shared" si="10"/>
        <v>16726</v>
      </c>
      <c r="F53" s="455">
        <f>SUM(F6,F27,F31,F34,F42,F48,F50,F51,F49)</f>
        <v>18726</v>
      </c>
      <c r="G53" s="455">
        <f t="shared" si="10"/>
        <v>19714</v>
      </c>
      <c r="H53" s="455">
        <f t="shared" si="10"/>
        <v>596726</v>
      </c>
      <c r="I53" s="455">
        <f>SUM(I6,I27,I31,I34,I42,I48,I50,I51,I49)</f>
        <v>130598</v>
      </c>
      <c r="J53" s="455">
        <f t="shared" si="10"/>
        <v>130598</v>
      </c>
      <c r="K53" s="455">
        <f>SUM(K6,K27,K31,K34,K42,K48,K50,K51,K49)</f>
        <v>539673</v>
      </c>
      <c r="L53" s="455">
        <f t="shared" si="10"/>
        <v>543997</v>
      </c>
      <c r="M53" s="455">
        <f t="shared" si="10"/>
        <v>967789</v>
      </c>
      <c r="N53" s="455">
        <f>SUM(N6,N27,N31,N34,N42,N48,N50,N51,N49,N52)</f>
        <v>1056696</v>
      </c>
      <c r="O53" s="455">
        <f>SUM(O6,O27,O31,O34,O42,O48,O50,O51,O49,O52)</f>
        <v>969282</v>
      </c>
      <c r="P53" s="455">
        <f aca="true" t="shared" si="11" ref="P53:U53">SUM(P6,P27,P31,P34,P42,P48,P50,P51,P49,P52)</f>
        <v>150482</v>
      </c>
      <c r="Q53" s="455">
        <f t="shared" si="11"/>
        <v>180866</v>
      </c>
      <c r="R53" s="455">
        <f t="shared" si="11"/>
        <v>182444</v>
      </c>
      <c r="S53" s="455">
        <f t="shared" si="11"/>
        <v>9546076</v>
      </c>
      <c r="T53" s="455">
        <f t="shared" si="11"/>
        <v>10158387</v>
      </c>
      <c r="U53" s="550">
        <f t="shared" si="11"/>
        <v>10199353</v>
      </c>
    </row>
    <row r="54" spans="1:19" ht="15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</sheetData>
  <mergeCells count="8">
    <mergeCell ref="B4:D4"/>
    <mergeCell ref="E4:G4"/>
    <mergeCell ref="H4:J4"/>
    <mergeCell ref="A2:U2"/>
    <mergeCell ref="K4:L4"/>
    <mergeCell ref="M4:O4"/>
    <mergeCell ref="P4:R4"/>
    <mergeCell ref="S4:U4"/>
  </mergeCells>
  <printOptions horizontalCentered="1"/>
  <pageMargins left="0.07874015748031496" right="0.07874015748031496" top="0.7480314960629921" bottom="0.5905511811023623" header="0.5118110236220472" footer="0.15748031496062992"/>
  <pageSetup horizontalDpi="600" verticalDpi="600" orientation="landscape" paperSize="9" scale="43" r:id="rId1"/>
  <headerFooter alignWithMargins="0">
    <oddHeader>&amp;L&amp;11 3. melléklet a 24/2013.(IX.13.) önkormányzati rendelethez
"3. melléklet az 1/2013.(II.01.) önkormányzati rendelethez"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273"/>
  <sheetViews>
    <sheetView view="pageBreakPreview" zoomScaleSheetLayoutView="100" workbookViewId="0" topLeftCell="O19">
      <selection activeCell="V42" sqref="V42"/>
    </sheetView>
  </sheetViews>
  <sheetFormatPr defaultColWidth="9.00390625" defaultRowHeight="25.5" customHeight="1"/>
  <cols>
    <col min="1" max="1" width="0.12890625" style="15" hidden="1" customWidth="1"/>
    <col min="2" max="2" width="0" style="15" hidden="1" customWidth="1"/>
    <col min="3" max="3" width="61.875" style="15" customWidth="1"/>
    <col min="4" max="4" width="11.875" style="15" customWidth="1"/>
    <col min="5" max="5" width="13.00390625" style="15" customWidth="1"/>
    <col min="6" max="6" width="13.25390625" style="15" customWidth="1"/>
    <col min="7" max="7" width="10.875" style="15" customWidth="1"/>
    <col min="8" max="8" width="12.625" style="15" customWidth="1"/>
    <col min="9" max="9" width="13.25390625" style="15" customWidth="1"/>
    <col min="10" max="10" width="10.875" style="15" customWidth="1"/>
    <col min="11" max="11" width="12.375" style="15" customWidth="1"/>
    <col min="12" max="12" width="13.25390625" style="15" customWidth="1"/>
    <col min="13" max="13" width="12.25390625" style="15" customWidth="1"/>
    <col min="14" max="14" width="13.125" style="15" customWidth="1"/>
    <col min="15" max="15" width="11.00390625" style="15" customWidth="1"/>
    <col min="16" max="16" width="12.875" style="15" customWidth="1"/>
    <col min="17" max="17" width="13.25390625" style="15" customWidth="1"/>
    <col min="18" max="18" width="11.75390625" style="15" customWidth="1"/>
    <col min="19" max="19" width="13.875" style="15" customWidth="1"/>
    <col min="20" max="20" width="13.625" style="15" customWidth="1"/>
    <col min="21" max="21" width="12.00390625" style="15" customWidth="1"/>
    <col min="22" max="22" width="12.875" style="15" customWidth="1"/>
    <col min="23" max="23" width="13.00390625" style="15" customWidth="1"/>
    <col min="24" max="16384" width="9.125" style="15" customWidth="1"/>
  </cols>
  <sheetData>
    <row r="1" spans="3:23" s="14" customFormat="1" ht="18" customHeight="1">
      <c r="C1" s="1143" t="s">
        <v>578</v>
      </c>
      <c r="D1" s="1143"/>
      <c r="E1" s="1143"/>
      <c r="F1" s="1143"/>
      <c r="G1" s="1143"/>
      <c r="H1" s="1143"/>
      <c r="I1" s="1143"/>
      <c r="J1" s="1143"/>
      <c r="K1" s="1143"/>
      <c r="L1" s="1143"/>
      <c r="M1" s="1143"/>
      <c r="N1" s="1143"/>
      <c r="O1" s="1143"/>
      <c r="P1" s="1143"/>
      <c r="Q1" s="1143"/>
      <c r="R1" s="1143"/>
      <c r="S1" s="1143"/>
      <c r="T1" s="1143"/>
      <c r="U1" s="1143"/>
      <c r="V1" s="1143"/>
      <c r="W1" s="1143"/>
    </row>
    <row r="2" spans="3:21" s="14" customFormat="1" ht="18" customHeight="1">
      <c r="C2" s="1144" t="s">
        <v>579</v>
      </c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1144"/>
      <c r="O2" s="1144"/>
      <c r="P2" s="1144"/>
      <c r="Q2" s="1144"/>
      <c r="R2" s="1144"/>
      <c r="S2" s="1144"/>
      <c r="T2" s="1144"/>
      <c r="U2" s="1145"/>
    </row>
    <row r="3" spans="3:20" s="14" customFormat="1" ht="18" customHeight="1" thickBot="1"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</row>
    <row r="4" spans="1:33" ht="63" customHeight="1">
      <c r="A4" s="459"/>
      <c r="B4" s="14"/>
      <c r="C4" s="460" t="s">
        <v>580</v>
      </c>
      <c r="D4" s="1168" t="s">
        <v>514</v>
      </c>
      <c r="E4" s="1169"/>
      <c r="F4" s="1170"/>
      <c r="G4" s="1146" t="s">
        <v>515</v>
      </c>
      <c r="H4" s="1146"/>
      <c r="I4" s="1146"/>
      <c r="J4" s="1169" t="s">
        <v>516</v>
      </c>
      <c r="K4" s="1169"/>
      <c r="L4" s="1170"/>
      <c r="M4" s="1168" t="s">
        <v>517</v>
      </c>
      <c r="N4" s="1170"/>
      <c r="O4" s="1168" t="s">
        <v>518</v>
      </c>
      <c r="P4" s="1169"/>
      <c r="Q4" s="1170"/>
      <c r="R4" s="1168" t="s">
        <v>581</v>
      </c>
      <c r="S4" s="1169"/>
      <c r="T4" s="1170"/>
      <c r="U4" s="1140" t="s">
        <v>520</v>
      </c>
      <c r="V4" s="1141"/>
      <c r="W4" s="1142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33" customHeight="1">
      <c r="A5" s="461"/>
      <c r="B5" s="462"/>
      <c r="C5" s="463"/>
      <c r="D5" s="464" t="s">
        <v>521</v>
      </c>
      <c r="E5" s="464" t="s">
        <v>473</v>
      </c>
      <c r="F5" s="464" t="s">
        <v>549</v>
      </c>
      <c r="G5" s="464" t="s">
        <v>521</v>
      </c>
      <c r="H5" s="464" t="s">
        <v>473</v>
      </c>
      <c r="I5" s="464" t="s">
        <v>549</v>
      </c>
      <c r="J5" s="465" t="s">
        <v>521</v>
      </c>
      <c r="K5" s="464" t="s">
        <v>473</v>
      </c>
      <c r="L5" s="464" t="s">
        <v>549</v>
      </c>
      <c r="M5" s="464" t="s">
        <v>473</v>
      </c>
      <c r="N5" s="464" t="s">
        <v>549</v>
      </c>
      <c r="O5" s="464" t="s">
        <v>521</v>
      </c>
      <c r="P5" s="464" t="s">
        <v>473</v>
      </c>
      <c r="Q5" s="464" t="s">
        <v>549</v>
      </c>
      <c r="R5" s="464" t="s">
        <v>521</v>
      </c>
      <c r="S5" s="466" t="s">
        <v>473</v>
      </c>
      <c r="T5" s="464" t="s">
        <v>549</v>
      </c>
      <c r="U5" s="466" t="s">
        <v>522</v>
      </c>
      <c r="V5" s="466" t="s">
        <v>472</v>
      </c>
      <c r="W5" s="458" t="s">
        <v>549</v>
      </c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s="407" customFormat="1" ht="19.5" customHeight="1">
      <c r="A6" s="467"/>
      <c r="B6" s="457"/>
      <c r="C6" s="65" t="s">
        <v>582</v>
      </c>
      <c r="D6" s="468">
        <v>88155</v>
      </c>
      <c r="E6" s="468">
        <v>88657</v>
      </c>
      <c r="F6" s="468">
        <v>88933</v>
      </c>
      <c r="G6" s="468">
        <v>10203</v>
      </c>
      <c r="H6" s="468">
        <v>11540</v>
      </c>
      <c r="I6" s="468">
        <v>12323</v>
      </c>
      <c r="J6" s="469">
        <v>283587</v>
      </c>
      <c r="K6" s="470">
        <v>66730</v>
      </c>
      <c r="L6" s="470">
        <v>66730</v>
      </c>
      <c r="M6" s="470">
        <v>260814</v>
      </c>
      <c r="N6" s="470">
        <v>264218</v>
      </c>
      <c r="O6" s="470">
        <v>384911</v>
      </c>
      <c r="P6" s="470">
        <v>397127</v>
      </c>
      <c r="Q6" s="470">
        <v>352578</v>
      </c>
      <c r="R6" s="470">
        <v>70787</v>
      </c>
      <c r="S6" s="470">
        <v>77131</v>
      </c>
      <c r="T6" s="470">
        <v>78311</v>
      </c>
      <c r="U6" s="438">
        <f aca="true" t="shared" si="0" ref="U6:U41">SUM(D6+G6+J6+O6+R6)</f>
        <v>837643</v>
      </c>
      <c r="V6" s="438">
        <f aca="true" t="shared" si="1" ref="V6:V41">SUM(E6+H6+K6+M6+P6+S6)</f>
        <v>901999</v>
      </c>
      <c r="W6" s="549">
        <f>SUM(F6+I6+L6+N6+Q6+T6)</f>
        <v>863093</v>
      </c>
      <c r="X6" s="457"/>
      <c r="Y6" s="457"/>
      <c r="Z6" s="457"/>
      <c r="AA6" s="457"/>
      <c r="AB6" s="457"/>
      <c r="AC6" s="457"/>
      <c r="AD6" s="457"/>
      <c r="AE6" s="457"/>
      <c r="AF6" s="457"/>
      <c r="AG6" s="457"/>
    </row>
    <row r="7" spans="1:33" s="407" customFormat="1" ht="19.5" customHeight="1">
      <c r="A7" s="467"/>
      <c r="B7" s="457"/>
      <c r="C7" s="65" t="s">
        <v>583</v>
      </c>
      <c r="D7" s="468">
        <v>28033</v>
      </c>
      <c r="E7" s="468">
        <v>31605</v>
      </c>
      <c r="F7" s="468">
        <v>31688</v>
      </c>
      <c r="G7" s="468">
        <v>2388</v>
      </c>
      <c r="H7" s="468">
        <v>2749</v>
      </c>
      <c r="I7" s="468">
        <v>2954</v>
      </c>
      <c r="J7" s="471">
        <v>72958</v>
      </c>
      <c r="K7" s="472">
        <v>17470</v>
      </c>
      <c r="L7" s="472">
        <v>17470</v>
      </c>
      <c r="M7" s="472">
        <v>64383</v>
      </c>
      <c r="N7" s="472">
        <v>65303</v>
      </c>
      <c r="O7" s="472">
        <v>100643</v>
      </c>
      <c r="P7" s="472">
        <v>103488</v>
      </c>
      <c r="Q7" s="472">
        <v>91494</v>
      </c>
      <c r="R7" s="472">
        <v>18942</v>
      </c>
      <c r="S7" s="472">
        <v>20776</v>
      </c>
      <c r="T7" s="472">
        <v>21174</v>
      </c>
      <c r="U7" s="438">
        <f t="shared" si="0"/>
        <v>222964</v>
      </c>
      <c r="V7" s="438">
        <f t="shared" si="1"/>
        <v>240471</v>
      </c>
      <c r="W7" s="549">
        <f aca="true" t="shared" si="2" ref="V7:W42">SUM(F7+I7+L7+N7+Q7+T7)</f>
        <v>230083</v>
      </c>
      <c r="X7" s="457"/>
      <c r="Y7" s="457"/>
      <c r="Z7" s="457"/>
      <c r="AA7" s="457"/>
      <c r="AB7" s="457"/>
      <c r="AC7" s="457"/>
      <c r="AD7" s="457"/>
      <c r="AE7" s="457"/>
      <c r="AF7" s="457"/>
      <c r="AG7" s="457"/>
    </row>
    <row r="8" spans="1:33" s="407" customFormat="1" ht="19.5" customHeight="1">
      <c r="A8" s="467"/>
      <c r="B8" s="457"/>
      <c r="C8" s="473" t="s">
        <v>584</v>
      </c>
      <c r="D8" s="474">
        <f>685648+5000</f>
        <v>690648</v>
      </c>
      <c r="E8" s="474">
        <v>721270</v>
      </c>
      <c r="F8" s="474">
        <v>731841</v>
      </c>
      <c r="G8" s="474">
        <v>4135</v>
      </c>
      <c r="H8" s="474">
        <v>4335</v>
      </c>
      <c r="I8" s="474">
        <v>4335</v>
      </c>
      <c r="J8" s="475">
        <v>129278</v>
      </c>
      <c r="K8" s="474">
        <v>21782</v>
      </c>
      <c r="L8" s="474">
        <v>21782</v>
      </c>
      <c r="M8" s="474">
        <v>118095</v>
      </c>
      <c r="N8" s="474">
        <v>118095</v>
      </c>
      <c r="O8" s="474">
        <v>468022</v>
      </c>
      <c r="P8" s="474">
        <v>523907</v>
      </c>
      <c r="Q8" s="474">
        <v>490883</v>
      </c>
      <c r="R8" s="468">
        <v>48195</v>
      </c>
      <c r="S8" s="472">
        <v>67930</v>
      </c>
      <c r="T8" s="472">
        <v>67930</v>
      </c>
      <c r="U8" s="438">
        <f t="shared" si="0"/>
        <v>1340278</v>
      </c>
      <c r="V8" s="438">
        <f t="shared" si="1"/>
        <v>1457319</v>
      </c>
      <c r="W8" s="549">
        <f t="shared" si="2"/>
        <v>1434866</v>
      </c>
      <c r="X8" s="457"/>
      <c r="Y8" s="457"/>
      <c r="Z8" s="457"/>
      <c r="AA8" s="457"/>
      <c r="AB8" s="457"/>
      <c r="AC8" s="457"/>
      <c r="AD8" s="457"/>
      <c r="AE8" s="457"/>
      <c r="AF8" s="457"/>
      <c r="AG8" s="457"/>
    </row>
    <row r="9" spans="1:33" s="407" customFormat="1" ht="19.5" customHeight="1">
      <c r="A9" s="467"/>
      <c r="B9" s="457"/>
      <c r="C9" s="476" t="s">
        <v>585</v>
      </c>
      <c r="D9" s="477">
        <v>52213</v>
      </c>
      <c r="E9" s="477">
        <v>52213</v>
      </c>
      <c r="F9" s="477">
        <v>33329</v>
      </c>
      <c r="G9" s="477"/>
      <c r="H9" s="477"/>
      <c r="I9" s="477"/>
      <c r="J9" s="478"/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435">
        <f t="shared" si="0"/>
        <v>52213</v>
      </c>
      <c r="V9" s="435">
        <f t="shared" si="1"/>
        <v>52213</v>
      </c>
      <c r="W9" s="1057">
        <f t="shared" si="2"/>
        <v>33329</v>
      </c>
      <c r="X9" s="457"/>
      <c r="Y9" s="457"/>
      <c r="Z9" s="457"/>
      <c r="AA9" s="457"/>
      <c r="AB9" s="457"/>
      <c r="AC9" s="457"/>
      <c r="AD9" s="457"/>
      <c r="AE9" s="457"/>
      <c r="AF9" s="457"/>
      <c r="AG9" s="457"/>
    </row>
    <row r="10" spans="1:33" s="407" customFormat="1" ht="19.5" customHeight="1">
      <c r="A10" s="467"/>
      <c r="B10" s="457"/>
      <c r="C10" s="473" t="s">
        <v>586</v>
      </c>
      <c r="D10" s="474">
        <f aca="true" t="shared" si="3" ref="D10:T10">SUM(D11:D13)</f>
        <v>468242</v>
      </c>
      <c r="E10" s="474">
        <f>SUM(E11:E13)</f>
        <v>561546</v>
      </c>
      <c r="F10" s="474">
        <f t="shared" si="3"/>
        <v>666429</v>
      </c>
      <c r="G10" s="474">
        <f t="shared" si="3"/>
        <v>0</v>
      </c>
      <c r="H10" s="474"/>
      <c r="I10" s="474"/>
      <c r="J10" s="475">
        <f t="shared" si="3"/>
        <v>108103</v>
      </c>
      <c r="K10" s="475">
        <f>SUM(K11:K13)</f>
        <v>23626</v>
      </c>
      <c r="L10" s="475">
        <f t="shared" si="3"/>
        <v>23626</v>
      </c>
      <c r="M10" s="475">
        <f>SUM(M11:M13)</f>
        <v>89571</v>
      </c>
      <c r="N10" s="475">
        <f t="shared" si="3"/>
        <v>89571</v>
      </c>
      <c r="O10" s="474">
        <f t="shared" si="3"/>
        <v>0</v>
      </c>
      <c r="P10" s="474">
        <f>SUM(P11:P13)</f>
        <v>0</v>
      </c>
      <c r="Q10" s="474">
        <f t="shared" si="3"/>
        <v>766</v>
      </c>
      <c r="R10" s="474">
        <f t="shared" si="3"/>
        <v>0</v>
      </c>
      <c r="S10" s="474">
        <f>SUM(S11:S13)</f>
        <v>0</v>
      </c>
      <c r="T10" s="474">
        <f t="shared" si="3"/>
        <v>0</v>
      </c>
      <c r="U10" s="438">
        <f t="shared" si="0"/>
        <v>576345</v>
      </c>
      <c r="V10" s="438">
        <f t="shared" si="1"/>
        <v>674743</v>
      </c>
      <c r="W10" s="549">
        <f t="shared" si="2"/>
        <v>780392</v>
      </c>
      <c r="X10" s="457"/>
      <c r="Y10" s="457"/>
      <c r="Z10" s="457"/>
      <c r="AA10" s="457"/>
      <c r="AB10" s="457"/>
      <c r="AC10" s="457"/>
      <c r="AD10" s="457"/>
      <c r="AE10" s="457"/>
      <c r="AF10" s="457"/>
      <c r="AG10" s="457"/>
    </row>
    <row r="11" spans="1:33" ht="31.5" customHeight="1">
      <c r="A11" s="459"/>
      <c r="B11" s="14"/>
      <c r="C11" s="480" t="s">
        <v>587</v>
      </c>
      <c r="D11" s="477">
        <v>406892</v>
      </c>
      <c r="E11" s="477">
        <v>500196</v>
      </c>
      <c r="F11" s="477">
        <v>602579</v>
      </c>
      <c r="G11" s="477"/>
      <c r="H11" s="477"/>
      <c r="I11" s="477"/>
      <c r="J11" s="478">
        <v>13739</v>
      </c>
      <c r="K11" s="479">
        <v>5349</v>
      </c>
      <c r="L11" s="479">
        <v>5349</v>
      </c>
      <c r="M11" s="479">
        <v>7769</v>
      </c>
      <c r="N11" s="479">
        <v>7769</v>
      </c>
      <c r="O11" s="479"/>
      <c r="P11" s="479"/>
      <c r="Q11" s="479">
        <v>766</v>
      </c>
      <c r="R11" s="479"/>
      <c r="S11" s="479"/>
      <c r="T11" s="479"/>
      <c r="U11" s="435">
        <f t="shared" si="0"/>
        <v>420631</v>
      </c>
      <c r="V11" s="435">
        <f t="shared" si="1"/>
        <v>513314</v>
      </c>
      <c r="W11" s="1057">
        <f t="shared" si="2"/>
        <v>616463</v>
      </c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407" customFormat="1" ht="19.5" customHeight="1">
      <c r="A12" s="467"/>
      <c r="B12" s="457"/>
      <c r="C12" s="481" t="s">
        <v>588</v>
      </c>
      <c r="D12" s="482">
        <v>61350</v>
      </c>
      <c r="E12" s="482">
        <v>61350</v>
      </c>
      <c r="F12" s="482">
        <v>63850</v>
      </c>
      <c r="G12" s="482"/>
      <c r="H12" s="482"/>
      <c r="I12" s="482"/>
      <c r="J12" s="483">
        <v>94364</v>
      </c>
      <c r="K12" s="484">
        <v>18277</v>
      </c>
      <c r="L12" s="484">
        <v>18277</v>
      </c>
      <c r="M12" s="484">
        <v>81802</v>
      </c>
      <c r="N12" s="484">
        <v>81802</v>
      </c>
      <c r="O12" s="484"/>
      <c r="P12" s="484"/>
      <c r="Q12" s="484"/>
      <c r="R12" s="484"/>
      <c r="S12" s="484"/>
      <c r="T12" s="484"/>
      <c r="U12" s="435">
        <f t="shared" si="0"/>
        <v>155714</v>
      </c>
      <c r="V12" s="435">
        <f t="shared" si="1"/>
        <v>161429</v>
      </c>
      <c r="W12" s="1057">
        <f t="shared" si="2"/>
        <v>163929</v>
      </c>
      <c r="X12" s="457"/>
      <c r="Y12" s="457"/>
      <c r="Z12" s="457"/>
      <c r="AA12" s="457"/>
      <c r="AB12" s="457"/>
      <c r="AC12" s="457"/>
      <c r="AD12" s="457"/>
      <c r="AE12" s="457"/>
      <c r="AF12" s="457"/>
      <c r="AG12" s="457"/>
    </row>
    <row r="13" spans="1:33" s="407" customFormat="1" ht="19.5" customHeight="1">
      <c r="A13" s="467"/>
      <c r="B13" s="457"/>
      <c r="C13" s="481" t="s">
        <v>589</v>
      </c>
      <c r="D13" s="482"/>
      <c r="E13" s="482"/>
      <c r="F13" s="482"/>
      <c r="G13" s="482"/>
      <c r="H13" s="482"/>
      <c r="I13" s="482"/>
      <c r="J13" s="483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438">
        <f t="shared" si="0"/>
        <v>0</v>
      </c>
      <c r="V13" s="435">
        <f t="shared" si="1"/>
        <v>0</v>
      </c>
      <c r="W13" s="1057">
        <f t="shared" si="2"/>
        <v>0</v>
      </c>
      <c r="X13" s="457"/>
      <c r="Y13" s="457"/>
      <c r="Z13" s="457"/>
      <c r="AA13" s="457"/>
      <c r="AB13" s="457"/>
      <c r="AC13" s="457"/>
      <c r="AD13" s="457"/>
      <c r="AE13" s="457"/>
      <c r="AF13" s="457"/>
      <c r="AG13" s="457"/>
    </row>
    <row r="14" spans="1:33" s="407" customFormat="1" ht="19.5" customHeight="1" thickBot="1">
      <c r="A14" s="485"/>
      <c r="B14" s="486"/>
      <c r="C14" s="65" t="s">
        <v>590</v>
      </c>
      <c r="D14" s="468">
        <v>2129489</v>
      </c>
      <c r="E14" s="468">
        <v>2660561</v>
      </c>
      <c r="F14" s="468">
        <v>2700594</v>
      </c>
      <c r="G14" s="468"/>
      <c r="H14" s="468"/>
      <c r="I14" s="468"/>
      <c r="J14" s="471">
        <v>1000</v>
      </c>
      <c r="K14" s="472">
        <v>390</v>
      </c>
      <c r="L14" s="472">
        <v>390</v>
      </c>
      <c r="M14" s="472">
        <v>5610</v>
      </c>
      <c r="N14" s="472">
        <v>5610</v>
      </c>
      <c r="O14" s="472">
        <v>4813</v>
      </c>
      <c r="P14" s="472">
        <v>5098</v>
      </c>
      <c r="Q14" s="472">
        <v>5865</v>
      </c>
      <c r="R14" s="472">
        <v>1635</v>
      </c>
      <c r="S14" s="472">
        <v>4106</v>
      </c>
      <c r="T14" s="472">
        <v>4106</v>
      </c>
      <c r="U14" s="438">
        <f t="shared" si="0"/>
        <v>2136937</v>
      </c>
      <c r="V14" s="438">
        <f t="shared" si="1"/>
        <v>2675765</v>
      </c>
      <c r="W14" s="549">
        <f t="shared" si="2"/>
        <v>2716565</v>
      </c>
      <c r="X14" s="457"/>
      <c r="Y14" s="457"/>
      <c r="Z14" s="457"/>
      <c r="AA14" s="457"/>
      <c r="AB14" s="457"/>
      <c r="AC14" s="457"/>
      <c r="AD14" s="457"/>
      <c r="AE14" s="457"/>
      <c r="AF14" s="457"/>
      <c r="AG14" s="457"/>
    </row>
    <row r="15" spans="1:33" s="407" customFormat="1" ht="19.5" customHeight="1">
      <c r="A15" s="457"/>
      <c r="B15" s="457"/>
      <c r="C15" s="65" t="s">
        <v>591</v>
      </c>
      <c r="D15" s="468">
        <v>118226</v>
      </c>
      <c r="E15" s="468">
        <v>160226</v>
      </c>
      <c r="F15" s="468">
        <v>164174</v>
      </c>
      <c r="G15" s="468"/>
      <c r="H15" s="468"/>
      <c r="I15" s="468"/>
      <c r="J15" s="471"/>
      <c r="K15" s="472"/>
      <c r="L15" s="472"/>
      <c r="M15" s="472"/>
      <c r="N15" s="472"/>
      <c r="O15" s="472">
        <v>9400</v>
      </c>
      <c r="P15" s="472">
        <v>9400</v>
      </c>
      <c r="Q15" s="472">
        <v>10020</v>
      </c>
      <c r="R15" s="472">
        <v>10923</v>
      </c>
      <c r="S15" s="472">
        <v>10923</v>
      </c>
      <c r="T15" s="472">
        <v>10923</v>
      </c>
      <c r="U15" s="438">
        <f t="shared" si="0"/>
        <v>138549</v>
      </c>
      <c r="V15" s="438">
        <f t="shared" si="1"/>
        <v>180549</v>
      </c>
      <c r="W15" s="549">
        <f t="shared" si="2"/>
        <v>185117</v>
      </c>
      <c r="X15" s="457"/>
      <c r="Y15" s="457"/>
      <c r="Z15" s="457"/>
      <c r="AA15" s="457"/>
      <c r="AB15" s="457"/>
      <c r="AC15" s="457"/>
      <c r="AD15" s="457"/>
      <c r="AE15" s="457"/>
      <c r="AF15" s="457"/>
      <c r="AG15" s="457"/>
    </row>
    <row r="16" spans="1:33" s="492" customFormat="1" ht="19.5" customHeight="1">
      <c r="A16" s="487"/>
      <c r="B16" s="487"/>
      <c r="C16" s="488" t="s">
        <v>592</v>
      </c>
      <c r="D16" s="489">
        <v>134081</v>
      </c>
      <c r="E16" s="489">
        <v>134099</v>
      </c>
      <c r="F16" s="489">
        <v>76603</v>
      </c>
      <c r="G16" s="489"/>
      <c r="H16" s="489"/>
      <c r="I16" s="489"/>
      <c r="J16" s="490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38">
        <f t="shared" si="0"/>
        <v>134081</v>
      </c>
      <c r="V16" s="438">
        <f t="shared" si="1"/>
        <v>134099</v>
      </c>
      <c r="W16" s="549">
        <f t="shared" si="2"/>
        <v>76603</v>
      </c>
      <c r="X16" s="487"/>
      <c r="Y16" s="487"/>
      <c r="Z16" s="487"/>
      <c r="AA16" s="487"/>
      <c r="AB16" s="487"/>
      <c r="AC16" s="487"/>
      <c r="AD16" s="487"/>
      <c r="AE16" s="487"/>
      <c r="AF16" s="487"/>
      <c r="AG16" s="487"/>
    </row>
    <row r="17" spans="1:33" s="492" customFormat="1" ht="19.5" customHeight="1">
      <c r="A17" s="487"/>
      <c r="B17" s="487"/>
      <c r="C17" s="488" t="s">
        <v>593</v>
      </c>
      <c r="D17" s="489">
        <v>13000</v>
      </c>
      <c r="E17" s="489">
        <v>10110</v>
      </c>
      <c r="F17" s="489">
        <v>5584</v>
      </c>
      <c r="G17" s="489"/>
      <c r="H17" s="489"/>
      <c r="I17" s="489"/>
      <c r="J17" s="490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38">
        <f t="shared" si="0"/>
        <v>13000</v>
      </c>
      <c r="V17" s="438">
        <f t="shared" si="1"/>
        <v>10110</v>
      </c>
      <c r="W17" s="549">
        <f t="shared" si="2"/>
        <v>5584</v>
      </c>
      <c r="X17" s="487"/>
      <c r="Y17" s="487"/>
      <c r="Z17" s="487"/>
      <c r="AA17" s="487"/>
      <c r="AB17" s="487"/>
      <c r="AC17" s="487"/>
      <c r="AD17" s="487"/>
      <c r="AE17" s="487"/>
      <c r="AF17" s="487"/>
      <c r="AG17" s="487"/>
    </row>
    <row r="18" spans="1:33" s="492" customFormat="1" ht="19.5" customHeight="1">
      <c r="A18" s="487"/>
      <c r="B18" s="487"/>
      <c r="C18" s="488" t="s">
        <v>594</v>
      </c>
      <c r="D18" s="489">
        <v>100000</v>
      </c>
      <c r="E18" s="489">
        <v>67913</v>
      </c>
      <c r="F18" s="489">
        <v>56853</v>
      </c>
      <c r="G18" s="489"/>
      <c r="H18" s="489"/>
      <c r="I18" s="489"/>
      <c r="J18" s="490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38">
        <f t="shared" si="0"/>
        <v>100000</v>
      </c>
      <c r="V18" s="438">
        <f t="shared" si="1"/>
        <v>67913</v>
      </c>
      <c r="W18" s="549">
        <f t="shared" si="2"/>
        <v>56853</v>
      </c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</row>
    <row r="19" spans="1:33" s="492" customFormat="1" ht="19.5" customHeight="1">
      <c r="A19" s="487"/>
      <c r="B19" s="487"/>
      <c r="C19" s="488" t="s">
        <v>595</v>
      </c>
      <c r="D19" s="489">
        <f>37632+9000</f>
        <v>46632</v>
      </c>
      <c r="E19" s="489">
        <v>42921</v>
      </c>
      <c r="F19" s="489">
        <v>87318</v>
      </c>
      <c r="G19" s="489"/>
      <c r="H19" s="489"/>
      <c r="I19" s="489"/>
      <c r="J19" s="490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38">
        <f t="shared" si="0"/>
        <v>46632</v>
      </c>
      <c r="V19" s="438">
        <f t="shared" si="1"/>
        <v>42921</v>
      </c>
      <c r="W19" s="549">
        <f t="shared" si="2"/>
        <v>87318</v>
      </c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</row>
    <row r="20" spans="1:33" s="492" customFormat="1" ht="19.5" customHeight="1">
      <c r="A20" s="487"/>
      <c r="B20" s="487"/>
      <c r="C20" s="493" t="s">
        <v>639</v>
      </c>
      <c r="D20" s="489">
        <v>50000</v>
      </c>
      <c r="E20" s="489">
        <v>193895</v>
      </c>
      <c r="F20" s="489">
        <v>8293</v>
      </c>
      <c r="G20" s="489"/>
      <c r="H20" s="489"/>
      <c r="I20" s="489"/>
      <c r="J20" s="490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38">
        <f t="shared" si="0"/>
        <v>50000</v>
      </c>
      <c r="V20" s="438">
        <f t="shared" si="1"/>
        <v>193895</v>
      </c>
      <c r="W20" s="549">
        <f t="shared" si="2"/>
        <v>8293</v>
      </c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</row>
    <row r="21" spans="1:33" s="492" customFormat="1" ht="19.5" customHeight="1">
      <c r="A21" s="487"/>
      <c r="B21" s="487"/>
      <c r="C21" s="493" t="s">
        <v>387</v>
      </c>
      <c r="D21" s="489"/>
      <c r="E21" s="489"/>
      <c r="F21" s="489">
        <v>78118</v>
      </c>
      <c r="G21" s="489"/>
      <c r="H21" s="489"/>
      <c r="I21" s="489"/>
      <c r="J21" s="490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38">
        <f t="shared" si="0"/>
        <v>0</v>
      </c>
      <c r="V21" s="438">
        <f t="shared" si="1"/>
        <v>0</v>
      </c>
      <c r="W21" s="549">
        <f t="shared" si="2"/>
        <v>78118</v>
      </c>
      <c r="X21" s="487"/>
      <c r="Y21" s="487"/>
      <c r="Z21" s="487"/>
      <c r="AA21" s="487"/>
      <c r="AB21" s="487"/>
      <c r="AC21" s="487"/>
      <c r="AD21" s="487"/>
      <c r="AE21" s="487"/>
      <c r="AF21" s="487"/>
      <c r="AG21" s="487"/>
    </row>
    <row r="22" spans="1:33" s="492" customFormat="1" ht="19.5" customHeight="1">
      <c r="A22" s="487"/>
      <c r="B22" s="487"/>
      <c r="C22" s="488" t="s">
        <v>597</v>
      </c>
      <c r="D22" s="489">
        <f>SUM(D23:D25)</f>
        <v>2280302</v>
      </c>
      <c r="E22" s="489">
        <f>SUM(E23:E25)</f>
        <v>1812206</v>
      </c>
      <c r="F22" s="489">
        <f>SUM(F23:F25)</f>
        <v>1801106</v>
      </c>
      <c r="G22" s="489">
        <f>SUM(G23:G25)</f>
        <v>0</v>
      </c>
      <c r="H22" s="489">
        <f>SUM(H23:H25)</f>
        <v>0</v>
      </c>
      <c r="I22" s="489">
        <f aca="true" t="shared" si="4" ref="I22:T22">SUM(I23:I25)</f>
        <v>0</v>
      </c>
      <c r="J22" s="489">
        <f t="shared" si="4"/>
        <v>0</v>
      </c>
      <c r="K22" s="489">
        <f>SUM(K23:K25)</f>
        <v>0</v>
      </c>
      <c r="L22" s="489">
        <f t="shared" si="4"/>
        <v>0</v>
      </c>
      <c r="M22" s="489">
        <f>SUM(M23:M25)</f>
        <v>0</v>
      </c>
      <c r="N22" s="489">
        <f t="shared" si="4"/>
        <v>0</v>
      </c>
      <c r="O22" s="489">
        <f t="shared" si="4"/>
        <v>0</v>
      </c>
      <c r="P22" s="489">
        <f>SUM(P23:P25)</f>
        <v>0</v>
      </c>
      <c r="Q22" s="489">
        <f t="shared" si="4"/>
        <v>0</v>
      </c>
      <c r="R22" s="489">
        <f t="shared" si="4"/>
        <v>0</v>
      </c>
      <c r="S22" s="489">
        <f>SUM(S23:S25)</f>
        <v>0</v>
      </c>
      <c r="T22" s="489">
        <f t="shared" si="4"/>
        <v>0</v>
      </c>
      <c r="U22" s="438">
        <f t="shared" si="0"/>
        <v>2280302</v>
      </c>
      <c r="V22" s="438">
        <f t="shared" si="1"/>
        <v>1812206</v>
      </c>
      <c r="W22" s="549">
        <f t="shared" si="2"/>
        <v>1801106</v>
      </c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</row>
    <row r="23" spans="1:33" s="492" customFormat="1" ht="19.5" customHeight="1">
      <c r="A23" s="487"/>
      <c r="B23" s="487"/>
      <c r="C23" s="481" t="s">
        <v>598</v>
      </c>
      <c r="D23" s="482">
        <v>2250302</v>
      </c>
      <c r="E23" s="482">
        <v>1790206</v>
      </c>
      <c r="F23" s="482">
        <v>1779106</v>
      </c>
      <c r="G23" s="482"/>
      <c r="H23" s="482"/>
      <c r="I23" s="482"/>
      <c r="J23" s="483"/>
      <c r="K23" s="484"/>
      <c r="L23" s="484"/>
      <c r="M23" s="484"/>
      <c r="N23" s="484"/>
      <c r="O23" s="484"/>
      <c r="P23" s="484"/>
      <c r="Q23" s="484"/>
      <c r="R23" s="484"/>
      <c r="S23" s="484"/>
      <c r="T23" s="484"/>
      <c r="U23" s="435">
        <f t="shared" si="0"/>
        <v>2250302</v>
      </c>
      <c r="V23" s="435">
        <f t="shared" si="1"/>
        <v>1790206</v>
      </c>
      <c r="W23" s="1057">
        <f t="shared" si="2"/>
        <v>1779106</v>
      </c>
      <c r="X23" s="487"/>
      <c r="Y23" s="487"/>
      <c r="Z23" s="487"/>
      <c r="AA23" s="487"/>
      <c r="AB23" s="487"/>
      <c r="AC23" s="487"/>
      <c r="AD23" s="487"/>
      <c r="AE23" s="487"/>
      <c r="AF23" s="487"/>
      <c r="AG23" s="487"/>
    </row>
    <row r="24" spans="1:33" s="492" customFormat="1" ht="19.5" customHeight="1">
      <c r="A24" s="487"/>
      <c r="B24" s="487"/>
      <c r="C24" s="481" t="s">
        <v>599</v>
      </c>
      <c r="D24" s="482">
        <v>30000</v>
      </c>
      <c r="E24" s="482">
        <v>22000</v>
      </c>
      <c r="F24" s="482">
        <v>22000</v>
      </c>
      <c r="G24" s="482"/>
      <c r="H24" s="482"/>
      <c r="I24" s="482"/>
      <c r="J24" s="483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35">
        <f t="shared" si="0"/>
        <v>30000</v>
      </c>
      <c r="V24" s="435">
        <f t="shared" si="1"/>
        <v>22000</v>
      </c>
      <c r="W24" s="1057">
        <f t="shared" si="2"/>
        <v>22000</v>
      </c>
      <c r="X24" s="487"/>
      <c r="Y24" s="487"/>
      <c r="Z24" s="487"/>
      <c r="AA24" s="487"/>
      <c r="AB24" s="487"/>
      <c r="AC24" s="487"/>
      <c r="AD24" s="487"/>
      <c r="AE24" s="487"/>
      <c r="AF24" s="487"/>
      <c r="AG24" s="487"/>
    </row>
    <row r="25" spans="1:33" s="492" customFormat="1" ht="30.75" customHeight="1">
      <c r="A25" s="487"/>
      <c r="B25" s="487"/>
      <c r="C25" s="440" t="s">
        <v>600</v>
      </c>
      <c r="D25" s="482"/>
      <c r="E25" s="482"/>
      <c r="F25" s="482"/>
      <c r="G25" s="482"/>
      <c r="H25" s="482"/>
      <c r="I25" s="482"/>
      <c r="J25" s="483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38">
        <f t="shared" si="0"/>
        <v>0</v>
      </c>
      <c r="V25" s="435">
        <f t="shared" si="1"/>
        <v>0</v>
      </c>
      <c r="W25" s="549">
        <f t="shared" si="2"/>
        <v>0</v>
      </c>
      <c r="X25" s="487"/>
      <c r="Y25" s="487"/>
      <c r="Z25" s="487"/>
      <c r="AA25" s="487"/>
      <c r="AB25" s="487"/>
      <c r="AC25" s="487"/>
      <c r="AD25" s="487"/>
      <c r="AE25" s="487"/>
      <c r="AF25" s="487"/>
      <c r="AG25" s="487"/>
    </row>
    <row r="26" spans="1:33" s="492" customFormat="1" ht="19.5" customHeight="1">
      <c r="A26" s="487"/>
      <c r="B26" s="487"/>
      <c r="C26" s="488" t="s">
        <v>601</v>
      </c>
      <c r="D26" s="489">
        <f>SUM(D27,D30)</f>
        <v>8300</v>
      </c>
      <c r="E26" s="489">
        <f>SUM(E27+E30)</f>
        <v>17513</v>
      </c>
      <c r="F26" s="489">
        <f>SUM(F27+F30)</f>
        <v>243145</v>
      </c>
      <c r="G26" s="489">
        <f aca="true" t="shared" si="5" ref="G26:O26">SUM(G27,G30)</f>
        <v>0</v>
      </c>
      <c r="H26" s="489">
        <f>SUM(H27,H30)</f>
        <v>0</v>
      </c>
      <c r="I26" s="489">
        <f t="shared" si="5"/>
        <v>0</v>
      </c>
      <c r="J26" s="489">
        <f t="shared" si="5"/>
        <v>1800</v>
      </c>
      <c r="K26" s="489">
        <f>SUM(K27,K30)</f>
        <v>600</v>
      </c>
      <c r="L26" s="489">
        <f t="shared" si="5"/>
        <v>600</v>
      </c>
      <c r="M26" s="489">
        <f>SUM(M27,M30)</f>
        <v>1200</v>
      </c>
      <c r="N26" s="489">
        <f t="shared" si="5"/>
        <v>1200</v>
      </c>
      <c r="O26" s="489">
        <f t="shared" si="5"/>
        <v>0</v>
      </c>
      <c r="P26" s="489">
        <f>SUM(P27,P30)</f>
        <v>0</v>
      </c>
      <c r="Q26" s="489">
        <f>SUM(Q27,Q30)</f>
        <v>0</v>
      </c>
      <c r="R26" s="489">
        <f>SUM(R27,R30)</f>
        <v>0</v>
      </c>
      <c r="S26" s="489">
        <f>SUM(S27,S30)</f>
        <v>0</v>
      </c>
      <c r="T26" s="489">
        <f>SUM(T27,T30)</f>
        <v>0</v>
      </c>
      <c r="U26" s="438">
        <f t="shared" si="0"/>
        <v>10100</v>
      </c>
      <c r="V26" s="438">
        <f t="shared" si="1"/>
        <v>19313</v>
      </c>
      <c r="W26" s="549">
        <f t="shared" si="2"/>
        <v>244945</v>
      </c>
      <c r="X26" s="487"/>
      <c r="Y26" s="487"/>
      <c r="Z26" s="487"/>
      <c r="AA26" s="487"/>
      <c r="AB26" s="487"/>
      <c r="AC26" s="487"/>
      <c r="AD26" s="487"/>
      <c r="AE26" s="487"/>
      <c r="AF26" s="487"/>
      <c r="AG26" s="487"/>
    </row>
    <row r="27" spans="3:33" s="494" customFormat="1" ht="19.5" customHeight="1">
      <c r="C27" s="481" t="s">
        <v>602</v>
      </c>
      <c r="D27" s="495">
        <f>SUM(D28:D29)</f>
        <v>3500</v>
      </c>
      <c r="E27" s="495">
        <f>SUM(E28:E29)</f>
        <v>3500</v>
      </c>
      <c r="F27" s="495">
        <v>3500</v>
      </c>
      <c r="G27" s="495">
        <f>SUM(G28:G29)</f>
        <v>0</v>
      </c>
      <c r="H27" s="495"/>
      <c r="I27" s="495"/>
      <c r="J27" s="496">
        <f aca="true" t="shared" si="6" ref="J27:O27">SUM(J28:J29)</f>
        <v>1800</v>
      </c>
      <c r="K27" s="496">
        <f t="shared" si="6"/>
        <v>600</v>
      </c>
      <c r="L27" s="496">
        <f t="shared" si="6"/>
        <v>600</v>
      </c>
      <c r="M27" s="496">
        <f t="shared" si="6"/>
        <v>1200</v>
      </c>
      <c r="N27" s="496">
        <v>1200</v>
      </c>
      <c r="O27" s="495">
        <f t="shared" si="6"/>
        <v>0</v>
      </c>
      <c r="P27" s="495"/>
      <c r="Q27" s="495"/>
      <c r="R27" s="495">
        <f>SUM(R28:R29)</f>
        <v>0</v>
      </c>
      <c r="S27" s="497"/>
      <c r="T27" s="497"/>
      <c r="U27" s="435">
        <f t="shared" si="0"/>
        <v>5300</v>
      </c>
      <c r="V27" s="435">
        <f t="shared" si="1"/>
        <v>5300</v>
      </c>
      <c r="W27" s="1057">
        <f t="shared" si="2"/>
        <v>5300</v>
      </c>
      <c r="X27" s="498"/>
      <c r="Y27" s="498"/>
      <c r="Z27" s="498"/>
      <c r="AA27" s="498"/>
      <c r="AB27" s="498"/>
      <c r="AC27" s="498"/>
      <c r="AD27" s="498"/>
      <c r="AE27" s="498"/>
      <c r="AF27" s="498"/>
      <c r="AG27" s="498"/>
    </row>
    <row r="28" spans="3:33" s="499" customFormat="1" ht="19.5" customHeight="1">
      <c r="C28" s="500" t="s">
        <v>603</v>
      </c>
      <c r="D28" s="501">
        <v>3500</v>
      </c>
      <c r="E28" s="501">
        <v>3500</v>
      </c>
      <c r="F28" s="501">
        <v>3500</v>
      </c>
      <c r="G28" s="501"/>
      <c r="H28" s="501"/>
      <c r="I28" s="501"/>
      <c r="J28" s="502"/>
      <c r="K28" s="503"/>
      <c r="L28" s="503"/>
      <c r="M28" s="503"/>
      <c r="N28" s="503"/>
      <c r="O28" s="503"/>
      <c r="P28" s="503"/>
      <c r="Q28" s="503"/>
      <c r="R28" s="503"/>
      <c r="S28" s="503"/>
      <c r="T28" s="503"/>
      <c r="U28" s="435">
        <f t="shared" si="0"/>
        <v>3500</v>
      </c>
      <c r="V28" s="435">
        <f t="shared" si="1"/>
        <v>3500</v>
      </c>
      <c r="W28" s="1057">
        <f t="shared" si="2"/>
        <v>3500</v>
      </c>
      <c r="X28" s="504"/>
      <c r="Y28" s="504"/>
      <c r="Z28" s="504"/>
      <c r="AA28" s="504"/>
      <c r="AB28" s="504"/>
      <c r="AC28" s="504"/>
      <c r="AD28" s="504"/>
      <c r="AE28" s="504"/>
      <c r="AF28" s="504"/>
      <c r="AG28" s="504"/>
    </row>
    <row r="29" spans="3:33" s="499" customFormat="1" ht="19.5" customHeight="1">
      <c r="C29" s="500" t="s">
        <v>604</v>
      </c>
      <c r="D29" s="501"/>
      <c r="E29" s="501"/>
      <c r="F29" s="501"/>
      <c r="G29" s="501"/>
      <c r="H29" s="501"/>
      <c r="I29" s="501"/>
      <c r="J29" s="502">
        <v>1800</v>
      </c>
      <c r="K29" s="503">
        <v>600</v>
      </c>
      <c r="L29" s="503">
        <v>600</v>
      </c>
      <c r="M29" s="503">
        <v>1200</v>
      </c>
      <c r="N29" s="503">
        <v>1200</v>
      </c>
      <c r="O29" s="503"/>
      <c r="P29" s="503"/>
      <c r="Q29" s="503"/>
      <c r="R29" s="503"/>
      <c r="S29" s="503"/>
      <c r="T29" s="503"/>
      <c r="U29" s="435">
        <f t="shared" si="0"/>
        <v>1800</v>
      </c>
      <c r="V29" s="435">
        <f t="shared" si="1"/>
        <v>1800</v>
      </c>
      <c r="W29" s="1057">
        <f t="shared" si="2"/>
        <v>1800</v>
      </c>
      <c r="X29" s="504"/>
      <c r="Y29" s="504"/>
      <c r="Z29" s="504"/>
      <c r="AA29" s="504"/>
      <c r="AB29" s="504"/>
      <c r="AC29" s="504"/>
      <c r="AD29" s="504"/>
      <c r="AE29" s="504"/>
      <c r="AF29" s="504"/>
      <c r="AG29" s="504"/>
    </row>
    <row r="30" spans="3:33" s="494" customFormat="1" ht="19.5" customHeight="1">
      <c r="C30" s="481" t="s">
        <v>605</v>
      </c>
      <c r="D30" s="482">
        <f>SUM(D31:D32)</f>
        <v>4800</v>
      </c>
      <c r="E30" s="482">
        <f>SUM(E31:E33)</f>
        <v>14013</v>
      </c>
      <c r="F30" s="482">
        <f>SUM(F31:F33)</f>
        <v>239645</v>
      </c>
      <c r="G30" s="482">
        <f>SUM(G31:G31)</f>
        <v>0</v>
      </c>
      <c r="H30" s="482">
        <f aca="true" t="shared" si="7" ref="H30:T30">SUM(H31:H31)</f>
        <v>0</v>
      </c>
      <c r="I30" s="482">
        <f t="shared" si="7"/>
        <v>0</v>
      </c>
      <c r="J30" s="482">
        <f t="shared" si="7"/>
        <v>0</v>
      </c>
      <c r="K30" s="482">
        <f t="shared" si="7"/>
        <v>0</v>
      </c>
      <c r="L30" s="482">
        <f t="shared" si="7"/>
        <v>0</v>
      </c>
      <c r="M30" s="482">
        <f t="shared" si="7"/>
        <v>0</v>
      </c>
      <c r="N30" s="482">
        <f t="shared" si="7"/>
        <v>0</v>
      </c>
      <c r="O30" s="482">
        <f t="shared" si="7"/>
        <v>0</v>
      </c>
      <c r="P30" s="482">
        <f t="shared" si="7"/>
        <v>0</v>
      </c>
      <c r="Q30" s="482">
        <f t="shared" si="7"/>
        <v>0</v>
      </c>
      <c r="R30" s="482">
        <f t="shared" si="7"/>
        <v>0</v>
      </c>
      <c r="S30" s="482">
        <f t="shared" si="7"/>
        <v>0</v>
      </c>
      <c r="T30" s="482">
        <f t="shared" si="7"/>
        <v>0</v>
      </c>
      <c r="U30" s="435">
        <f t="shared" si="0"/>
        <v>4800</v>
      </c>
      <c r="V30" s="435">
        <f t="shared" si="1"/>
        <v>14013</v>
      </c>
      <c r="W30" s="1057">
        <f t="shared" si="2"/>
        <v>239645</v>
      </c>
      <c r="X30" s="498"/>
      <c r="Y30" s="498"/>
      <c r="Z30" s="498"/>
      <c r="AA30" s="498"/>
      <c r="AB30" s="498"/>
      <c r="AC30" s="498"/>
      <c r="AD30" s="498"/>
      <c r="AE30" s="498"/>
      <c r="AF30" s="498"/>
      <c r="AG30" s="498"/>
    </row>
    <row r="31" spans="3:33" s="499" customFormat="1" ht="19.5" customHeight="1">
      <c r="C31" s="500" t="s">
        <v>606</v>
      </c>
      <c r="D31" s="501">
        <v>2000</v>
      </c>
      <c r="E31" s="501">
        <v>2000</v>
      </c>
      <c r="F31" s="501">
        <v>2000</v>
      </c>
      <c r="G31" s="501"/>
      <c r="H31" s="501"/>
      <c r="I31" s="501"/>
      <c r="J31" s="502"/>
      <c r="K31" s="503"/>
      <c r="L31" s="503"/>
      <c r="M31" s="503"/>
      <c r="N31" s="503"/>
      <c r="O31" s="503"/>
      <c r="P31" s="503"/>
      <c r="Q31" s="503"/>
      <c r="R31" s="503"/>
      <c r="S31" s="503"/>
      <c r="T31" s="503"/>
      <c r="U31" s="435">
        <f t="shared" si="0"/>
        <v>2000</v>
      </c>
      <c r="V31" s="435">
        <f t="shared" si="1"/>
        <v>2000</v>
      </c>
      <c r="W31" s="1057">
        <f t="shared" si="2"/>
        <v>2000</v>
      </c>
      <c r="X31" s="504"/>
      <c r="Y31" s="504"/>
      <c r="Z31" s="504"/>
      <c r="AA31" s="504"/>
      <c r="AB31" s="504"/>
      <c r="AC31" s="504"/>
      <c r="AD31" s="504"/>
      <c r="AE31" s="504"/>
      <c r="AF31" s="504"/>
      <c r="AG31" s="504"/>
    </row>
    <row r="32" spans="3:33" s="499" customFormat="1" ht="30.75" customHeight="1">
      <c r="C32" s="515" t="s">
        <v>607</v>
      </c>
      <c r="D32" s="501">
        <v>2800</v>
      </c>
      <c r="E32" s="501">
        <v>10108</v>
      </c>
      <c r="F32" s="501">
        <v>10108</v>
      </c>
      <c r="G32" s="501"/>
      <c r="H32" s="501"/>
      <c r="I32" s="501"/>
      <c r="J32" s="505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435">
        <f t="shared" si="0"/>
        <v>2800</v>
      </c>
      <c r="V32" s="435">
        <f t="shared" si="1"/>
        <v>10108</v>
      </c>
      <c r="W32" s="1057">
        <f t="shared" si="2"/>
        <v>10108</v>
      </c>
      <c r="X32" s="504"/>
      <c r="Y32" s="504"/>
      <c r="Z32" s="504"/>
      <c r="AA32" s="504"/>
      <c r="AB32" s="504"/>
      <c r="AC32" s="504"/>
      <c r="AD32" s="504"/>
      <c r="AE32" s="504"/>
      <c r="AF32" s="504"/>
      <c r="AG32" s="504"/>
    </row>
    <row r="33" spans="3:33" s="499" customFormat="1" ht="19.5" customHeight="1">
      <c r="C33" s="564" t="s">
        <v>401</v>
      </c>
      <c r="D33" s="501"/>
      <c r="E33" s="501">
        <v>1905</v>
      </c>
      <c r="F33" s="501">
        <v>227537</v>
      </c>
      <c r="G33" s="501"/>
      <c r="H33" s="501"/>
      <c r="I33" s="501"/>
      <c r="J33" s="505"/>
      <c r="K33" s="506"/>
      <c r="L33" s="506"/>
      <c r="M33" s="506"/>
      <c r="N33" s="506"/>
      <c r="O33" s="506"/>
      <c r="P33" s="506"/>
      <c r="Q33" s="506"/>
      <c r="R33" s="506"/>
      <c r="S33" s="506"/>
      <c r="T33" s="506"/>
      <c r="U33" s="435">
        <f t="shared" si="0"/>
        <v>0</v>
      </c>
      <c r="V33" s="435">
        <f t="shared" si="1"/>
        <v>1905</v>
      </c>
      <c r="W33" s="1057">
        <f t="shared" si="2"/>
        <v>227537</v>
      </c>
      <c r="X33" s="504"/>
      <c r="Y33" s="504"/>
      <c r="Z33" s="504"/>
      <c r="AA33" s="504"/>
      <c r="AB33" s="504"/>
      <c r="AC33" s="504"/>
      <c r="AD33" s="504"/>
      <c r="AE33" s="504"/>
      <c r="AF33" s="504"/>
      <c r="AG33" s="504"/>
    </row>
    <row r="34" spans="3:33" s="407" customFormat="1" ht="19.5" customHeight="1">
      <c r="C34" s="473" t="s">
        <v>608</v>
      </c>
      <c r="D34" s="468">
        <f>SUM(D35:D36)</f>
        <v>28046</v>
      </c>
      <c r="E34" s="468">
        <f>SUM(E35:E36)</f>
        <v>28046</v>
      </c>
      <c r="F34" s="468">
        <f>SUM(F35:F36)</f>
        <v>28046</v>
      </c>
      <c r="G34" s="468">
        <f aca="true" t="shared" si="8" ref="G34:T34">SUM(G35:G36)</f>
        <v>0</v>
      </c>
      <c r="H34" s="468">
        <f>SUM(H35:H36)</f>
        <v>0</v>
      </c>
      <c r="I34" s="468">
        <f t="shared" si="8"/>
        <v>0</v>
      </c>
      <c r="J34" s="468">
        <f t="shared" si="8"/>
        <v>0</v>
      </c>
      <c r="K34" s="468">
        <f>SUM(K35:K36)</f>
        <v>0</v>
      </c>
      <c r="L34" s="468">
        <f t="shared" si="8"/>
        <v>0</v>
      </c>
      <c r="M34" s="468">
        <f>SUM(M35:M36)</f>
        <v>0</v>
      </c>
      <c r="N34" s="468">
        <f t="shared" si="8"/>
        <v>0</v>
      </c>
      <c r="O34" s="468">
        <f t="shared" si="8"/>
        <v>0</v>
      </c>
      <c r="P34" s="468">
        <f>SUM(P35:P36)</f>
        <v>0</v>
      </c>
      <c r="Q34" s="468">
        <f t="shared" si="8"/>
        <v>0</v>
      </c>
      <c r="R34" s="468">
        <f t="shared" si="8"/>
        <v>0</v>
      </c>
      <c r="S34" s="468">
        <f>SUM(S35:S36)</f>
        <v>0</v>
      </c>
      <c r="T34" s="468">
        <f t="shared" si="8"/>
        <v>0</v>
      </c>
      <c r="U34" s="438">
        <f t="shared" si="0"/>
        <v>28046</v>
      </c>
      <c r="V34" s="438">
        <f t="shared" si="1"/>
        <v>28046</v>
      </c>
      <c r="W34" s="549">
        <f t="shared" si="2"/>
        <v>28046</v>
      </c>
      <c r="X34" s="457"/>
      <c r="Y34" s="457"/>
      <c r="Z34" s="457"/>
      <c r="AA34" s="457"/>
      <c r="AB34" s="457"/>
      <c r="AC34" s="457"/>
      <c r="AD34" s="457"/>
      <c r="AE34" s="457"/>
      <c r="AF34" s="457"/>
      <c r="AG34" s="457"/>
    </row>
    <row r="35" spans="3:33" s="494" customFormat="1" ht="19.5" customHeight="1">
      <c r="C35" s="440" t="s">
        <v>609</v>
      </c>
      <c r="D35" s="482">
        <v>25000</v>
      </c>
      <c r="E35" s="482">
        <v>25000</v>
      </c>
      <c r="F35" s="482">
        <v>25000</v>
      </c>
      <c r="G35" s="482"/>
      <c r="H35" s="482"/>
      <c r="I35" s="482"/>
      <c r="J35" s="507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435">
        <f t="shared" si="0"/>
        <v>25000</v>
      </c>
      <c r="V35" s="435">
        <f t="shared" si="1"/>
        <v>25000</v>
      </c>
      <c r="W35" s="1057">
        <f t="shared" si="2"/>
        <v>25000</v>
      </c>
      <c r="X35" s="498"/>
      <c r="Y35" s="498"/>
      <c r="Z35" s="498"/>
      <c r="AA35" s="498"/>
      <c r="AB35" s="498"/>
      <c r="AC35" s="498"/>
      <c r="AD35" s="498"/>
      <c r="AE35" s="498"/>
      <c r="AF35" s="498"/>
      <c r="AG35" s="498"/>
    </row>
    <row r="36" spans="3:33" s="494" customFormat="1" ht="19.5" customHeight="1">
      <c r="C36" s="440" t="s">
        <v>610</v>
      </c>
      <c r="D36" s="482">
        <v>3046</v>
      </c>
      <c r="E36" s="482">
        <v>3046</v>
      </c>
      <c r="F36" s="482">
        <v>3046</v>
      </c>
      <c r="G36" s="482"/>
      <c r="H36" s="482"/>
      <c r="I36" s="482"/>
      <c r="J36" s="507"/>
      <c r="K36" s="508"/>
      <c r="L36" s="508"/>
      <c r="M36" s="508"/>
      <c r="N36" s="508"/>
      <c r="O36" s="508"/>
      <c r="P36" s="508"/>
      <c r="Q36" s="508"/>
      <c r="R36" s="508"/>
      <c r="S36" s="508"/>
      <c r="T36" s="508"/>
      <c r="U36" s="435">
        <f t="shared" si="0"/>
        <v>3046</v>
      </c>
      <c r="V36" s="435">
        <f t="shared" si="1"/>
        <v>3046</v>
      </c>
      <c r="W36" s="1057">
        <f t="shared" si="2"/>
        <v>3046</v>
      </c>
      <c r="X36" s="498"/>
      <c r="Y36" s="498"/>
      <c r="Z36" s="498"/>
      <c r="AA36" s="498"/>
      <c r="AB36" s="498"/>
      <c r="AC36" s="498"/>
      <c r="AD36" s="498"/>
      <c r="AE36" s="498"/>
      <c r="AF36" s="498"/>
      <c r="AG36" s="498"/>
    </row>
    <row r="37" spans="3:33" s="407" customFormat="1" ht="19.5" customHeight="1">
      <c r="C37" s="65" t="s">
        <v>611</v>
      </c>
      <c r="D37" s="468">
        <f>SUM(D38:D39)</f>
        <v>123539</v>
      </c>
      <c r="E37" s="468">
        <f>SUM(E38:E39)</f>
        <v>123539</v>
      </c>
      <c r="F37" s="468">
        <f>SUM(F38:F39)</f>
        <v>98235</v>
      </c>
      <c r="G37" s="468">
        <f>SUM(G38:G39)</f>
        <v>0</v>
      </c>
      <c r="H37" s="468">
        <f>SUM(H38:H39)</f>
        <v>0</v>
      </c>
      <c r="I37" s="468">
        <f aca="true" t="shared" si="9" ref="I37:T37">SUM(I38:I39)</f>
        <v>0</v>
      </c>
      <c r="J37" s="468">
        <f t="shared" si="9"/>
        <v>0</v>
      </c>
      <c r="K37" s="468">
        <f>SUM(K38:K39)</f>
        <v>0</v>
      </c>
      <c r="L37" s="468">
        <f t="shared" si="9"/>
        <v>0</v>
      </c>
      <c r="M37" s="468">
        <f>SUM(M38:M39)</f>
        <v>0</v>
      </c>
      <c r="N37" s="468">
        <f t="shared" si="9"/>
        <v>0</v>
      </c>
      <c r="O37" s="468">
        <f t="shared" si="9"/>
        <v>0</v>
      </c>
      <c r="P37" s="468">
        <f>SUM(P38:P39)</f>
        <v>0</v>
      </c>
      <c r="Q37" s="468">
        <f t="shared" si="9"/>
        <v>0</v>
      </c>
      <c r="R37" s="468">
        <f t="shared" si="9"/>
        <v>0</v>
      </c>
      <c r="S37" s="468">
        <f>SUM(S38:S39)</f>
        <v>0</v>
      </c>
      <c r="T37" s="468">
        <f t="shared" si="9"/>
        <v>0</v>
      </c>
      <c r="U37" s="438">
        <f t="shared" si="0"/>
        <v>123539</v>
      </c>
      <c r="V37" s="438">
        <f t="shared" si="1"/>
        <v>123539</v>
      </c>
      <c r="W37" s="549">
        <f t="shared" si="2"/>
        <v>98235</v>
      </c>
      <c r="X37" s="457"/>
      <c r="Y37" s="457"/>
      <c r="Z37" s="457"/>
      <c r="AA37" s="457"/>
      <c r="AB37" s="457"/>
      <c r="AC37" s="457"/>
      <c r="AD37" s="457"/>
      <c r="AE37" s="457"/>
      <c r="AF37" s="457"/>
      <c r="AG37" s="457"/>
    </row>
    <row r="38" spans="3:33" s="494" customFormat="1" ht="19.5" customHeight="1">
      <c r="C38" s="481" t="s">
        <v>612</v>
      </c>
      <c r="D38" s="482">
        <v>17172</v>
      </c>
      <c r="E38" s="482">
        <v>17172</v>
      </c>
      <c r="F38" s="482">
        <v>18249</v>
      </c>
      <c r="G38" s="482"/>
      <c r="H38" s="482"/>
      <c r="I38" s="482"/>
      <c r="J38" s="507"/>
      <c r="K38" s="508"/>
      <c r="L38" s="508"/>
      <c r="M38" s="508"/>
      <c r="N38" s="508"/>
      <c r="O38" s="508"/>
      <c r="P38" s="508"/>
      <c r="Q38" s="508"/>
      <c r="R38" s="508"/>
      <c r="S38" s="508"/>
      <c r="T38" s="508"/>
      <c r="U38" s="435">
        <f t="shared" si="0"/>
        <v>17172</v>
      </c>
      <c r="V38" s="435">
        <f t="shared" si="1"/>
        <v>17172</v>
      </c>
      <c r="W38" s="1057">
        <f t="shared" si="2"/>
        <v>18249</v>
      </c>
      <c r="X38" s="498"/>
      <c r="Y38" s="498"/>
      <c r="Z38" s="498"/>
      <c r="AA38" s="498"/>
      <c r="AB38" s="498"/>
      <c r="AC38" s="498"/>
      <c r="AD38" s="498"/>
      <c r="AE38" s="498"/>
      <c r="AF38" s="498"/>
      <c r="AG38" s="498"/>
    </row>
    <row r="39" spans="3:33" s="494" customFormat="1" ht="19.5" customHeight="1">
      <c r="C39" s="481" t="s">
        <v>613</v>
      </c>
      <c r="D39" s="482">
        <v>106367</v>
      </c>
      <c r="E39" s="482">
        <v>106367</v>
      </c>
      <c r="F39" s="482">
        <v>79986</v>
      </c>
      <c r="G39" s="482"/>
      <c r="H39" s="482"/>
      <c r="I39" s="482"/>
      <c r="J39" s="507"/>
      <c r="K39" s="508"/>
      <c r="L39" s="508"/>
      <c r="M39" s="508"/>
      <c r="N39" s="508"/>
      <c r="O39" s="508"/>
      <c r="P39" s="508"/>
      <c r="Q39" s="508"/>
      <c r="R39" s="508"/>
      <c r="S39" s="508"/>
      <c r="T39" s="508"/>
      <c r="U39" s="435">
        <f t="shared" si="0"/>
        <v>106367</v>
      </c>
      <c r="V39" s="435">
        <f t="shared" si="1"/>
        <v>106367</v>
      </c>
      <c r="W39" s="1057">
        <f t="shared" si="2"/>
        <v>79986</v>
      </c>
      <c r="X39" s="498"/>
      <c r="Y39" s="498"/>
      <c r="Z39" s="498"/>
      <c r="AA39" s="498"/>
      <c r="AB39" s="498"/>
      <c r="AC39" s="498"/>
      <c r="AD39" s="498"/>
      <c r="AE39" s="498"/>
      <c r="AF39" s="498"/>
      <c r="AG39" s="498"/>
    </row>
    <row r="40" spans="3:33" s="494" customFormat="1" ht="19.5" customHeight="1">
      <c r="C40" s="65" t="s">
        <v>402</v>
      </c>
      <c r="D40" s="482"/>
      <c r="E40" s="482"/>
      <c r="F40" s="482"/>
      <c r="G40" s="482"/>
      <c r="H40" s="482">
        <v>102</v>
      </c>
      <c r="I40" s="482">
        <v>102</v>
      </c>
      <c r="J40" s="507"/>
      <c r="K40" s="508"/>
      <c r="L40" s="508"/>
      <c r="M40" s="508"/>
      <c r="N40" s="508"/>
      <c r="O40" s="508"/>
      <c r="P40" s="565">
        <v>17676</v>
      </c>
      <c r="Q40" s="565">
        <v>17676</v>
      </c>
      <c r="R40" s="508"/>
      <c r="S40" s="508"/>
      <c r="T40" s="508"/>
      <c r="U40" s="438"/>
      <c r="V40" s="549">
        <f t="shared" si="2"/>
        <v>17778</v>
      </c>
      <c r="W40" s="549">
        <f t="shared" si="2"/>
        <v>17778</v>
      </c>
      <c r="X40" s="498"/>
      <c r="Y40" s="498"/>
      <c r="Z40" s="498"/>
      <c r="AA40" s="498"/>
      <c r="AB40" s="498"/>
      <c r="AC40" s="498"/>
      <c r="AD40" s="498"/>
      <c r="AE40" s="498"/>
      <c r="AF40" s="498"/>
      <c r="AG40" s="498"/>
    </row>
    <row r="41" spans="3:33" s="492" customFormat="1" ht="30.75" customHeight="1">
      <c r="C41" s="516" t="s">
        <v>614</v>
      </c>
      <c r="D41" s="489">
        <v>1507660</v>
      </c>
      <c r="E41" s="489">
        <v>1577721</v>
      </c>
      <c r="F41" s="489">
        <v>1486358</v>
      </c>
      <c r="G41" s="489"/>
      <c r="H41" s="489"/>
      <c r="I41" s="489"/>
      <c r="J41" s="509"/>
      <c r="K41" s="510"/>
      <c r="L41" s="510"/>
      <c r="M41" s="510"/>
      <c r="N41" s="510"/>
      <c r="O41" s="510"/>
      <c r="P41" s="510"/>
      <c r="Q41" s="510"/>
      <c r="R41" s="510"/>
      <c r="S41" s="510"/>
      <c r="T41" s="510"/>
      <c r="U41" s="438">
        <f t="shared" si="0"/>
        <v>1507660</v>
      </c>
      <c r="V41" s="438">
        <f t="shared" si="1"/>
        <v>1577721</v>
      </c>
      <c r="W41" s="549">
        <f t="shared" si="2"/>
        <v>1486358</v>
      </c>
      <c r="X41" s="487"/>
      <c r="Y41" s="487"/>
      <c r="Z41" s="487"/>
      <c r="AA41" s="487"/>
      <c r="AB41" s="487"/>
      <c r="AC41" s="487"/>
      <c r="AD41" s="487"/>
      <c r="AE41" s="487"/>
      <c r="AF41" s="487"/>
      <c r="AG41" s="487"/>
    </row>
    <row r="42" spans="3:33" s="407" customFormat="1" ht="19.5" customHeight="1" thickBot="1">
      <c r="C42" s="511" t="s">
        <v>615</v>
      </c>
      <c r="D42" s="512">
        <f aca="true" t="shared" si="10" ref="D42:U42">SUM(D6,D7,D8,D10,D14,D15,D16,D17,D18,D19,D26,D34,D37,D22,D20,D41)</f>
        <v>7814353</v>
      </c>
      <c r="E42" s="512">
        <f t="shared" si="10"/>
        <v>8231828</v>
      </c>
      <c r="F42" s="512">
        <f>SUM(F6,F7,F8,F10,F14,F15,F16,F17,F18,F19,F26,F34,F37,F22,F20,F41,F21)</f>
        <v>8353318</v>
      </c>
      <c r="G42" s="512">
        <f t="shared" si="10"/>
        <v>16726</v>
      </c>
      <c r="H42" s="512">
        <f>SUM(H6,H7,H8,H10,H14,H15,H16,H17,H18,H19,H26,H34,H37,H22,H20,H41+H40)</f>
        <v>18726</v>
      </c>
      <c r="I42" s="512">
        <f>SUM(I6,I7,I8,I10,I14,I15,I16,I17,I18,I19,I26,I34,I37,I22,I20,I41+I40)</f>
        <v>19714</v>
      </c>
      <c r="J42" s="513">
        <f t="shared" si="10"/>
        <v>596726</v>
      </c>
      <c r="K42" s="513">
        <f t="shared" si="10"/>
        <v>130598</v>
      </c>
      <c r="L42" s="513">
        <f t="shared" si="10"/>
        <v>130598</v>
      </c>
      <c r="M42" s="513">
        <f t="shared" si="10"/>
        <v>539673</v>
      </c>
      <c r="N42" s="513">
        <f t="shared" si="10"/>
        <v>543997</v>
      </c>
      <c r="O42" s="513">
        <f t="shared" si="10"/>
        <v>967789</v>
      </c>
      <c r="P42" s="513">
        <f>SUM(P6+P7+P8+P14+P15+P40)</f>
        <v>1056696</v>
      </c>
      <c r="Q42" s="513">
        <f>SUM(Q6+Q7+Q8+Q10+Q14+Q15+Q40)</f>
        <v>969282</v>
      </c>
      <c r="R42" s="513">
        <f t="shared" si="10"/>
        <v>150482</v>
      </c>
      <c r="S42" s="513">
        <f t="shared" si="10"/>
        <v>180866</v>
      </c>
      <c r="T42" s="513">
        <f t="shared" si="10"/>
        <v>182444</v>
      </c>
      <c r="U42" s="514">
        <f t="shared" si="10"/>
        <v>9546076</v>
      </c>
      <c r="V42" s="456">
        <f>SUM(E42+H42+K42+P42+S42+M42)</f>
        <v>10158387</v>
      </c>
      <c r="W42" s="550">
        <f t="shared" si="2"/>
        <v>10199353</v>
      </c>
      <c r="X42" s="457"/>
      <c r="Y42" s="457"/>
      <c r="Z42" s="457"/>
      <c r="AA42" s="457"/>
      <c r="AB42" s="457"/>
      <c r="AC42" s="457"/>
      <c r="AD42" s="457"/>
      <c r="AE42" s="457"/>
      <c r="AF42" s="457"/>
      <c r="AG42" s="457"/>
    </row>
    <row r="43" s="14" customFormat="1" ht="25.5" customHeight="1"/>
    <row r="44" s="14" customFormat="1" ht="25.5" customHeight="1"/>
    <row r="45" spans="3:33" ht="25.5" customHeight="1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3:33" ht="25.5" customHeight="1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3:33" ht="25.5" customHeight="1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3:33" ht="25.5" customHeight="1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3:33" ht="25.5" customHeight="1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3:33" ht="25.5" customHeight="1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3:33" ht="25.5" customHeight="1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3:33" ht="25.5" customHeight="1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3:33" ht="25.5" customHeight="1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3:33" ht="25.5" customHeight="1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3:33" ht="25.5" customHeight="1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3:33" ht="25.5" customHeight="1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3:33" ht="25.5" customHeight="1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3:33" ht="25.5" customHeight="1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3:33" ht="25.5" customHeight="1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3:33" ht="25.5" customHeight="1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3:33" ht="25.5" customHeight="1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3:33" ht="25.5" customHeight="1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</row>
    <row r="63" spans="3:33" ht="25.5" customHeight="1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3:33" ht="25.5" customHeight="1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3:33" ht="25.5" customHeight="1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3:33" ht="25.5" customHeight="1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3:33" ht="25.5" customHeight="1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3:33" ht="25.5" customHeight="1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3:20" ht="25.5" customHeight="1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3:20" ht="25.5" customHeight="1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3:20" ht="25.5" customHeight="1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3:20" ht="25.5" customHeight="1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3:20" ht="25.5" customHeight="1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3:20" ht="25.5" customHeight="1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3:20" ht="25.5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3:20" ht="25.5" customHeight="1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3:20" ht="25.5" customHeight="1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3:20" ht="25.5" customHeight="1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3:20" ht="25.5" customHeight="1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3:20" ht="25.5" customHeight="1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3:20" ht="25.5" customHeight="1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3:20" ht="25.5" customHeight="1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3:20" ht="25.5" customHeight="1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3:20" ht="25.5" customHeight="1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3:20" ht="25.5" customHeight="1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3:20" ht="25.5" customHeight="1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3:20" ht="25.5" customHeight="1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3:20" ht="25.5" customHeight="1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3:20" ht="25.5" customHeight="1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3:20" ht="25.5" customHeight="1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3:20" ht="25.5" customHeight="1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3:20" ht="25.5" customHeight="1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3:20" ht="25.5" customHeight="1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3:20" ht="25.5" customHeight="1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3:20" ht="25.5" customHeight="1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3:20" ht="25.5" customHeight="1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3:20" ht="25.5" customHeight="1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3:20" ht="25.5" customHeight="1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3:20" ht="25.5" customHeight="1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3:20" ht="25.5" customHeight="1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3:20" ht="25.5" customHeight="1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3:20" ht="25.5" customHeight="1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3:20" ht="25.5" customHeight="1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3:20" ht="25.5" customHeight="1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3:20" ht="25.5" customHeight="1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3:20" ht="25.5" customHeight="1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3:20" ht="25.5" customHeight="1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3:20" ht="25.5" customHeight="1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3:20" ht="25.5" customHeight="1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3:20" ht="25.5" customHeight="1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3:20" ht="25.5" customHeight="1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3:20" ht="25.5" customHeight="1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3:20" ht="25.5" customHeight="1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3:20" ht="25.5" customHeight="1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3:20" ht="25.5" customHeight="1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3:20" ht="25.5" customHeight="1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3:20" ht="25.5" customHeight="1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3:20" ht="25.5" customHeight="1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3:20" ht="25.5" customHeight="1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3:20" ht="25.5" customHeight="1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</row>
    <row r="121" spans="3:20" ht="25.5" customHeight="1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</row>
    <row r="122" spans="3:20" ht="25.5" customHeight="1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</row>
    <row r="123" spans="3:20" ht="25.5" customHeight="1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</row>
    <row r="124" spans="3:20" ht="25.5" customHeight="1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3:20" ht="25.5" customHeight="1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</row>
    <row r="126" spans="3:20" ht="25.5" customHeight="1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</row>
    <row r="127" spans="3:20" ht="25.5" customHeight="1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3:20" ht="25.5" customHeight="1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3:20" ht="25.5" customHeight="1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3:20" ht="25.5" customHeight="1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3:20" ht="25.5" customHeight="1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3:20" ht="25.5" customHeight="1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3:20" ht="25.5" customHeight="1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3:20" ht="25.5" customHeight="1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3:20" ht="25.5" customHeight="1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</row>
    <row r="136" spans="3:20" ht="25.5" customHeight="1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</row>
    <row r="137" spans="3:20" ht="25.5" customHeight="1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</row>
    <row r="138" spans="3:20" ht="25.5" customHeight="1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3:20" ht="25.5" customHeight="1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3:20" ht="25.5" customHeight="1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3:20" ht="25.5" customHeight="1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3:20" ht="25.5" customHeight="1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</row>
    <row r="143" spans="3:20" ht="25.5" customHeight="1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3:20" ht="25.5" customHeight="1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3:20" ht="25.5" customHeight="1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3:20" ht="25.5" customHeight="1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3:20" ht="25.5" customHeight="1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3:20" ht="25.5" customHeight="1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3:20" ht="25.5" customHeight="1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3:20" ht="25.5" customHeight="1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3:20" ht="25.5" customHeight="1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3:20" ht="25.5" customHeight="1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3:20" ht="25.5" customHeight="1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3:20" ht="25.5" customHeight="1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3:20" ht="25.5" customHeight="1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3:20" ht="25.5" customHeight="1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3:20" ht="25.5" customHeight="1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3:20" ht="25.5" customHeight="1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3:20" ht="25.5" customHeight="1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3:20" ht="25.5" customHeight="1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3:20" ht="25.5" customHeight="1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3:20" ht="25.5" customHeight="1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3:20" ht="25.5" customHeight="1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3:20" ht="25.5" customHeight="1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3:20" ht="25.5" customHeight="1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3:20" ht="25.5" customHeight="1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3:20" ht="25.5" customHeight="1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3:20" ht="25.5" customHeight="1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3:20" ht="25.5" customHeight="1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3:20" ht="25.5" customHeight="1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3:20" ht="25.5" customHeight="1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</row>
    <row r="172" spans="3:20" ht="25.5" customHeight="1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  <row r="173" spans="3:20" ht="25.5" customHeight="1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3:20" ht="25.5" customHeight="1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</row>
    <row r="175" spans="3:20" ht="25.5" customHeight="1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3:20" ht="25.5" customHeight="1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</row>
    <row r="177" spans="3:20" ht="25.5" customHeight="1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3:20" ht="25.5" customHeight="1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</row>
    <row r="179" spans="3:20" ht="25.5" customHeight="1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</row>
    <row r="180" spans="3:20" ht="25.5" customHeight="1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</row>
    <row r="181" spans="3:20" ht="25.5" customHeight="1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</row>
    <row r="182" spans="3:20" ht="25.5" customHeight="1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</row>
    <row r="183" spans="3:20" ht="25.5" customHeight="1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</row>
    <row r="184" spans="3:20" ht="25.5" customHeight="1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</row>
    <row r="185" spans="3:20" ht="25.5" customHeight="1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</row>
    <row r="186" spans="3:20" ht="25.5" customHeight="1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</row>
    <row r="187" spans="3:20" ht="25.5" customHeight="1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</row>
    <row r="188" spans="3:20" ht="25.5" customHeight="1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</row>
    <row r="189" spans="3:20" ht="25.5" customHeight="1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</row>
    <row r="190" spans="3:20" ht="25.5" customHeight="1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</row>
    <row r="191" spans="3:20" ht="25.5" customHeight="1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</row>
    <row r="192" spans="3:20" ht="25.5" customHeight="1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</row>
    <row r="193" spans="3:20" ht="25.5" customHeight="1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</row>
    <row r="194" spans="3:20" ht="25.5" customHeight="1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</row>
    <row r="195" spans="3:20" ht="25.5" customHeight="1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</row>
    <row r="196" spans="3:20" ht="25.5" customHeight="1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</row>
    <row r="197" spans="3:20" ht="25.5" customHeight="1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</row>
    <row r="198" spans="3:20" ht="25.5" customHeight="1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</row>
    <row r="199" spans="3:20" ht="25.5" customHeight="1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</row>
    <row r="200" spans="3:20" ht="25.5" customHeight="1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</row>
    <row r="201" spans="3:20" ht="25.5" customHeight="1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</row>
    <row r="202" spans="3:20" ht="25.5" customHeight="1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</row>
    <row r="203" spans="3:20" ht="25.5" customHeight="1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</row>
    <row r="204" spans="3:20" ht="25.5" customHeight="1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</row>
    <row r="205" spans="3:20" ht="25.5" customHeight="1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</row>
    <row r="206" spans="3:20" ht="25.5" customHeight="1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</row>
    <row r="207" spans="3:20" ht="25.5" customHeight="1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</row>
    <row r="208" spans="3:20" ht="25.5" customHeight="1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</row>
    <row r="209" spans="3:20" ht="25.5" customHeight="1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</row>
    <row r="210" spans="3:20" ht="25.5" customHeight="1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</row>
    <row r="211" spans="3:20" ht="25.5" customHeight="1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</row>
    <row r="212" spans="3:20" ht="25.5" customHeight="1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</row>
    <row r="213" spans="3:20" ht="25.5" customHeight="1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</row>
    <row r="214" spans="3:20" ht="25.5" customHeight="1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</row>
    <row r="215" spans="3:20" ht="25.5" customHeight="1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</row>
    <row r="216" spans="3:20" ht="25.5" customHeight="1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</row>
    <row r="217" spans="3:20" ht="25.5" customHeight="1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</row>
    <row r="218" spans="3:20" ht="25.5" customHeight="1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</row>
    <row r="219" spans="3:20" ht="25.5" customHeight="1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</row>
    <row r="220" spans="3:20" ht="25.5" customHeight="1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</row>
    <row r="221" spans="3:20" ht="25.5" customHeight="1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</row>
    <row r="222" spans="3:20" ht="25.5" customHeight="1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</row>
    <row r="223" spans="3:20" ht="25.5" customHeight="1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</row>
    <row r="224" spans="3:20" ht="25.5" customHeight="1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</row>
    <row r="225" spans="3:20" ht="25.5" customHeight="1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</row>
    <row r="226" spans="3:20" ht="25.5" customHeight="1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</row>
    <row r="227" spans="3:20" ht="25.5" customHeight="1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</row>
    <row r="228" spans="3:20" ht="25.5" customHeight="1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</row>
    <row r="229" spans="3:20" ht="25.5" customHeight="1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</row>
    <row r="230" spans="3:20" ht="25.5" customHeight="1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</row>
    <row r="231" spans="3:20" ht="25.5" customHeight="1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</row>
    <row r="232" spans="3:20" ht="25.5" customHeight="1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</row>
    <row r="233" spans="3:20" ht="25.5" customHeight="1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</row>
    <row r="234" spans="3:20" ht="25.5" customHeight="1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</row>
    <row r="235" spans="3:20" ht="25.5" customHeight="1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</row>
    <row r="236" spans="3:20" ht="25.5" customHeight="1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</row>
    <row r="237" spans="3:20" ht="25.5" customHeight="1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</row>
    <row r="238" spans="3:20" ht="25.5" customHeight="1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</row>
    <row r="239" spans="3:20" ht="25.5" customHeight="1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</row>
    <row r="240" spans="3:20" ht="25.5" customHeight="1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</row>
    <row r="241" spans="3:20" ht="25.5" customHeight="1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</row>
    <row r="242" spans="3:20" ht="25.5" customHeight="1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</row>
    <row r="243" spans="3:20" ht="25.5" customHeight="1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</row>
    <row r="244" spans="3:20" ht="25.5" customHeight="1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</row>
    <row r="245" spans="3:20" ht="25.5" customHeight="1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</row>
    <row r="246" spans="3:20" ht="25.5" customHeight="1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</row>
    <row r="247" spans="3:20" ht="25.5" customHeight="1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</row>
    <row r="248" spans="3:20" ht="25.5" customHeight="1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</row>
    <row r="249" spans="3:20" ht="25.5" customHeight="1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</row>
    <row r="250" spans="3:20" ht="25.5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</row>
    <row r="251" spans="3:20" ht="25.5" customHeight="1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</row>
    <row r="252" spans="3:20" ht="25.5" customHeight="1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3:20" ht="25.5" customHeight="1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</row>
    <row r="254" spans="3:20" ht="25.5" customHeight="1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</row>
    <row r="255" spans="3:20" ht="25.5" customHeight="1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</row>
    <row r="256" spans="3:20" ht="25.5" customHeight="1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</row>
    <row r="257" spans="3:20" ht="25.5" customHeight="1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</row>
    <row r="258" spans="3:20" ht="25.5" customHeight="1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</row>
    <row r="259" spans="3:20" ht="25.5" customHeight="1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</row>
    <row r="260" spans="3:20" ht="25.5" customHeight="1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</row>
    <row r="261" spans="3:20" ht="25.5" customHeight="1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3:20" ht="25.5" customHeight="1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</row>
    <row r="263" spans="3:20" ht="25.5" customHeight="1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</row>
    <row r="264" spans="3:20" ht="25.5" customHeight="1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</row>
    <row r="265" spans="3:20" ht="25.5" customHeight="1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</row>
    <row r="266" spans="3:20" ht="25.5" customHeight="1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</row>
    <row r="267" spans="3:20" ht="25.5" customHeight="1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</row>
    <row r="268" spans="3:20" ht="25.5" customHeight="1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</row>
    <row r="269" spans="3:20" ht="25.5" customHeight="1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</row>
    <row r="270" spans="3:20" ht="25.5" customHeight="1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</row>
    <row r="271" spans="3:20" ht="25.5" customHeight="1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</row>
    <row r="272" spans="3:20" ht="25.5" customHeight="1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</row>
    <row r="273" spans="3:20" ht="25.5" customHeight="1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</row>
  </sheetData>
  <mergeCells count="9">
    <mergeCell ref="U4:W4"/>
    <mergeCell ref="C1:W1"/>
    <mergeCell ref="J4:L4"/>
    <mergeCell ref="M4:N4"/>
    <mergeCell ref="O4:Q4"/>
    <mergeCell ref="R4:T4"/>
    <mergeCell ref="C2:U2"/>
    <mergeCell ref="D4:F4"/>
    <mergeCell ref="G4:I4"/>
  </mergeCells>
  <printOptions horizontalCentered="1"/>
  <pageMargins left="0.2" right="0" top="0.8661417322834646" bottom="0.35433070866141736" header="0.6299212598425197" footer="0.2362204724409449"/>
  <pageSetup horizontalDpi="300" verticalDpi="300" orientation="landscape" paperSize="9" scale="45" r:id="rId1"/>
  <headerFooter alignWithMargins="0">
    <oddHeader>&amp;L&amp;11  4. melléklet a 24/2013.(IX.13.) önkormányzati rendelethez
"4. melléklet az 1/2013.(II.01.) önkormányzati rendelethez"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03"/>
  <sheetViews>
    <sheetView zoomScaleSheetLayoutView="100" workbookViewId="0" topLeftCell="A1">
      <selection activeCell="P282" sqref="P282"/>
    </sheetView>
  </sheetViews>
  <sheetFormatPr defaultColWidth="9.00390625" defaultRowHeight="12.75"/>
  <cols>
    <col min="1" max="1" width="13.375" style="248" customWidth="1"/>
    <col min="2" max="2" width="8.00390625" style="249" customWidth="1"/>
    <col min="3" max="3" width="53.00390625" style="248" customWidth="1"/>
    <col min="4" max="4" width="12.875" style="250" customWidth="1"/>
    <col min="5" max="5" width="9.25390625" style="251" customWidth="1"/>
    <col min="6" max="6" width="9.00390625" style="248" customWidth="1"/>
    <col min="7" max="7" width="9.75390625" style="248" customWidth="1"/>
    <col min="8" max="8" width="11.125" style="248" customWidth="1"/>
    <col min="9" max="9" width="9.625" style="248" customWidth="1"/>
    <col min="10" max="10" width="9.375" style="248" customWidth="1"/>
    <col min="11" max="11" width="10.125" style="248" customWidth="1"/>
    <col min="12" max="12" width="9.375" style="248" customWidth="1"/>
    <col min="13" max="13" width="9.25390625" style="248" bestFit="1" customWidth="1"/>
    <col min="14" max="14" width="8.875" style="253" customWidth="1"/>
    <col min="15" max="16" width="10.875" style="248" customWidth="1"/>
    <col min="17" max="16384" width="9.125" style="248" customWidth="1"/>
  </cols>
  <sheetData>
    <row r="1" spans="2:3" ht="12.75">
      <c r="B1" s="1110"/>
      <c r="C1" s="1111"/>
    </row>
    <row r="2" ht="10.5" customHeight="1"/>
    <row r="3" spans="2:15" ht="15.75" customHeight="1">
      <c r="B3" s="1112" t="s">
        <v>177</v>
      </c>
      <c r="C3" s="1112"/>
      <c r="D3" s="1112"/>
      <c r="E3" s="1112"/>
      <c r="F3" s="1112"/>
      <c r="G3" s="1112"/>
      <c r="H3" s="1112"/>
      <c r="I3" s="1112"/>
      <c r="J3" s="1112"/>
      <c r="K3" s="1112"/>
      <c r="L3" s="1112"/>
      <c r="M3" s="1112"/>
      <c r="N3" s="1112"/>
      <c r="O3" s="1112"/>
    </row>
    <row r="4" spans="2:15" ht="12.75" customHeight="1">
      <c r="B4" s="1113"/>
      <c r="C4" s="1113"/>
      <c r="D4" s="1113"/>
      <c r="E4" s="1113"/>
      <c r="F4" s="1113"/>
      <c r="G4" s="1113"/>
      <c r="H4" s="1113"/>
      <c r="I4" s="1113"/>
      <c r="J4" s="1113"/>
      <c r="K4" s="1113"/>
      <c r="L4" s="1113"/>
      <c r="M4" s="1113"/>
      <c r="N4" s="1113"/>
      <c r="O4" s="1113"/>
    </row>
    <row r="5" spans="13:16" ht="11.25" customHeight="1" thickBot="1">
      <c r="M5" s="251"/>
      <c r="N5" s="254"/>
      <c r="O5" s="254"/>
      <c r="P5" s="254" t="s">
        <v>178</v>
      </c>
    </row>
    <row r="6" spans="1:16" s="279" customFormat="1" ht="13.5" customHeight="1" thickBot="1">
      <c r="A6" s="1132"/>
      <c r="B6" s="1172" t="s">
        <v>789</v>
      </c>
      <c r="C6" s="1173"/>
      <c r="D6" s="1173"/>
      <c r="E6" s="1178" t="s">
        <v>179</v>
      </c>
      <c r="F6" s="1181" t="s">
        <v>180</v>
      </c>
      <c r="G6" s="1123" t="s">
        <v>722</v>
      </c>
      <c r="H6" s="1123"/>
      <c r="I6" s="1123"/>
      <c r="J6" s="1123"/>
      <c r="K6" s="1123"/>
      <c r="L6" s="1123" t="s">
        <v>723</v>
      </c>
      <c r="M6" s="1123"/>
      <c r="N6" s="1131" t="s">
        <v>181</v>
      </c>
      <c r="O6" s="1128" t="s">
        <v>182</v>
      </c>
      <c r="P6" s="1135" t="s">
        <v>183</v>
      </c>
    </row>
    <row r="7" spans="1:16" s="279" customFormat="1" ht="12" customHeight="1" thickBot="1" thickTop="1">
      <c r="A7" s="1133"/>
      <c r="B7" s="1174"/>
      <c r="C7" s="1175"/>
      <c r="D7" s="1175"/>
      <c r="E7" s="1179"/>
      <c r="F7" s="1182"/>
      <c r="G7" s="1136" t="s">
        <v>184</v>
      </c>
      <c r="H7" s="1136" t="s">
        <v>185</v>
      </c>
      <c r="I7" s="1136" t="s">
        <v>186</v>
      </c>
      <c r="J7" s="1136" t="s">
        <v>187</v>
      </c>
      <c r="K7" s="1136" t="s">
        <v>188</v>
      </c>
      <c r="L7" s="1138" t="s">
        <v>682</v>
      </c>
      <c r="M7" s="1138" t="s">
        <v>680</v>
      </c>
      <c r="N7" s="1125"/>
      <c r="O7" s="1129"/>
      <c r="P7" s="1126"/>
    </row>
    <row r="8" spans="1:16" s="279" customFormat="1" ht="39" customHeight="1" thickBot="1" thickTop="1">
      <c r="A8" s="1134"/>
      <c r="B8" s="1176"/>
      <c r="C8" s="1177"/>
      <c r="D8" s="1177"/>
      <c r="E8" s="1180"/>
      <c r="F8" s="1183"/>
      <c r="G8" s="1137"/>
      <c r="H8" s="1137"/>
      <c r="I8" s="1137"/>
      <c r="J8" s="1137"/>
      <c r="K8" s="1137"/>
      <c r="L8" s="1139"/>
      <c r="M8" s="1139"/>
      <c r="N8" s="1122"/>
      <c r="O8" s="1130"/>
      <c r="P8" s="1127"/>
    </row>
    <row r="9" spans="1:16" s="279" customFormat="1" ht="15" customHeight="1">
      <c r="A9" s="262" t="s">
        <v>189</v>
      </c>
      <c r="B9" s="268" t="s">
        <v>190</v>
      </c>
      <c r="C9" s="269" t="s">
        <v>191</v>
      </c>
      <c r="D9" s="313" t="s">
        <v>522</v>
      </c>
      <c r="E9" s="314"/>
      <c r="F9" s="517">
        <f>SUM(G9:P9)</f>
        <v>10900</v>
      </c>
      <c r="G9" s="288"/>
      <c r="H9" s="288"/>
      <c r="I9" s="288">
        <v>10900</v>
      </c>
      <c r="J9" s="288"/>
      <c r="K9" s="288"/>
      <c r="L9" s="288"/>
      <c r="M9" s="288"/>
      <c r="N9" s="288"/>
      <c r="O9" s="315"/>
      <c r="P9" s="888"/>
    </row>
    <row r="10" spans="1:16" s="279" customFormat="1" ht="15" customHeight="1">
      <c r="A10" s="270"/>
      <c r="B10" s="268"/>
      <c r="C10" s="269"/>
      <c r="D10" s="313" t="s">
        <v>473</v>
      </c>
      <c r="E10" s="314"/>
      <c r="F10" s="517">
        <f>SUM(G10:P10)</f>
        <v>10900</v>
      </c>
      <c r="G10" s="288"/>
      <c r="H10" s="288"/>
      <c r="I10" s="288">
        <v>10900</v>
      </c>
      <c r="J10" s="288"/>
      <c r="K10" s="288"/>
      <c r="L10" s="288"/>
      <c r="M10" s="288"/>
      <c r="N10" s="288"/>
      <c r="O10" s="315"/>
      <c r="P10" s="888"/>
    </row>
    <row r="11" spans="1:16" s="279" customFormat="1" ht="15" customHeight="1">
      <c r="A11" s="270"/>
      <c r="B11" s="268"/>
      <c r="C11" s="269"/>
      <c r="D11" s="313" t="s">
        <v>549</v>
      </c>
      <c r="E11" s="314"/>
      <c r="F11" s="517">
        <f aca="true" t="shared" si="0" ref="F11:F74">SUM(G11:P11)</f>
        <v>10900</v>
      </c>
      <c r="G11" s="288"/>
      <c r="H11" s="288"/>
      <c r="I11" s="288">
        <v>10900</v>
      </c>
      <c r="J11" s="288"/>
      <c r="K11" s="288"/>
      <c r="L11" s="288"/>
      <c r="M11" s="288"/>
      <c r="N11" s="288"/>
      <c r="O11" s="315"/>
      <c r="P11" s="888"/>
    </row>
    <row r="12" spans="1:16" s="279" customFormat="1" ht="15" customHeight="1">
      <c r="A12" s="270" t="s">
        <v>189</v>
      </c>
      <c r="B12" s="274">
        <v>360000</v>
      </c>
      <c r="C12" s="287" t="s">
        <v>192</v>
      </c>
      <c r="D12" s="316" t="s">
        <v>522</v>
      </c>
      <c r="E12" s="317"/>
      <c r="F12" s="517">
        <f t="shared" si="0"/>
        <v>600</v>
      </c>
      <c r="G12" s="272"/>
      <c r="H12" s="272"/>
      <c r="I12" s="272">
        <v>600</v>
      </c>
      <c r="J12" s="272"/>
      <c r="K12" s="272"/>
      <c r="L12" s="272"/>
      <c r="M12" s="272"/>
      <c r="N12" s="272"/>
      <c r="O12" s="318"/>
      <c r="P12" s="889"/>
    </row>
    <row r="13" spans="1:16" s="279" customFormat="1" ht="15" customHeight="1">
      <c r="A13" s="270"/>
      <c r="B13" s="274"/>
      <c r="C13" s="287"/>
      <c r="D13" s="313" t="s">
        <v>473</v>
      </c>
      <c r="E13" s="317"/>
      <c r="F13" s="517">
        <f t="shared" si="0"/>
        <v>600</v>
      </c>
      <c r="G13" s="272"/>
      <c r="H13" s="272"/>
      <c r="I13" s="272">
        <v>600</v>
      </c>
      <c r="J13" s="272"/>
      <c r="K13" s="272"/>
      <c r="L13" s="272"/>
      <c r="M13" s="272"/>
      <c r="N13" s="272"/>
      <c r="O13" s="318"/>
      <c r="P13" s="889"/>
    </row>
    <row r="14" spans="1:16" s="279" customFormat="1" ht="15" customHeight="1">
      <c r="A14" s="270"/>
      <c r="B14" s="274"/>
      <c r="C14" s="287"/>
      <c r="D14" s="313" t="s">
        <v>549</v>
      </c>
      <c r="E14" s="317"/>
      <c r="F14" s="517">
        <f t="shared" si="0"/>
        <v>600</v>
      </c>
      <c r="G14" s="272"/>
      <c r="H14" s="272"/>
      <c r="I14" s="272">
        <v>600</v>
      </c>
      <c r="J14" s="272"/>
      <c r="K14" s="272"/>
      <c r="L14" s="272"/>
      <c r="M14" s="272"/>
      <c r="N14" s="272"/>
      <c r="O14" s="318"/>
      <c r="P14" s="889"/>
    </row>
    <row r="15" spans="1:16" s="279" customFormat="1" ht="15" customHeight="1">
      <c r="A15" s="270" t="s">
        <v>189</v>
      </c>
      <c r="B15" s="274">
        <v>370000</v>
      </c>
      <c r="C15" s="275" t="s">
        <v>193</v>
      </c>
      <c r="D15" s="316" t="s">
        <v>522</v>
      </c>
      <c r="E15" s="317">
        <v>9040</v>
      </c>
      <c r="F15" s="517">
        <f t="shared" si="0"/>
        <v>55700</v>
      </c>
      <c r="G15" s="272"/>
      <c r="H15" s="272"/>
      <c r="I15" s="272">
        <v>19910</v>
      </c>
      <c r="J15" s="272"/>
      <c r="K15" s="272"/>
      <c r="L15" s="272">
        <v>8990</v>
      </c>
      <c r="M15" s="272">
        <v>17048</v>
      </c>
      <c r="N15" s="272"/>
      <c r="O15" s="318">
        <v>9752</v>
      </c>
      <c r="P15" s="889"/>
    </row>
    <row r="16" spans="1:16" s="279" customFormat="1" ht="15" customHeight="1">
      <c r="A16" s="270"/>
      <c r="B16" s="274"/>
      <c r="C16" s="275"/>
      <c r="D16" s="313" t="s">
        <v>473</v>
      </c>
      <c r="E16" s="317">
        <v>9058</v>
      </c>
      <c r="F16" s="517">
        <f t="shared" si="0"/>
        <v>64718</v>
      </c>
      <c r="G16" s="272"/>
      <c r="H16" s="272"/>
      <c r="I16" s="272">
        <v>19910</v>
      </c>
      <c r="J16" s="272">
        <v>18</v>
      </c>
      <c r="K16" s="272"/>
      <c r="L16" s="272">
        <v>8990</v>
      </c>
      <c r="M16" s="272">
        <v>26048</v>
      </c>
      <c r="N16" s="272"/>
      <c r="O16" s="318">
        <v>9752</v>
      </c>
      <c r="P16" s="889"/>
    </row>
    <row r="17" spans="1:16" s="279" customFormat="1" ht="15" customHeight="1">
      <c r="A17" s="270"/>
      <c r="B17" s="274"/>
      <c r="C17" s="275"/>
      <c r="D17" s="313" t="s">
        <v>549</v>
      </c>
      <c r="E17" s="317">
        <v>11447</v>
      </c>
      <c r="F17" s="517">
        <f t="shared" si="0"/>
        <v>67107</v>
      </c>
      <c r="G17" s="272"/>
      <c r="H17" s="272"/>
      <c r="I17" s="272">
        <v>21583</v>
      </c>
      <c r="J17" s="272">
        <v>22</v>
      </c>
      <c r="K17" s="272"/>
      <c r="L17" s="272">
        <v>9702</v>
      </c>
      <c r="M17" s="272">
        <v>26048</v>
      </c>
      <c r="N17" s="272"/>
      <c r="O17" s="318">
        <v>9752</v>
      </c>
      <c r="P17" s="889"/>
    </row>
    <row r="18" spans="1:16" s="279" customFormat="1" ht="15" customHeight="1">
      <c r="A18" s="270" t="s">
        <v>189</v>
      </c>
      <c r="B18" s="274">
        <v>381103</v>
      </c>
      <c r="C18" s="275" t="s">
        <v>194</v>
      </c>
      <c r="D18" s="316" t="s">
        <v>522</v>
      </c>
      <c r="E18" s="317"/>
      <c r="F18" s="517">
        <f t="shared" si="0"/>
        <v>25400</v>
      </c>
      <c r="G18" s="272"/>
      <c r="H18" s="272"/>
      <c r="I18" s="272">
        <v>25400</v>
      </c>
      <c r="J18" s="272"/>
      <c r="K18" s="272"/>
      <c r="L18" s="272"/>
      <c r="M18" s="272"/>
      <c r="N18" s="272"/>
      <c r="O18" s="318"/>
      <c r="P18" s="889"/>
    </row>
    <row r="19" spans="1:16" s="279" customFormat="1" ht="15" customHeight="1">
      <c r="A19" s="270"/>
      <c r="B19" s="274"/>
      <c r="C19" s="275"/>
      <c r="D19" s="313" t="s">
        <v>473</v>
      </c>
      <c r="E19" s="317"/>
      <c r="F19" s="517">
        <f t="shared" si="0"/>
        <v>29400</v>
      </c>
      <c r="G19" s="272"/>
      <c r="H19" s="272"/>
      <c r="I19" s="272">
        <v>29400</v>
      </c>
      <c r="J19" s="272"/>
      <c r="K19" s="272"/>
      <c r="L19" s="272"/>
      <c r="M19" s="272"/>
      <c r="N19" s="272"/>
      <c r="O19" s="318"/>
      <c r="P19" s="889"/>
    </row>
    <row r="20" spans="1:16" s="279" customFormat="1" ht="15" customHeight="1">
      <c r="A20" s="270"/>
      <c r="B20" s="274"/>
      <c r="C20" s="275"/>
      <c r="D20" s="313" t="s">
        <v>549</v>
      </c>
      <c r="E20" s="317"/>
      <c r="F20" s="517">
        <f t="shared" si="0"/>
        <v>29400</v>
      </c>
      <c r="G20" s="272"/>
      <c r="H20" s="272"/>
      <c r="I20" s="272">
        <v>29400</v>
      </c>
      <c r="J20" s="272"/>
      <c r="K20" s="272"/>
      <c r="L20" s="272"/>
      <c r="M20" s="272"/>
      <c r="N20" s="272"/>
      <c r="O20" s="318"/>
      <c r="P20" s="889"/>
    </row>
    <row r="21" spans="1:16" s="279" customFormat="1" ht="15" customHeight="1">
      <c r="A21" s="270" t="s">
        <v>195</v>
      </c>
      <c r="B21" s="274">
        <v>412000</v>
      </c>
      <c r="C21" s="275" t="s">
        <v>196</v>
      </c>
      <c r="D21" s="316" t="s">
        <v>522</v>
      </c>
      <c r="E21" s="317">
        <v>2310431</v>
      </c>
      <c r="F21" s="517">
        <f t="shared" si="0"/>
        <v>3208747</v>
      </c>
      <c r="G21" s="272"/>
      <c r="H21" s="272"/>
      <c r="I21" s="272">
        <v>3086</v>
      </c>
      <c r="J21" s="272">
        <v>52606</v>
      </c>
      <c r="K21" s="272"/>
      <c r="L21" s="272">
        <v>69124</v>
      </c>
      <c r="M21" s="272">
        <v>1439717</v>
      </c>
      <c r="N21" s="272"/>
      <c r="O21" s="318">
        <v>1644214</v>
      </c>
      <c r="P21" s="889"/>
    </row>
    <row r="22" spans="1:16" s="279" customFormat="1" ht="15" customHeight="1">
      <c r="A22" s="270"/>
      <c r="B22" s="274"/>
      <c r="C22" s="275"/>
      <c r="D22" s="313" t="s">
        <v>473</v>
      </c>
      <c r="E22" s="317">
        <v>2310431</v>
      </c>
      <c r="F22" s="517">
        <f t="shared" si="0"/>
        <v>3246871</v>
      </c>
      <c r="G22" s="272">
        <v>112</v>
      </c>
      <c r="H22" s="272">
        <v>27</v>
      </c>
      <c r="I22" s="272">
        <v>3086</v>
      </c>
      <c r="J22" s="272">
        <v>52606</v>
      </c>
      <c r="K22" s="272"/>
      <c r="L22" s="272">
        <v>110224</v>
      </c>
      <c r="M22" s="272">
        <v>1629602</v>
      </c>
      <c r="N22" s="272"/>
      <c r="O22" s="318">
        <v>1451214</v>
      </c>
      <c r="P22" s="889"/>
    </row>
    <row r="23" spans="1:16" s="279" customFormat="1" ht="15" customHeight="1">
      <c r="A23" s="270"/>
      <c r="B23" s="274"/>
      <c r="C23" s="275"/>
      <c r="D23" s="313" t="s">
        <v>549</v>
      </c>
      <c r="E23" s="317">
        <v>2291097</v>
      </c>
      <c r="F23" s="517">
        <f t="shared" si="0"/>
        <v>3231919</v>
      </c>
      <c r="G23" s="272">
        <v>328</v>
      </c>
      <c r="H23" s="272">
        <v>79</v>
      </c>
      <c r="I23" s="272">
        <v>4121</v>
      </c>
      <c r="J23" s="272">
        <v>52606</v>
      </c>
      <c r="K23" s="272"/>
      <c r="L23" s="272">
        <v>113460</v>
      </c>
      <c r="M23" s="272">
        <v>1610111</v>
      </c>
      <c r="N23" s="272"/>
      <c r="O23" s="318">
        <v>1451214</v>
      </c>
      <c r="P23" s="889"/>
    </row>
    <row r="24" spans="1:16" s="279" customFormat="1" ht="15" customHeight="1">
      <c r="A24" s="270" t="s">
        <v>189</v>
      </c>
      <c r="B24" s="274">
        <v>421100</v>
      </c>
      <c r="C24" s="275" t="s">
        <v>197</v>
      </c>
      <c r="D24" s="316" t="s">
        <v>522</v>
      </c>
      <c r="E24" s="317">
        <v>674640</v>
      </c>
      <c r="F24" s="517">
        <f t="shared" si="0"/>
        <v>899784</v>
      </c>
      <c r="G24" s="272"/>
      <c r="H24" s="272"/>
      <c r="I24" s="272">
        <v>1831</v>
      </c>
      <c r="J24" s="272">
        <v>3975</v>
      </c>
      <c r="K24" s="272"/>
      <c r="L24" s="272">
        <v>25000</v>
      </c>
      <c r="M24" s="272">
        <v>569976</v>
      </c>
      <c r="N24" s="272"/>
      <c r="O24" s="318">
        <v>299002</v>
      </c>
      <c r="P24" s="889"/>
    </row>
    <row r="25" spans="1:16" s="279" customFormat="1" ht="15" customHeight="1">
      <c r="A25" s="270"/>
      <c r="B25" s="274"/>
      <c r="C25" s="275"/>
      <c r="D25" s="313" t="s">
        <v>473</v>
      </c>
      <c r="E25" s="317">
        <v>674640</v>
      </c>
      <c r="F25" s="517">
        <f t="shared" si="0"/>
        <v>904294</v>
      </c>
      <c r="G25" s="272">
        <v>390</v>
      </c>
      <c r="H25" s="272">
        <v>95</v>
      </c>
      <c r="I25" s="272">
        <v>1831</v>
      </c>
      <c r="J25" s="272">
        <v>3975</v>
      </c>
      <c r="K25" s="272"/>
      <c r="L25" s="272">
        <v>25900</v>
      </c>
      <c r="M25" s="272">
        <v>663726</v>
      </c>
      <c r="N25" s="272"/>
      <c r="O25" s="318">
        <v>208377</v>
      </c>
      <c r="P25" s="889"/>
    </row>
    <row r="26" spans="1:16" s="279" customFormat="1" ht="15" customHeight="1">
      <c r="A26" s="270"/>
      <c r="B26" s="274"/>
      <c r="C26" s="275"/>
      <c r="D26" s="313" t="s">
        <v>549</v>
      </c>
      <c r="E26" s="317">
        <v>693675</v>
      </c>
      <c r="F26" s="517">
        <f t="shared" si="0"/>
        <v>923329</v>
      </c>
      <c r="G26" s="272">
        <v>390</v>
      </c>
      <c r="H26" s="272">
        <v>95</v>
      </c>
      <c r="I26" s="272">
        <v>20866</v>
      </c>
      <c r="J26" s="272">
        <v>3975</v>
      </c>
      <c r="K26" s="272"/>
      <c r="L26" s="272">
        <v>25900</v>
      </c>
      <c r="M26" s="272">
        <v>663726</v>
      </c>
      <c r="N26" s="272"/>
      <c r="O26" s="318">
        <v>208377</v>
      </c>
      <c r="P26" s="889"/>
    </row>
    <row r="27" spans="1:16" s="279" customFormat="1" ht="15" customHeight="1">
      <c r="A27" s="270" t="s">
        <v>189</v>
      </c>
      <c r="B27" s="274">
        <v>493102</v>
      </c>
      <c r="C27" s="275" t="s">
        <v>198</v>
      </c>
      <c r="D27" s="316" t="s">
        <v>522</v>
      </c>
      <c r="E27" s="317"/>
      <c r="F27" s="517">
        <f t="shared" si="0"/>
        <v>21570</v>
      </c>
      <c r="G27" s="272"/>
      <c r="H27" s="272"/>
      <c r="I27" s="272">
        <v>5070</v>
      </c>
      <c r="J27" s="272">
        <v>16500</v>
      </c>
      <c r="K27" s="272"/>
      <c r="L27" s="272"/>
      <c r="M27" s="272"/>
      <c r="N27" s="272"/>
      <c r="O27" s="318"/>
      <c r="P27" s="889"/>
    </row>
    <row r="28" spans="1:16" s="279" customFormat="1" ht="15" customHeight="1">
      <c r="A28" s="270"/>
      <c r="B28" s="274"/>
      <c r="C28" s="275"/>
      <c r="D28" s="313" t="s">
        <v>473</v>
      </c>
      <c r="E28" s="317"/>
      <c r="F28" s="517">
        <f t="shared" si="0"/>
        <v>21570</v>
      </c>
      <c r="G28" s="272"/>
      <c r="H28" s="272"/>
      <c r="I28" s="272">
        <v>5070</v>
      </c>
      <c r="J28" s="272">
        <v>16500</v>
      </c>
      <c r="K28" s="272"/>
      <c r="L28" s="272"/>
      <c r="M28" s="272"/>
      <c r="N28" s="272"/>
      <c r="O28" s="318"/>
      <c r="P28" s="889"/>
    </row>
    <row r="29" spans="1:16" s="279" customFormat="1" ht="15" customHeight="1">
      <c r="A29" s="270"/>
      <c r="B29" s="274"/>
      <c r="C29" s="275"/>
      <c r="D29" s="313" t="s">
        <v>549</v>
      </c>
      <c r="E29" s="317">
        <v>2945</v>
      </c>
      <c r="F29" s="517">
        <f t="shared" si="0"/>
        <v>24515</v>
      </c>
      <c r="G29" s="272"/>
      <c r="H29" s="272"/>
      <c r="I29" s="272">
        <v>5070</v>
      </c>
      <c r="J29" s="272">
        <v>19445</v>
      </c>
      <c r="K29" s="272"/>
      <c r="L29" s="272"/>
      <c r="M29" s="272"/>
      <c r="N29" s="272"/>
      <c r="O29" s="318"/>
      <c r="P29" s="889"/>
    </row>
    <row r="30" spans="1:22" s="279" customFormat="1" ht="15" customHeight="1">
      <c r="A30" s="270" t="s">
        <v>189</v>
      </c>
      <c r="B30" s="274">
        <v>522001</v>
      </c>
      <c r="C30" s="275" t="s">
        <v>199</v>
      </c>
      <c r="D30" s="316" t="s">
        <v>522</v>
      </c>
      <c r="E30" s="317"/>
      <c r="F30" s="517">
        <f t="shared" si="0"/>
        <v>41800</v>
      </c>
      <c r="G30" s="272"/>
      <c r="H30" s="272"/>
      <c r="I30" s="272">
        <v>41800</v>
      </c>
      <c r="J30" s="272"/>
      <c r="K30" s="271"/>
      <c r="L30" s="271"/>
      <c r="M30" s="272"/>
      <c r="N30" s="272"/>
      <c r="O30" s="318"/>
      <c r="P30" s="889"/>
      <c r="Q30" s="319"/>
      <c r="R30" s="319"/>
      <c r="S30" s="319"/>
      <c r="T30" s="319"/>
      <c r="U30" s="319"/>
      <c r="V30" s="319"/>
    </row>
    <row r="31" spans="1:22" s="279" customFormat="1" ht="15" customHeight="1">
      <c r="A31" s="270"/>
      <c r="B31" s="274"/>
      <c r="C31" s="275"/>
      <c r="D31" s="313" t="s">
        <v>473</v>
      </c>
      <c r="E31" s="317"/>
      <c r="F31" s="517">
        <f t="shared" si="0"/>
        <v>51800</v>
      </c>
      <c r="G31" s="272"/>
      <c r="H31" s="272"/>
      <c r="I31" s="272">
        <v>51800</v>
      </c>
      <c r="J31" s="272"/>
      <c r="K31" s="271"/>
      <c r="L31" s="271"/>
      <c r="M31" s="272"/>
      <c r="N31" s="272"/>
      <c r="O31" s="318"/>
      <c r="P31" s="889"/>
      <c r="Q31" s="319"/>
      <c r="R31" s="319"/>
      <c r="S31" s="319"/>
      <c r="T31" s="319"/>
      <c r="U31" s="319"/>
      <c r="V31" s="319"/>
    </row>
    <row r="32" spans="1:22" s="279" customFormat="1" ht="15" customHeight="1">
      <c r="A32" s="270"/>
      <c r="B32" s="274"/>
      <c r="C32" s="275"/>
      <c r="D32" s="313" t="s">
        <v>549</v>
      </c>
      <c r="E32" s="317"/>
      <c r="F32" s="517">
        <f t="shared" si="0"/>
        <v>51800</v>
      </c>
      <c r="G32" s="272"/>
      <c r="H32" s="272"/>
      <c r="I32" s="272">
        <v>51800</v>
      </c>
      <c r="J32" s="272"/>
      <c r="K32" s="271"/>
      <c r="L32" s="271"/>
      <c r="M32" s="272"/>
      <c r="N32" s="272"/>
      <c r="O32" s="318"/>
      <c r="P32" s="889"/>
      <c r="Q32" s="319"/>
      <c r="R32" s="319"/>
      <c r="S32" s="319"/>
      <c r="T32" s="319"/>
      <c r="U32" s="319"/>
      <c r="V32" s="319"/>
    </row>
    <row r="33" spans="1:22" s="279" customFormat="1" ht="15" customHeight="1">
      <c r="A33" s="270" t="s">
        <v>195</v>
      </c>
      <c r="B33" s="274">
        <v>581100</v>
      </c>
      <c r="C33" s="275" t="s">
        <v>200</v>
      </c>
      <c r="D33" s="316" t="s">
        <v>522</v>
      </c>
      <c r="E33" s="317"/>
      <c r="F33" s="517">
        <f t="shared" si="0"/>
        <v>1800</v>
      </c>
      <c r="G33" s="272"/>
      <c r="H33" s="272"/>
      <c r="I33" s="272">
        <v>1800</v>
      </c>
      <c r="J33" s="272"/>
      <c r="K33" s="271"/>
      <c r="L33" s="320"/>
      <c r="M33" s="272"/>
      <c r="N33" s="272"/>
      <c r="O33" s="318"/>
      <c r="P33" s="889"/>
      <c r="Q33" s="319"/>
      <c r="R33" s="319"/>
      <c r="S33" s="319"/>
      <c r="T33" s="319"/>
      <c r="U33" s="319"/>
      <c r="V33" s="319"/>
    </row>
    <row r="34" spans="1:22" s="279" customFormat="1" ht="15" customHeight="1">
      <c r="A34" s="270"/>
      <c r="B34" s="274"/>
      <c r="C34" s="275"/>
      <c r="D34" s="313" t="s">
        <v>473</v>
      </c>
      <c r="E34" s="317"/>
      <c r="F34" s="517">
        <f t="shared" si="0"/>
        <v>1800</v>
      </c>
      <c r="G34" s="272"/>
      <c r="H34" s="272"/>
      <c r="I34" s="272">
        <v>1800</v>
      </c>
      <c r="J34" s="272"/>
      <c r="K34" s="271"/>
      <c r="L34" s="320"/>
      <c r="M34" s="272"/>
      <c r="N34" s="272"/>
      <c r="O34" s="318"/>
      <c r="P34" s="889"/>
      <c r="Q34" s="319"/>
      <c r="R34" s="319"/>
      <c r="S34" s="319"/>
      <c r="T34" s="319"/>
      <c r="U34" s="319"/>
      <c r="V34" s="319"/>
    </row>
    <row r="35" spans="1:22" s="279" customFormat="1" ht="15" customHeight="1">
      <c r="A35" s="270"/>
      <c r="B35" s="274"/>
      <c r="C35" s="275"/>
      <c r="D35" s="313" t="s">
        <v>549</v>
      </c>
      <c r="E35" s="317"/>
      <c r="F35" s="517">
        <f t="shared" si="0"/>
        <v>1800</v>
      </c>
      <c r="G35" s="272"/>
      <c r="H35" s="272"/>
      <c r="I35" s="272">
        <v>1800</v>
      </c>
      <c r="J35" s="272"/>
      <c r="K35" s="271"/>
      <c r="L35" s="320"/>
      <c r="M35" s="272"/>
      <c r="N35" s="272"/>
      <c r="O35" s="318"/>
      <c r="P35" s="889"/>
      <c r="Q35" s="319"/>
      <c r="R35" s="319"/>
      <c r="S35" s="319"/>
      <c r="T35" s="319"/>
      <c r="U35" s="319"/>
      <c r="V35" s="319"/>
    </row>
    <row r="36" spans="1:22" s="279" customFormat="1" ht="15" customHeight="1">
      <c r="A36" s="270" t="s">
        <v>195</v>
      </c>
      <c r="B36" s="321">
        <v>581900</v>
      </c>
      <c r="C36" s="322" t="s">
        <v>201</v>
      </c>
      <c r="D36" s="316" t="s">
        <v>522</v>
      </c>
      <c r="E36" s="317"/>
      <c r="F36" s="517">
        <f t="shared" si="0"/>
        <v>35160</v>
      </c>
      <c r="G36" s="276">
        <v>5760</v>
      </c>
      <c r="H36" s="276">
        <v>1400</v>
      </c>
      <c r="I36" s="276">
        <v>28000</v>
      </c>
      <c r="J36" s="276"/>
      <c r="K36" s="276"/>
      <c r="L36" s="276"/>
      <c r="M36" s="276"/>
      <c r="N36" s="276"/>
      <c r="O36" s="323"/>
      <c r="P36" s="889"/>
      <c r="Q36" s="319"/>
      <c r="R36" s="319"/>
      <c r="S36" s="319"/>
      <c r="T36" s="319"/>
      <c r="U36" s="319"/>
      <c r="V36" s="319"/>
    </row>
    <row r="37" spans="1:22" s="279" customFormat="1" ht="15" customHeight="1">
      <c r="A37" s="270"/>
      <c r="B37" s="321"/>
      <c r="C37" s="322"/>
      <c r="D37" s="313" t="s">
        <v>473</v>
      </c>
      <c r="E37" s="317"/>
      <c r="F37" s="517">
        <f t="shared" si="0"/>
        <v>35160</v>
      </c>
      <c r="G37" s="276">
        <v>5760</v>
      </c>
      <c r="H37" s="276">
        <v>1400</v>
      </c>
      <c r="I37" s="276">
        <v>28000</v>
      </c>
      <c r="J37" s="276"/>
      <c r="K37" s="276"/>
      <c r="L37" s="276"/>
      <c r="M37" s="276"/>
      <c r="N37" s="276"/>
      <c r="O37" s="323"/>
      <c r="P37" s="889"/>
      <c r="Q37" s="319"/>
      <c r="R37" s="319"/>
      <c r="S37" s="319"/>
      <c r="T37" s="319"/>
      <c r="U37" s="319"/>
      <c r="V37" s="319"/>
    </row>
    <row r="38" spans="1:22" s="279" customFormat="1" ht="15" customHeight="1">
      <c r="A38" s="270"/>
      <c r="B38" s="321"/>
      <c r="C38" s="322"/>
      <c r="D38" s="313" t="s">
        <v>549</v>
      </c>
      <c r="E38" s="317"/>
      <c r="F38" s="517">
        <f t="shared" si="0"/>
        <v>35545</v>
      </c>
      <c r="G38" s="276">
        <v>5760</v>
      </c>
      <c r="H38" s="276">
        <v>1400</v>
      </c>
      <c r="I38" s="276">
        <v>28085</v>
      </c>
      <c r="J38" s="276"/>
      <c r="K38" s="276"/>
      <c r="L38" s="276"/>
      <c r="M38" s="276">
        <v>300</v>
      </c>
      <c r="N38" s="276"/>
      <c r="O38" s="323"/>
      <c r="P38" s="889"/>
      <c r="Q38" s="319"/>
      <c r="R38" s="319"/>
      <c r="S38" s="319"/>
      <c r="T38" s="319"/>
      <c r="U38" s="319"/>
      <c r="V38" s="319"/>
    </row>
    <row r="39" spans="1:22" s="279" customFormat="1" ht="15" customHeight="1">
      <c r="A39" s="270" t="s">
        <v>189</v>
      </c>
      <c r="B39" s="274">
        <v>680001</v>
      </c>
      <c r="C39" s="275" t="s">
        <v>202</v>
      </c>
      <c r="D39" s="316" t="s">
        <v>522</v>
      </c>
      <c r="E39" s="317">
        <v>47000</v>
      </c>
      <c r="F39" s="517">
        <f t="shared" si="0"/>
        <v>42550</v>
      </c>
      <c r="G39" s="272"/>
      <c r="H39" s="272"/>
      <c r="I39" s="272">
        <v>42550</v>
      </c>
      <c r="J39" s="272"/>
      <c r="K39" s="272"/>
      <c r="L39" s="272"/>
      <c r="M39" s="272"/>
      <c r="N39" s="272"/>
      <c r="O39" s="318"/>
      <c r="P39" s="889"/>
      <c r="Q39" s="319"/>
      <c r="R39" s="319"/>
      <c r="S39" s="319"/>
      <c r="T39" s="319"/>
      <c r="U39" s="319"/>
      <c r="V39" s="319"/>
    </row>
    <row r="40" spans="1:22" s="279" customFormat="1" ht="15" customHeight="1">
      <c r="A40" s="270"/>
      <c r="B40" s="274"/>
      <c r="C40" s="275"/>
      <c r="D40" s="313" t="s">
        <v>473</v>
      </c>
      <c r="E40" s="317">
        <v>47000</v>
      </c>
      <c r="F40" s="517">
        <f t="shared" si="0"/>
        <v>42550</v>
      </c>
      <c r="G40" s="272"/>
      <c r="H40" s="272"/>
      <c r="I40" s="272">
        <v>42550</v>
      </c>
      <c r="J40" s="272"/>
      <c r="K40" s="272"/>
      <c r="L40" s="272"/>
      <c r="M40" s="272"/>
      <c r="N40" s="272"/>
      <c r="O40" s="318"/>
      <c r="P40" s="889"/>
      <c r="Q40" s="319"/>
      <c r="R40" s="319"/>
      <c r="S40" s="319"/>
      <c r="T40" s="319"/>
      <c r="U40" s="319"/>
      <c r="V40" s="319"/>
    </row>
    <row r="41" spans="1:22" s="279" customFormat="1" ht="15" customHeight="1">
      <c r="A41" s="270"/>
      <c r="B41" s="274"/>
      <c r="C41" s="275"/>
      <c r="D41" s="313" t="s">
        <v>549</v>
      </c>
      <c r="E41" s="317">
        <v>47000</v>
      </c>
      <c r="F41" s="517">
        <f t="shared" si="0"/>
        <v>42550</v>
      </c>
      <c r="G41" s="272"/>
      <c r="H41" s="272"/>
      <c r="I41" s="272">
        <v>42550</v>
      </c>
      <c r="J41" s="272"/>
      <c r="K41" s="272"/>
      <c r="L41" s="272"/>
      <c r="M41" s="272"/>
      <c r="N41" s="272"/>
      <c r="O41" s="318"/>
      <c r="P41" s="889"/>
      <c r="Q41" s="319"/>
      <c r="R41" s="319"/>
      <c r="S41" s="319"/>
      <c r="T41" s="319"/>
      <c r="U41" s="319"/>
      <c r="V41" s="319"/>
    </row>
    <row r="42" spans="1:22" s="279" customFormat="1" ht="15" customHeight="1">
      <c r="A42" s="270" t="s">
        <v>189</v>
      </c>
      <c r="B42" s="274">
        <v>680002</v>
      </c>
      <c r="C42" s="275" t="s">
        <v>203</v>
      </c>
      <c r="D42" s="316" t="s">
        <v>522</v>
      </c>
      <c r="E42" s="317">
        <v>50667</v>
      </c>
      <c r="F42" s="517">
        <f t="shared" si="0"/>
        <v>32390</v>
      </c>
      <c r="G42" s="272"/>
      <c r="H42" s="272"/>
      <c r="I42" s="272">
        <v>32390</v>
      </c>
      <c r="J42" s="272"/>
      <c r="K42" s="272"/>
      <c r="L42" s="272"/>
      <c r="M42" s="272"/>
      <c r="N42" s="272"/>
      <c r="O42" s="318"/>
      <c r="P42" s="889"/>
      <c r="Q42" s="319"/>
      <c r="R42" s="319"/>
      <c r="S42" s="319"/>
      <c r="T42" s="319"/>
      <c r="U42" s="319"/>
      <c r="V42" s="319"/>
    </row>
    <row r="43" spans="1:22" s="279" customFormat="1" ht="15" customHeight="1">
      <c r="A43" s="270"/>
      <c r="B43" s="274"/>
      <c r="C43" s="275"/>
      <c r="D43" s="313" t="s">
        <v>473</v>
      </c>
      <c r="E43" s="317">
        <v>52197</v>
      </c>
      <c r="F43" s="517">
        <f t="shared" si="0"/>
        <v>32715</v>
      </c>
      <c r="G43" s="272"/>
      <c r="H43" s="272"/>
      <c r="I43" s="272">
        <v>32715</v>
      </c>
      <c r="J43" s="272"/>
      <c r="K43" s="272"/>
      <c r="L43" s="272"/>
      <c r="M43" s="272"/>
      <c r="N43" s="272"/>
      <c r="O43" s="318"/>
      <c r="P43" s="889"/>
      <c r="Q43" s="319"/>
      <c r="R43" s="319"/>
      <c r="S43" s="319"/>
      <c r="T43" s="319"/>
      <c r="U43" s="319"/>
      <c r="V43" s="319"/>
    </row>
    <row r="44" spans="1:22" s="279" customFormat="1" ht="15" customHeight="1">
      <c r="A44" s="270"/>
      <c r="B44" s="274"/>
      <c r="C44" s="275"/>
      <c r="D44" s="313" t="s">
        <v>549</v>
      </c>
      <c r="E44" s="317">
        <v>59817</v>
      </c>
      <c r="F44" s="517">
        <f t="shared" si="0"/>
        <v>33525</v>
      </c>
      <c r="G44" s="272"/>
      <c r="H44" s="272"/>
      <c r="I44" s="272">
        <v>33525</v>
      </c>
      <c r="J44" s="272"/>
      <c r="K44" s="272"/>
      <c r="L44" s="272"/>
      <c r="M44" s="272"/>
      <c r="N44" s="272"/>
      <c r="O44" s="318"/>
      <c r="P44" s="889"/>
      <c r="Q44" s="319"/>
      <c r="R44" s="319"/>
      <c r="S44" s="319"/>
      <c r="T44" s="319"/>
      <c r="U44" s="319"/>
      <c r="V44" s="319"/>
    </row>
    <row r="45" spans="1:22" s="279" customFormat="1" ht="15" customHeight="1">
      <c r="A45" s="270" t="s">
        <v>189</v>
      </c>
      <c r="B45" s="274">
        <v>750000</v>
      </c>
      <c r="C45" s="275" t="s">
        <v>204</v>
      </c>
      <c r="D45" s="316" t="s">
        <v>522</v>
      </c>
      <c r="E45" s="317"/>
      <c r="F45" s="517">
        <f t="shared" si="0"/>
        <v>6000</v>
      </c>
      <c r="G45" s="272"/>
      <c r="H45" s="272"/>
      <c r="I45" s="272">
        <v>6000</v>
      </c>
      <c r="J45" s="272"/>
      <c r="K45" s="272"/>
      <c r="L45" s="272"/>
      <c r="M45" s="272"/>
      <c r="N45" s="272"/>
      <c r="O45" s="318"/>
      <c r="P45" s="889"/>
      <c r="Q45" s="319"/>
      <c r="R45" s="319"/>
      <c r="S45" s="319"/>
      <c r="T45" s="319"/>
      <c r="U45" s="319"/>
      <c r="V45" s="319"/>
    </row>
    <row r="46" spans="1:22" s="279" customFormat="1" ht="15" customHeight="1">
      <c r="A46" s="270"/>
      <c r="B46" s="274"/>
      <c r="C46" s="275"/>
      <c r="D46" s="313" t="s">
        <v>473</v>
      </c>
      <c r="E46" s="317"/>
      <c r="F46" s="517">
        <f t="shared" si="0"/>
        <v>6000</v>
      </c>
      <c r="G46" s="272"/>
      <c r="H46" s="272"/>
      <c r="I46" s="272">
        <v>6000</v>
      </c>
      <c r="J46" s="272"/>
      <c r="K46" s="272"/>
      <c r="L46" s="272"/>
      <c r="M46" s="272"/>
      <c r="N46" s="272"/>
      <c r="O46" s="318"/>
      <c r="P46" s="889"/>
      <c r="Q46" s="319"/>
      <c r="R46" s="319"/>
      <c r="S46" s="319"/>
      <c r="T46" s="319"/>
      <c r="U46" s="319"/>
      <c r="V46" s="319"/>
    </row>
    <row r="47" spans="1:22" s="279" customFormat="1" ht="15" customHeight="1">
      <c r="A47" s="270"/>
      <c r="B47" s="274"/>
      <c r="C47" s="275"/>
      <c r="D47" s="313" t="s">
        <v>549</v>
      </c>
      <c r="E47" s="317"/>
      <c r="F47" s="517">
        <f t="shared" si="0"/>
        <v>6000</v>
      </c>
      <c r="G47" s="272"/>
      <c r="H47" s="272"/>
      <c r="I47" s="272">
        <v>6000</v>
      </c>
      <c r="J47" s="272"/>
      <c r="K47" s="272"/>
      <c r="L47" s="272"/>
      <c r="M47" s="272"/>
      <c r="N47" s="272"/>
      <c r="O47" s="318"/>
      <c r="P47" s="889"/>
      <c r="Q47" s="319"/>
      <c r="R47" s="319"/>
      <c r="S47" s="319"/>
      <c r="T47" s="319"/>
      <c r="U47" s="319"/>
      <c r="V47" s="319"/>
    </row>
    <row r="48" spans="1:22" s="279" customFormat="1" ht="15" customHeight="1">
      <c r="A48" s="270" t="s">
        <v>189</v>
      </c>
      <c r="B48" s="274">
        <v>813000</v>
      </c>
      <c r="C48" s="275" t="s">
        <v>205</v>
      </c>
      <c r="D48" s="316" t="s">
        <v>522</v>
      </c>
      <c r="E48" s="317"/>
      <c r="F48" s="517">
        <f t="shared" si="0"/>
        <v>48950</v>
      </c>
      <c r="G48" s="272"/>
      <c r="H48" s="272"/>
      <c r="I48" s="272">
        <v>48950</v>
      </c>
      <c r="J48" s="272"/>
      <c r="K48" s="272"/>
      <c r="L48" s="272"/>
      <c r="M48" s="272"/>
      <c r="N48" s="272"/>
      <c r="O48" s="318"/>
      <c r="P48" s="889"/>
      <c r="Q48" s="319"/>
      <c r="R48" s="319"/>
      <c r="S48" s="319"/>
      <c r="T48" s="319"/>
      <c r="U48" s="319"/>
      <c r="V48" s="319"/>
    </row>
    <row r="49" spans="1:22" s="279" customFormat="1" ht="15" customHeight="1">
      <c r="A49" s="270"/>
      <c r="B49" s="274"/>
      <c r="C49" s="275"/>
      <c r="D49" s="313" t="s">
        <v>473</v>
      </c>
      <c r="E49" s="317"/>
      <c r="F49" s="517">
        <f t="shared" si="0"/>
        <v>51950</v>
      </c>
      <c r="G49" s="272"/>
      <c r="H49" s="272"/>
      <c r="I49" s="272">
        <v>51950</v>
      </c>
      <c r="J49" s="272"/>
      <c r="K49" s="272"/>
      <c r="L49" s="272"/>
      <c r="M49" s="272"/>
      <c r="N49" s="272"/>
      <c r="O49" s="318"/>
      <c r="P49" s="889"/>
      <c r="Q49" s="319"/>
      <c r="R49" s="319"/>
      <c r="S49" s="319"/>
      <c r="T49" s="319"/>
      <c r="U49" s="319"/>
      <c r="V49" s="319"/>
    </row>
    <row r="50" spans="1:22" s="279" customFormat="1" ht="15" customHeight="1">
      <c r="A50" s="270"/>
      <c r="B50" s="274"/>
      <c r="C50" s="275"/>
      <c r="D50" s="313" t="s">
        <v>549</v>
      </c>
      <c r="E50" s="317"/>
      <c r="F50" s="517">
        <f t="shared" si="0"/>
        <v>51950</v>
      </c>
      <c r="G50" s="272"/>
      <c r="H50" s="272"/>
      <c r="I50" s="272">
        <v>51950</v>
      </c>
      <c r="J50" s="272"/>
      <c r="K50" s="272"/>
      <c r="L50" s="272"/>
      <c r="M50" s="272"/>
      <c r="N50" s="272"/>
      <c r="O50" s="318"/>
      <c r="P50" s="889"/>
      <c r="Q50" s="319"/>
      <c r="R50" s="319"/>
      <c r="S50" s="319"/>
      <c r="T50" s="319"/>
      <c r="U50" s="319"/>
      <c r="V50" s="319"/>
    </row>
    <row r="51" spans="1:22" s="279" customFormat="1" ht="15" customHeight="1">
      <c r="A51" s="270" t="s">
        <v>189</v>
      </c>
      <c r="B51" s="274">
        <v>813000</v>
      </c>
      <c r="C51" s="275" t="s">
        <v>206</v>
      </c>
      <c r="D51" s="316" t="s">
        <v>522</v>
      </c>
      <c r="E51" s="317"/>
      <c r="F51" s="517">
        <f t="shared" si="0"/>
        <v>12500</v>
      </c>
      <c r="G51" s="276"/>
      <c r="H51" s="276"/>
      <c r="I51" s="276">
        <v>4500</v>
      </c>
      <c r="J51" s="276"/>
      <c r="K51" s="276"/>
      <c r="L51" s="276">
        <v>8000</v>
      </c>
      <c r="M51" s="276"/>
      <c r="N51" s="276"/>
      <c r="O51" s="323"/>
      <c r="P51" s="889"/>
      <c r="Q51" s="319"/>
      <c r="R51" s="319"/>
      <c r="S51" s="319"/>
      <c r="T51" s="319"/>
      <c r="U51" s="319"/>
      <c r="V51" s="319"/>
    </row>
    <row r="52" spans="1:22" s="279" customFormat="1" ht="15" customHeight="1">
      <c r="A52" s="270"/>
      <c r="B52" s="274"/>
      <c r="C52" s="275"/>
      <c r="D52" s="313" t="s">
        <v>473</v>
      </c>
      <c r="E52" s="317"/>
      <c r="F52" s="517">
        <f t="shared" si="0"/>
        <v>12500</v>
      </c>
      <c r="G52" s="276"/>
      <c r="H52" s="276"/>
      <c r="I52" s="276">
        <v>4500</v>
      </c>
      <c r="J52" s="276"/>
      <c r="K52" s="276"/>
      <c r="L52" s="276">
        <v>8000</v>
      </c>
      <c r="M52" s="276"/>
      <c r="N52" s="276"/>
      <c r="O52" s="323"/>
      <c r="P52" s="889"/>
      <c r="Q52" s="319"/>
      <c r="R52" s="319"/>
      <c r="S52" s="319"/>
      <c r="T52" s="319"/>
      <c r="U52" s="319"/>
      <c r="V52" s="319"/>
    </row>
    <row r="53" spans="1:22" s="279" customFormat="1" ht="15" customHeight="1">
      <c r="A53" s="270"/>
      <c r="B53" s="274"/>
      <c r="C53" s="275"/>
      <c r="D53" s="313" t="s">
        <v>549</v>
      </c>
      <c r="E53" s="317"/>
      <c r="F53" s="517">
        <f t="shared" si="0"/>
        <v>12500</v>
      </c>
      <c r="G53" s="276"/>
      <c r="H53" s="276"/>
      <c r="I53" s="276">
        <v>4500</v>
      </c>
      <c r="J53" s="276"/>
      <c r="K53" s="276"/>
      <c r="L53" s="276">
        <v>8000</v>
      </c>
      <c r="M53" s="276"/>
      <c r="N53" s="276"/>
      <c r="O53" s="323"/>
      <c r="P53" s="889"/>
      <c r="Q53" s="319"/>
      <c r="R53" s="319"/>
      <c r="S53" s="319"/>
      <c r="T53" s="319"/>
      <c r="U53" s="319"/>
      <c r="V53" s="319"/>
    </row>
    <row r="54" spans="1:22" s="279" customFormat="1" ht="15" customHeight="1">
      <c r="A54" s="270" t="s">
        <v>207</v>
      </c>
      <c r="B54" s="274">
        <v>841112</v>
      </c>
      <c r="C54" s="275" t="s">
        <v>208</v>
      </c>
      <c r="D54" s="316" t="s">
        <v>522</v>
      </c>
      <c r="E54" s="317">
        <v>112923</v>
      </c>
      <c r="F54" s="517">
        <f t="shared" si="0"/>
        <v>198599</v>
      </c>
      <c r="G54" s="272">
        <v>38127</v>
      </c>
      <c r="H54" s="272">
        <v>11534</v>
      </c>
      <c r="I54" s="272">
        <v>29905</v>
      </c>
      <c r="J54" s="272"/>
      <c r="K54" s="272"/>
      <c r="L54" s="272"/>
      <c r="M54" s="272">
        <v>9110</v>
      </c>
      <c r="N54" s="272"/>
      <c r="O54" s="318">
        <v>109923</v>
      </c>
      <c r="P54" s="889"/>
      <c r="Q54" s="319"/>
      <c r="R54" s="319"/>
      <c r="S54" s="319"/>
      <c r="T54" s="319"/>
      <c r="U54" s="319"/>
      <c r="V54" s="319"/>
    </row>
    <row r="55" spans="1:22" s="279" customFormat="1" ht="15" customHeight="1">
      <c r="A55" s="270"/>
      <c r="B55" s="274"/>
      <c r="C55" s="275"/>
      <c r="D55" s="313" t="s">
        <v>473</v>
      </c>
      <c r="E55" s="317">
        <v>113025</v>
      </c>
      <c r="F55" s="517">
        <f t="shared" si="0"/>
        <v>210129</v>
      </c>
      <c r="G55" s="272">
        <v>38127</v>
      </c>
      <c r="H55" s="272">
        <v>14984</v>
      </c>
      <c r="I55" s="272">
        <v>37985</v>
      </c>
      <c r="J55" s="272"/>
      <c r="K55" s="272"/>
      <c r="L55" s="272"/>
      <c r="M55" s="272">
        <v>55460</v>
      </c>
      <c r="N55" s="272"/>
      <c r="O55" s="318">
        <v>63573</v>
      </c>
      <c r="P55" s="889"/>
      <c r="Q55" s="319"/>
      <c r="R55" s="319"/>
      <c r="S55" s="319"/>
      <c r="T55" s="319"/>
      <c r="U55" s="319"/>
      <c r="V55" s="319"/>
    </row>
    <row r="56" spans="1:22" s="279" customFormat="1" ht="15" customHeight="1" thickBot="1">
      <c r="A56" s="890"/>
      <c r="B56" s="891"/>
      <c r="C56" s="892"/>
      <c r="D56" s="920" t="s">
        <v>549</v>
      </c>
      <c r="E56" s="893">
        <v>116906</v>
      </c>
      <c r="F56" s="864">
        <f t="shared" si="0"/>
        <v>211007</v>
      </c>
      <c r="G56" s="894">
        <v>38127</v>
      </c>
      <c r="H56" s="894">
        <v>14984</v>
      </c>
      <c r="I56" s="894">
        <v>38863</v>
      </c>
      <c r="J56" s="894"/>
      <c r="K56" s="894"/>
      <c r="L56" s="894"/>
      <c r="M56" s="894">
        <v>55460</v>
      </c>
      <c r="N56" s="894"/>
      <c r="O56" s="895">
        <v>63573</v>
      </c>
      <c r="P56" s="896"/>
      <c r="Q56" s="319"/>
      <c r="R56" s="319"/>
      <c r="S56" s="319"/>
      <c r="T56" s="319"/>
      <c r="U56" s="319"/>
      <c r="V56" s="319"/>
    </row>
    <row r="57" spans="1:22" s="279" customFormat="1" ht="15" customHeight="1">
      <c r="A57" s="330" t="s">
        <v>207</v>
      </c>
      <c r="B57" s="897">
        <v>841112</v>
      </c>
      <c r="C57" s="307" t="s">
        <v>209</v>
      </c>
      <c r="D57" s="308" t="s">
        <v>522</v>
      </c>
      <c r="E57" s="309">
        <v>501869</v>
      </c>
      <c r="F57" s="310">
        <f t="shared" si="0"/>
        <v>0</v>
      </c>
      <c r="G57" s="311"/>
      <c r="H57" s="311"/>
      <c r="I57" s="311"/>
      <c r="J57" s="311"/>
      <c r="K57" s="311"/>
      <c r="L57" s="311"/>
      <c r="M57" s="311"/>
      <c r="N57" s="311"/>
      <c r="O57" s="312"/>
      <c r="P57" s="898"/>
      <c r="Q57" s="319"/>
      <c r="R57" s="319"/>
      <c r="S57" s="319"/>
      <c r="T57" s="319"/>
      <c r="U57" s="319"/>
      <c r="V57" s="319"/>
    </row>
    <row r="58" spans="1:22" s="279" customFormat="1" ht="15" customHeight="1">
      <c r="A58" s="270"/>
      <c r="B58" s="274"/>
      <c r="C58" s="275"/>
      <c r="D58" s="313" t="s">
        <v>473</v>
      </c>
      <c r="E58" s="317">
        <v>778737</v>
      </c>
      <c r="F58" s="517">
        <f t="shared" si="0"/>
        <v>0</v>
      </c>
      <c r="G58" s="272"/>
      <c r="H58" s="272"/>
      <c r="I58" s="272"/>
      <c r="J58" s="272"/>
      <c r="K58" s="272"/>
      <c r="L58" s="272"/>
      <c r="M58" s="272"/>
      <c r="N58" s="272"/>
      <c r="O58" s="318"/>
      <c r="P58" s="889"/>
      <c r="Q58" s="319"/>
      <c r="R58" s="319"/>
      <c r="S58" s="319"/>
      <c r="T58" s="319"/>
      <c r="U58" s="319"/>
      <c r="V58" s="319"/>
    </row>
    <row r="59" spans="1:22" s="279" customFormat="1" ht="15" customHeight="1">
      <c r="A59" s="270"/>
      <c r="B59" s="274"/>
      <c r="C59" s="275"/>
      <c r="D59" s="313" t="s">
        <v>549</v>
      </c>
      <c r="E59" s="317">
        <v>778737</v>
      </c>
      <c r="F59" s="517">
        <f t="shared" si="0"/>
        <v>0</v>
      </c>
      <c r="G59" s="272"/>
      <c r="H59" s="272"/>
      <c r="I59" s="272"/>
      <c r="J59" s="272"/>
      <c r="K59" s="272"/>
      <c r="L59" s="272"/>
      <c r="M59" s="272"/>
      <c r="N59" s="272"/>
      <c r="O59" s="318"/>
      <c r="P59" s="889"/>
      <c r="Q59" s="319"/>
      <c r="R59" s="319"/>
      <c r="S59" s="319"/>
      <c r="T59" s="319"/>
      <c r="U59" s="319"/>
      <c r="V59" s="319"/>
    </row>
    <row r="60" spans="1:22" s="279" customFormat="1" ht="15" customHeight="1">
      <c r="A60" s="270" t="s">
        <v>189</v>
      </c>
      <c r="B60" s="274">
        <v>841133</v>
      </c>
      <c r="C60" s="275" t="s">
        <v>210</v>
      </c>
      <c r="D60" s="316" t="s">
        <v>522</v>
      </c>
      <c r="E60" s="317">
        <v>1692200</v>
      </c>
      <c r="F60" s="517">
        <f t="shared" si="0"/>
        <v>1000</v>
      </c>
      <c r="G60" s="276"/>
      <c r="H60" s="276"/>
      <c r="I60" s="276"/>
      <c r="J60" s="276"/>
      <c r="K60" s="276"/>
      <c r="L60" s="276"/>
      <c r="M60" s="276">
        <v>1000</v>
      </c>
      <c r="N60" s="276"/>
      <c r="O60" s="323"/>
      <c r="P60" s="889"/>
      <c r="Q60" s="319"/>
      <c r="R60" s="319"/>
      <c r="S60" s="319"/>
      <c r="T60" s="319"/>
      <c r="U60" s="319"/>
      <c r="V60" s="319"/>
    </row>
    <row r="61" spans="1:22" s="279" customFormat="1" ht="15" customHeight="1">
      <c r="A61" s="270"/>
      <c r="B61" s="274"/>
      <c r="C61" s="275"/>
      <c r="D61" s="313" t="s">
        <v>473</v>
      </c>
      <c r="E61" s="317">
        <v>1692200</v>
      </c>
      <c r="F61" s="517">
        <f t="shared" si="0"/>
        <v>1000</v>
      </c>
      <c r="G61" s="276"/>
      <c r="H61" s="276"/>
      <c r="I61" s="276"/>
      <c r="J61" s="276"/>
      <c r="K61" s="276"/>
      <c r="L61" s="276"/>
      <c r="M61" s="276">
        <v>1000</v>
      </c>
      <c r="N61" s="276"/>
      <c r="O61" s="323"/>
      <c r="P61" s="889"/>
      <c r="Q61" s="319"/>
      <c r="R61" s="319"/>
      <c r="S61" s="319"/>
      <c r="T61" s="319"/>
      <c r="U61" s="319"/>
      <c r="V61" s="319"/>
    </row>
    <row r="62" spans="1:22" s="279" customFormat="1" ht="15" customHeight="1">
      <c r="A62" s="270"/>
      <c r="B62" s="274"/>
      <c r="C62" s="275"/>
      <c r="D62" s="313" t="s">
        <v>549</v>
      </c>
      <c r="E62" s="317">
        <v>1692200</v>
      </c>
      <c r="F62" s="517">
        <f t="shared" si="0"/>
        <v>1000</v>
      </c>
      <c r="G62" s="276"/>
      <c r="H62" s="276"/>
      <c r="I62" s="276"/>
      <c r="J62" s="276"/>
      <c r="K62" s="276"/>
      <c r="L62" s="276"/>
      <c r="M62" s="276">
        <v>1000</v>
      </c>
      <c r="N62" s="276"/>
      <c r="O62" s="323"/>
      <c r="P62" s="889"/>
      <c r="Q62" s="319"/>
      <c r="R62" s="319"/>
      <c r="S62" s="319"/>
      <c r="T62" s="319"/>
      <c r="U62" s="319"/>
      <c r="V62" s="319"/>
    </row>
    <row r="63" spans="1:22" s="279" customFormat="1" ht="15" customHeight="1">
      <c r="A63" s="270" t="s">
        <v>189</v>
      </c>
      <c r="B63" s="274">
        <v>841154</v>
      </c>
      <c r="C63" s="275" t="s">
        <v>211</v>
      </c>
      <c r="D63" s="316" t="s">
        <v>522</v>
      </c>
      <c r="E63" s="317">
        <v>443945</v>
      </c>
      <c r="F63" s="517">
        <f t="shared" si="0"/>
        <v>80694</v>
      </c>
      <c r="G63" s="272"/>
      <c r="H63" s="272"/>
      <c r="I63" s="272">
        <v>39052</v>
      </c>
      <c r="J63" s="272"/>
      <c r="K63" s="272"/>
      <c r="L63" s="272"/>
      <c r="M63" s="272">
        <v>21642</v>
      </c>
      <c r="N63" s="272"/>
      <c r="O63" s="318">
        <v>20000</v>
      </c>
      <c r="P63" s="889"/>
      <c r="Q63" s="319"/>
      <c r="R63" s="319"/>
      <c r="S63" s="319"/>
      <c r="T63" s="319"/>
      <c r="U63" s="319"/>
      <c r="V63" s="319"/>
    </row>
    <row r="64" spans="1:22" s="279" customFormat="1" ht="15" customHeight="1">
      <c r="A64" s="270"/>
      <c r="B64" s="274"/>
      <c r="C64" s="275"/>
      <c r="D64" s="313" t="s">
        <v>473</v>
      </c>
      <c r="E64" s="317">
        <v>443945</v>
      </c>
      <c r="F64" s="517">
        <f t="shared" si="0"/>
        <v>83618</v>
      </c>
      <c r="G64" s="272"/>
      <c r="H64" s="272"/>
      <c r="I64" s="272">
        <v>41976</v>
      </c>
      <c r="J64" s="272"/>
      <c r="K64" s="272"/>
      <c r="L64" s="272"/>
      <c r="M64" s="272">
        <v>21642</v>
      </c>
      <c r="N64" s="272"/>
      <c r="O64" s="318">
        <v>20000</v>
      </c>
      <c r="P64" s="889"/>
      <c r="Q64" s="319"/>
      <c r="R64" s="319"/>
      <c r="S64" s="319"/>
      <c r="T64" s="319"/>
      <c r="U64" s="319"/>
      <c r="V64" s="319"/>
    </row>
    <row r="65" spans="1:22" s="279" customFormat="1" ht="15" customHeight="1">
      <c r="A65" s="270"/>
      <c r="B65" s="274"/>
      <c r="C65" s="275"/>
      <c r="D65" s="313" t="s">
        <v>549</v>
      </c>
      <c r="E65" s="317">
        <v>522545</v>
      </c>
      <c r="F65" s="517">
        <f t="shared" si="0"/>
        <v>91577</v>
      </c>
      <c r="G65" s="272"/>
      <c r="H65" s="272"/>
      <c r="I65" s="272">
        <v>41976</v>
      </c>
      <c r="J65" s="272"/>
      <c r="K65" s="272"/>
      <c r="L65" s="272"/>
      <c r="M65" s="272">
        <v>40701</v>
      </c>
      <c r="N65" s="272"/>
      <c r="O65" s="318">
        <v>8900</v>
      </c>
      <c r="P65" s="889"/>
      <c r="Q65" s="319"/>
      <c r="R65" s="319"/>
      <c r="S65" s="319"/>
      <c r="T65" s="319"/>
      <c r="U65" s="319"/>
      <c r="V65" s="319"/>
    </row>
    <row r="66" spans="1:22" s="279" customFormat="1" ht="15" customHeight="1">
      <c r="A66" s="270" t="s">
        <v>195</v>
      </c>
      <c r="B66" s="274">
        <v>841191</v>
      </c>
      <c r="C66" s="275" t="s">
        <v>212</v>
      </c>
      <c r="D66" s="316" t="s">
        <v>522</v>
      </c>
      <c r="E66" s="317"/>
      <c r="F66" s="517">
        <f t="shared" si="0"/>
        <v>4233</v>
      </c>
      <c r="G66" s="276"/>
      <c r="H66" s="276">
        <v>900</v>
      </c>
      <c r="I66" s="276">
        <v>3333</v>
      </c>
      <c r="J66" s="276"/>
      <c r="K66" s="276"/>
      <c r="L66" s="276"/>
      <c r="M66" s="276"/>
      <c r="N66" s="276"/>
      <c r="O66" s="323"/>
      <c r="P66" s="889"/>
      <c r="Q66" s="319"/>
      <c r="R66" s="319"/>
      <c r="S66" s="319"/>
      <c r="T66" s="319"/>
      <c r="U66" s="319"/>
      <c r="V66" s="319"/>
    </row>
    <row r="67" spans="1:22" s="279" customFormat="1" ht="15" customHeight="1">
      <c r="A67" s="270"/>
      <c r="B67" s="274"/>
      <c r="C67" s="275"/>
      <c r="D67" s="313" t="s">
        <v>473</v>
      </c>
      <c r="E67" s="317"/>
      <c r="F67" s="517">
        <f t="shared" si="0"/>
        <v>4233</v>
      </c>
      <c r="G67" s="276"/>
      <c r="H67" s="276">
        <v>900</v>
      </c>
      <c r="I67" s="276">
        <v>3333</v>
      </c>
      <c r="J67" s="276"/>
      <c r="K67" s="276"/>
      <c r="L67" s="276"/>
      <c r="M67" s="276"/>
      <c r="N67" s="276"/>
      <c r="O67" s="323"/>
      <c r="P67" s="889"/>
      <c r="Q67" s="319"/>
      <c r="R67" s="319"/>
      <c r="S67" s="319"/>
      <c r="T67" s="319"/>
      <c r="U67" s="319"/>
      <c r="V67" s="319"/>
    </row>
    <row r="68" spans="1:22" s="279" customFormat="1" ht="15" customHeight="1">
      <c r="A68" s="270"/>
      <c r="B68" s="274"/>
      <c r="C68" s="275"/>
      <c r="D68" s="313" t="s">
        <v>549</v>
      </c>
      <c r="E68" s="317"/>
      <c r="F68" s="517">
        <f t="shared" si="0"/>
        <v>14233</v>
      </c>
      <c r="G68" s="276"/>
      <c r="H68" s="276">
        <v>900</v>
      </c>
      <c r="I68" s="276">
        <v>13333</v>
      </c>
      <c r="J68" s="276"/>
      <c r="K68" s="276"/>
      <c r="L68" s="276"/>
      <c r="M68" s="276"/>
      <c r="N68" s="276"/>
      <c r="O68" s="323"/>
      <c r="P68" s="889"/>
      <c r="Q68" s="319"/>
      <c r="R68" s="319"/>
      <c r="S68" s="319"/>
      <c r="T68" s="319"/>
      <c r="U68" s="319"/>
      <c r="V68" s="319"/>
    </row>
    <row r="69" spans="1:22" s="279" customFormat="1" ht="15" customHeight="1">
      <c r="A69" s="270" t="s">
        <v>195</v>
      </c>
      <c r="B69" s="274">
        <v>841192</v>
      </c>
      <c r="C69" s="275" t="s">
        <v>213</v>
      </c>
      <c r="D69" s="316" t="s">
        <v>522</v>
      </c>
      <c r="E69" s="317">
        <v>1500</v>
      </c>
      <c r="F69" s="517">
        <f t="shared" si="0"/>
        <v>3023</v>
      </c>
      <c r="G69" s="276"/>
      <c r="H69" s="276">
        <v>643</v>
      </c>
      <c r="I69" s="276">
        <v>2380</v>
      </c>
      <c r="J69" s="276"/>
      <c r="K69" s="276"/>
      <c r="L69" s="276"/>
      <c r="M69" s="276"/>
      <c r="N69" s="276"/>
      <c r="O69" s="323"/>
      <c r="P69" s="889"/>
      <c r="Q69" s="319"/>
      <c r="R69" s="319"/>
      <c r="S69" s="319"/>
      <c r="T69" s="319"/>
      <c r="U69" s="319"/>
      <c r="V69" s="319"/>
    </row>
    <row r="70" spans="1:22" s="279" customFormat="1" ht="15" customHeight="1">
      <c r="A70" s="270"/>
      <c r="B70" s="274"/>
      <c r="C70" s="275"/>
      <c r="D70" s="313" t="s">
        <v>473</v>
      </c>
      <c r="E70" s="317">
        <v>1500</v>
      </c>
      <c r="F70" s="517">
        <f t="shared" si="0"/>
        <v>3023</v>
      </c>
      <c r="G70" s="276"/>
      <c r="H70" s="276">
        <v>643</v>
      </c>
      <c r="I70" s="276">
        <v>2380</v>
      </c>
      <c r="J70" s="276"/>
      <c r="K70" s="276"/>
      <c r="L70" s="276"/>
      <c r="M70" s="276"/>
      <c r="N70" s="276"/>
      <c r="O70" s="323"/>
      <c r="P70" s="889"/>
      <c r="Q70" s="319"/>
      <c r="R70" s="319"/>
      <c r="S70" s="319"/>
      <c r="T70" s="319"/>
      <c r="U70" s="319"/>
      <c r="V70" s="319"/>
    </row>
    <row r="71" spans="1:22" s="279" customFormat="1" ht="15" customHeight="1">
      <c r="A71" s="270"/>
      <c r="B71" s="274"/>
      <c r="C71" s="275"/>
      <c r="D71" s="313" t="s">
        <v>549</v>
      </c>
      <c r="E71" s="317">
        <v>2500</v>
      </c>
      <c r="F71" s="517">
        <f t="shared" si="0"/>
        <v>4023</v>
      </c>
      <c r="G71" s="276"/>
      <c r="H71" s="276">
        <v>643</v>
      </c>
      <c r="I71" s="276">
        <v>3380</v>
      </c>
      <c r="J71" s="276"/>
      <c r="K71" s="276"/>
      <c r="L71" s="276"/>
      <c r="M71" s="276"/>
      <c r="N71" s="276"/>
      <c r="O71" s="323"/>
      <c r="P71" s="889"/>
      <c r="Q71" s="319"/>
      <c r="R71" s="319"/>
      <c r="S71" s="319"/>
      <c r="T71" s="319"/>
      <c r="U71" s="319"/>
      <c r="V71" s="319"/>
    </row>
    <row r="72" spans="1:22" s="279" customFormat="1" ht="15" customHeight="1">
      <c r="A72" s="270" t="s">
        <v>195</v>
      </c>
      <c r="B72" s="274">
        <v>841192</v>
      </c>
      <c r="C72" s="275" t="s">
        <v>214</v>
      </c>
      <c r="D72" s="316" t="s">
        <v>522</v>
      </c>
      <c r="E72" s="317"/>
      <c r="F72" s="517">
        <f t="shared" si="0"/>
        <v>7589</v>
      </c>
      <c r="G72" s="276">
        <v>3000</v>
      </c>
      <c r="H72" s="276">
        <v>1613</v>
      </c>
      <c r="I72" s="276">
        <v>2976</v>
      </c>
      <c r="J72" s="276"/>
      <c r="K72" s="276"/>
      <c r="L72" s="276"/>
      <c r="M72" s="276"/>
      <c r="N72" s="276"/>
      <c r="O72" s="323"/>
      <c r="P72" s="889"/>
      <c r="Q72" s="319"/>
      <c r="R72" s="319"/>
      <c r="S72" s="319"/>
      <c r="T72" s="319"/>
      <c r="U72" s="319"/>
      <c r="V72" s="319"/>
    </row>
    <row r="73" spans="1:22" s="279" customFormat="1" ht="15" customHeight="1">
      <c r="A73" s="270"/>
      <c r="B73" s="274"/>
      <c r="C73" s="275"/>
      <c r="D73" s="313" t="s">
        <v>473</v>
      </c>
      <c r="E73" s="317"/>
      <c r="F73" s="517">
        <f t="shared" si="0"/>
        <v>7589</v>
      </c>
      <c r="G73" s="276">
        <v>3000</v>
      </c>
      <c r="H73" s="276">
        <v>1613</v>
      </c>
      <c r="I73" s="276">
        <v>2976</v>
      </c>
      <c r="J73" s="276"/>
      <c r="K73" s="276"/>
      <c r="L73" s="276"/>
      <c r="M73" s="276"/>
      <c r="N73" s="276"/>
      <c r="O73" s="323"/>
      <c r="P73" s="889"/>
      <c r="Q73" s="319"/>
      <c r="R73" s="319"/>
      <c r="S73" s="319"/>
      <c r="T73" s="319"/>
      <c r="U73" s="319"/>
      <c r="V73" s="319"/>
    </row>
    <row r="74" spans="1:22" s="279" customFormat="1" ht="15" customHeight="1">
      <c r="A74" s="270"/>
      <c r="B74" s="274"/>
      <c r="C74" s="275"/>
      <c r="D74" s="313" t="s">
        <v>549</v>
      </c>
      <c r="E74" s="317"/>
      <c r="F74" s="517">
        <f t="shared" si="0"/>
        <v>7596</v>
      </c>
      <c r="G74" s="276">
        <v>3000</v>
      </c>
      <c r="H74" s="276">
        <v>1613</v>
      </c>
      <c r="I74" s="276">
        <v>2983</v>
      </c>
      <c r="J74" s="276"/>
      <c r="K74" s="276"/>
      <c r="L74" s="276"/>
      <c r="M74" s="276"/>
      <c r="N74" s="276"/>
      <c r="O74" s="323"/>
      <c r="P74" s="889"/>
      <c r="Q74" s="319"/>
      <c r="R74" s="319"/>
      <c r="S74" s="319"/>
      <c r="T74" s="319"/>
      <c r="U74" s="319"/>
      <c r="V74" s="319"/>
    </row>
    <row r="75" spans="1:22" s="279" customFormat="1" ht="15" customHeight="1">
      <c r="A75" s="270" t="s">
        <v>195</v>
      </c>
      <c r="B75" s="274">
        <v>841192</v>
      </c>
      <c r="C75" s="275" t="s">
        <v>215</v>
      </c>
      <c r="D75" s="316" t="s">
        <v>522</v>
      </c>
      <c r="E75" s="317"/>
      <c r="F75" s="517">
        <f aca="true" t="shared" si="1" ref="F75:F107">SUM(G75:P75)</f>
        <v>8012</v>
      </c>
      <c r="G75" s="276"/>
      <c r="H75" s="276">
        <v>1703</v>
      </c>
      <c r="I75" s="276">
        <v>6309</v>
      </c>
      <c r="J75" s="276"/>
      <c r="K75" s="276"/>
      <c r="L75" s="276"/>
      <c r="M75" s="276"/>
      <c r="N75" s="276"/>
      <c r="O75" s="323"/>
      <c r="P75" s="889"/>
      <c r="Q75" s="319"/>
      <c r="R75" s="319"/>
      <c r="S75" s="319"/>
      <c r="T75" s="319"/>
      <c r="U75" s="319"/>
      <c r="V75" s="319"/>
    </row>
    <row r="76" spans="1:22" s="279" customFormat="1" ht="15" customHeight="1">
      <c r="A76" s="270"/>
      <c r="B76" s="274"/>
      <c r="C76" s="275"/>
      <c r="D76" s="313" t="s">
        <v>473</v>
      </c>
      <c r="E76" s="317"/>
      <c r="F76" s="517">
        <f t="shared" si="1"/>
        <v>8012</v>
      </c>
      <c r="G76" s="276"/>
      <c r="H76" s="276">
        <v>1703</v>
      </c>
      <c r="I76" s="276">
        <v>6309</v>
      </c>
      <c r="J76" s="276"/>
      <c r="K76" s="276"/>
      <c r="L76" s="276"/>
      <c r="M76" s="276"/>
      <c r="N76" s="276"/>
      <c r="O76" s="323"/>
      <c r="P76" s="889"/>
      <c r="Q76" s="319"/>
      <c r="R76" s="319"/>
      <c r="S76" s="319"/>
      <c r="T76" s="319"/>
      <c r="U76" s="319"/>
      <c r="V76" s="319"/>
    </row>
    <row r="77" spans="1:22" s="279" customFormat="1" ht="15" customHeight="1">
      <c r="A77" s="270"/>
      <c r="B77" s="274"/>
      <c r="C77" s="275"/>
      <c r="D77" s="313" t="s">
        <v>549</v>
      </c>
      <c r="E77" s="317"/>
      <c r="F77" s="517">
        <f t="shared" si="1"/>
        <v>8012</v>
      </c>
      <c r="G77" s="276"/>
      <c r="H77" s="276">
        <v>1703</v>
      </c>
      <c r="I77" s="276">
        <v>6309</v>
      </c>
      <c r="J77" s="276"/>
      <c r="K77" s="276"/>
      <c r="L77" s="276"/>
      <c r="M77" s="276"/>
      <c r="N77" s="276"/>
      <c r="O77" s="323"/>
      <c r="P77" s="889"/>
      <c r="Q77" s="319"/>
      <c r="R77" s="319"/>
      <c r="S77" s="319"/>
      <c r="T77" s="319"/>
      <c r="U77" s="319"/>
      <c r="V77" s="319"/>
    </row>
    <row r="78" spans="1:22" s="279" customFormat="1" ht="15" customHeight="1">
      <c r="A78" s="270" t="s">
        <v>189</v>
      </c>
      <c r="B78" s="274">
        <v>841235</v>
      </c>
      <c r="C78" s="275" t="s">
        <v>216</v>
      </c>
      <c r="D78" s="316" t="s">
        <v>522</v>
      </c>
      <c r="E78" s="317">
        <v>104457</v>
      </c>
      <c r="F78" s="517">
        <f t="shared" si="1"/>
        <v>176739</v>
      </c>
      <c r="G78" s="276"/>
      <c r="H78" s="276"/>
      <c r="I78" s="276">
        <v>73473</v>
      </c>
      <c r="J78" s="276">
        <v>95900</v>
      </c>
      <c r="K78" s="276"/>
      <c r="L78" s="276">
        <v>1016</v>
      </c>
      <c r="M78" s="276">
        <v>6350</v>
      </c>
      <c r="N78" s="276"/>
      <c r="O78" s="323"/>
      <c r="P78" s="889"/>
      <c r="Q78" s="319"/>
      <c r="R78" s="319"/>
      <c r="S78" s="319"/>
      <c r="T78" s="319"/>
      <c r="U78" s="319"/>
      <c r="V78" s="319"/>
    </row>
    <row r="79" spans="1:22" s="279" customFormat="1" ht="15" customHeight="1">
      <c r="A79" s="270"/>
      <c r="B79" s="274"/>
      <c r="C79" s="275"/>
      <c r="D79" s="313" t="s">
        <v>473</v>
      </c>
      <c r="E79" s="317">
        <v>145397</v>
      </c>
      <c r="F79" s="517">
        <f t="shared" si="1"/>
        <v>219584</v>
      </c>
      <c r="G79" s="276"/>
      <c r="H79" s="276"/>
      <c r="I79" s="276">
        <v>73473</v>
      </c>
      <c r="J79" s="276">
        <v>95900</v>
      </c>
      <c r="K79" s="276"/>
      <c r="L79" s="276">
        <v>1016</v>
      </c>
      <c r="M79" s="276">
        <v>6350</v>
      </c>
      <c r="N79" s="276">
        <v>1905</v>
      </c>
      <c r="O79" s="323">
        <v>40940</v>
      </c>
      <c r="P79" s="889"/>
      <c r="Q79" s="319"/>
      <c r="R79" s="319"/>
      <c r="S79" s="319"/>
      <c r="T79" s="319"/>
      <c r="U79" s="319"/>
      <c r="V79" s="319"/>
    </row>
    <row r="80" spans="1:22" s="279" customFormat="1" ht="15" customHeight="1">
      <c r="A80" s="270"/>
      <c r="B80" s="274"/>
      <c r="C80" s="275"/>
      <c r="D80" s="313" t="s">
        <v>549</v>
      </c>
      <c r="E80" s="317">
        <v>177259</v>
      </c>
      <c r="F80" s="517">
        <f t="shared" si="1"/>
        <v>397170</v>
      </c>
      <c r="G80" s="276"/>
      <c r="H80" s="276"/>
      <c r="I80" s="276">
        <v>53473</v>
      </c>
      <c r="J80" s="276">
        <v>30830</v>
      </c>
      <c r="K80" s="276"/>
      <c r="L80" s="276">
        <v>1016</v>
      </c>
      <c r="M80" s="276">
        <v>43374</v>
      </c>
      <c r="N80" s="276">
        <v>227537</v>
      </c>
      <c r="O80" s="323">
        <v>40940</v>
      </c>
      <c r="P80" s="889"/>
      <c r="Q80" s="319"/>
      <c r="R80" s="319"/>
      <c r="S80" s="319"/>
      <c r="T80" s="319"/>
      <c r="U80" s="319"/>
      <c r="V80" s="319"/>
    </row>
    <row r="81" spans="1:22" s="279" customFormat="1" ht="15" customHeight="1">
      <c r="A81" s="270" t="s">
        <v>195</v>
      </c>
      <c r="B81" s="274">
        <v>841361</v>
      </c>
      <c r="C81" s="275" t="s">
        <v>217</v>
      </c>
      <c r="D81" s="316" t="s">
        <v>522</v>
      </c>
      <c r="E81" s="317"/>
      <c r="F81" s="517">
        <f t="shared" si="1"/>
        <v>3000</v>
      </c>
      <c r="G81" s="272"/>
      <c r="H81" s="272"/>
      <c r="I81" s="272"/>
      <c r="J81" s="272">
        <v>3000</v>
      </c>
      <c r="K81" s="272"/>
      <c r="L81" s="272"/>
      <c r="M81" s="272"/>
      <c r="N81" s="272"/>
      <c r="O81" s="318"/>
      <c r="P81" s="889"/>
      <c r="Q81" s="319"/>
      <c r="R81" s="319"/>
      <c r="S81" s="319"/>
      <c r="T81" s="319"/>
      <c r="U81" s="319"/>
      <c r="V81" s="319"/>
    </row>
    <row r="82" spans="1:22" s="279" customFormat="1" ht="15" customHeight="1">
      <c r="A82" s="270"/>
      <c r="B82" s="274"/>
      <c r="C82" s="275"/>
      <c r="D82" s="313" t="s">
        <v>473</v>
      </c>
      <c r="E82" s="317"/>
      <c r="F82" s="517">
        <f t="shared" si="1"/>
        <v>3000</v>
      </c>
      <c r="G82" s="272"/>
      <c r="H82" s="272"/>
      <c r="I82" s="272"/>
      <c r="J82" s="272">
        <v>3000</v>
      </c>
      <c r="K82" s="272"/>
      <c r="L82" s="272"/>
      <c r="M82" s="272"/>
      <c r="N82" s="272"/>
      <c r="O82" s="318"/>
      <c r="P82" s="889"/>
      <c r="Q82" s="319"/>
      <c r="R82" s="319"/>
      <c r="S82" s="319"/>
      <c r="T82" s="319"/>
      <c r="U82" s="319"/>
      <c r="V82" s="319"/>
    </row>
    <row r="83" spans="1:22" s="279" customFormat="1" ht="15" customHeight="1">
      <c r="A83" s="270"/>
      <c r="B83" s="274"/>
      <c r="C83" s="275"/>
      <c r="D83" s="313" t="s">
        <v>549</v>
      </c>
      <c r="E83" s="317"/>
      <c r="F83" s="517">
        <f t="shared" si="1"/>
        <v>3000</v>
      </c>
      <c r="G83" s="272"/>
      <c r="H83" s="272"/>
      <c r="I83" s="272"/>
      <c r="J83" s="272">
        <v>3000</v>
      </c>
      <c r="K83" s="272"/>
      <c r="L83" s="272"/>
      <c r="M83" s="272"/>
      <c r="N83" s="272"/>
      <c r="O83" s="318"/>
      <c r="P83" s="889"/>
      <c r="Q83" s="319"/>
      <c r="R83" s="319"/>
      <c r="S83" s="319"/>
      <c r="T83" s="319"/>
      <c r="U83" s="319"/>
      <c r="V83" s="319"/>
    </row>
    <row r="84" spans="1:22" s="279" customFormat="1" ht="15" customHeight="1">
      <c r="A84" s="270" t="s">
        <v>189</v>
      </c>
      <c r="B84" s="274">
        <v>841402</v>
      </c>
      <c r="C84" s="275" t="s">
        <v>218</v>
      </c>
      <c r="D84" s="316" t="s">
        <v>522</v>
      </c>
      <c r="E84" s="317">
        <v>117402</v>
      </c>
      <c r="F84" s="517">
        <f t="shared" si="1"/>
        <v>234036</v>
      </c>
      <c r="G84" s="276"/>
      <c r="H84" s="276"/>
      <c r="I84" s="276">
        <v>60894</v>
      </c>
      <c r="J84" s="276"/>
      <c r="K84" s="276"/>
      <c r="L84" s="276">
        <v>6096</v>
      </c>
      <c r="M84" s="276">
        <v>21925</v>
      </c>
      <c r="N84" s="277"/>
      <c r="O84" s="323">
        <v>145121</v>
      </c>
      <c r="P84" s="889"/>
      <c r="Q84" s="319"/>
      <c r="R84" s="319"/>
      <c r="S84" s="319"/>
      <c r="T84" s="319"/>
      <c r="U84" s="319"/>
      <c r="V84" s="319"/>
    </row>
    <row r="85" spans="1:22" s="279" customFormat="1" ht="15" customHeight="1">
      <c r="A85" s="270"/>
      <c r="B85" s="274"/>
      <c r="C85" s="275"/>
      <c r="D85" s="313" t="s">
        <v>473</v>
      </c>
      <c r="E85" s="317">
        <v>117402</v>
      </c>
      <c r="F85" s="517">
        <f t="shared" si="1"/>
        <v>238768</v>
      </c>
      <c r="G85" s="276"/>
      <c r="H85" s="276"/>
      <c r="I85" s="276">
        <v>60894</v>
      </c>
      <c r="J85" s="276"/>
      <c r="K85" s="276"/>
      <c r="L85" s="276">
        <v>6096</v>
      </c>
      <c r="M85" s="276">
        <v>164778</v>
      </c>
      <c r="N85" s="277"/>
      <c r="O85" s="323">
        <v>7000</v>
      </c>
      <c r="P85" s="889"/>
      <c r="Q85" s="319"/>
      <c r="R85" s="319"/>
      <c r="S85" s="319"/>
      <c r="T85" s="319"/>
      <c r="U85" s="319"/>
      <c r="V85" s="319"/>
    </row>
    <row r="86" spans="1:22" s="279" customFormat="1" ht="15" customHeight="1">
      <c r="A86" s="270"/>
      <c r="B86" s="274"/>
      <c r="C86" s="275"/>
      <c r="D86" s="313" t="s">
        <v>549</v>
      </c>
      <c r="E86" s="317">
        <v>117402</v>
      </c>
      <c r="F86" s="517">
        <f t="shared" si="1"/>
        <v>238768</v>
      </c>
      <c r="G86" s="276"/>
      <c r="H86" s="276"/>
      <c r="I86" s="276">
        <v>60894</v>
      </c>
      <c r="J86" s="276"/>
      <c r="K86" s="276"/>
      <c r="L86" s="276">
        <v>6096</v>
      </c>
      <c r="M86" s="276">
        <v>164778</v>
      </c>
      <c r="N86" s="277"/>
      <c r="O86" s="323">
        <v>7000</v>
      </c>
      <c r="P86" s="889"/>
      <c r="Q86" s="319"/>
      <c r="R86" s="319"/>
      <c r="S86" s="319"/>
      <c r="T86" s="319"/>
      <c r="U86" s="319"/>
      <c r="V86" s="319"/>
    </row>
    <row r="87" spans="1:22" s="279" customFormat="1" ht="15" customHeight="1">
      <c r="A87" s="270" t="s">
        <v>189</v>
      </c>
      <c r="B87" s="274">
        <v>841401</v>
      </c>
      <c r="C87" s="275" t="s">
        <v>219</v>
      </c>
      <c r="D87" s="316" t="s">
        <v>522</v>
      </c>
      <c r="E87" s="317"/>
      <c r="F87" s="517">
        <f t="shared" si="1"/>
        <v>7150</v>
      </c>
      <c r="G87" s="276"/>
      <c r="H87" s="276"/>
      <c r="I87" s="276">
        <v>7150</v>
      </c>
      <c r="J87" s="276"/>
      <c r="K87" s="276"/>
      <c r="L87" s="276"/>
      <c r="M87" s="276"/>
      <c r="N87" s="276"/>
      <c r="O87" s="323"/>
      <c r="P87" s="889"/>
      <c r="Q87" s="319"/>
      <c r="R87" s="319"/>
      <c r="S87" s="319"/>
      <c r="T87" s="319"/>
      <c r="U87" s="319"/>
      <c r="V87" s="319"/>
    </row>
    <row r="88" spans="1:22" s="279" customFormat="1" ht="15" customHeight="1">
      <c r="A88" s="270"/>
      <c r="B88" s="274"/>
      <c r="C88" s="275"/>
      <c r="D88" s="313" t="s">
        <v>473</v>
      </c>
      <c r="E88" s="317"/>
      <c r="F88" s="517">
        <f t="shared" si="1"/>
        <v>7150</v>
      </c>
      <c r="G88" s="276"/>
      <c r="H88" s="276"/>
      <c r="I88" s="276">
        <v>7150</v>
      </c>
      <c r="J88" s="276"/>
      <c r="K88" s="276"/>
      <c r="L88" s="276"/>
      <c r="M88" s="276"/>
      <c r="N88" s="276"/>
      <c r="O88" s="323"/>
      <c r="P88" s="889"/>
      <c r="Q88" s="319"/>
      <c r="R88" s="319"/>
      <c r="S88" s="319"/>
      <c r="T88" s="319"/>
      <c r="U88" s="319"/>
      <c r="V88" s="319"/>
    </row>
    <row r="89" spans="1:22" s="279" customFormat="1" ht="15" customHeight="1">
      <c r="A89" s="270"/>
      <c r="B89" s="274"/>
      <c r="C89" s="275"/>
      <c r="D89" s="313" t="s">
        <v>549</v>
      </c>
      <c r="E89" s="317"/>
      <c r="F89" s="517">
        <f t="shared" si="1"/>
        <v>7150</v>
      </c>
      <c r="G89" s="276"/>
      <c r="H89" s="276"/>
      <c r="I89" s="276">
        <v>7150</v>
      </c>
      <c r="J89" s="276"/>
      <c r="K89" s="276"/>
      <c r="L89" s="276"/>
      <c r="M89" s="276"/>
      <c r="N89" s="276"/>
      <c r="O89" s="323"/>
      <c r="P89" s="889"/>
      <c r="Q89" s="319"/>
      <c r="R89" s="319"/>
      <c r="S89" s="319"/>
      <c r="T89" s="319"/>
      <c r="U89" s="319"/>
      <c r="V89" s="319"/>
    </row>
    <row r="90" spans="1:22" s="279" customFormat="1" ht="15" customHeight="1">
      <c r="A90" s="270" t="s">
        <v>189</v>
      </c>
      <c r="B90" s="274">
        <v>841403</v>
      </c>
      <c r="C90" s="275" t="s">
        <v>220</v>
      </c>
      <c r="D90" s="316" t="s">
        <v>522</v>
      </c>
      <c r="E90" s="317"/>
      <c r="F90" s="517">
        <f t="shared" si="1"/>
        <v>119713</v>
      </c>
      <c r="G90" s="276"/>
      <c r="H90" s="276"/>
      <c r="I90" s="276">
        <v>10213</v>
      </c>
      <c r="J90" s="276">
        <v>82000</v>
      </c>
      <c r="K90" s="276"/>
      <c r="L90" s="276"/>
      <c r="M90" s="276">
        <v>27500</v>
      </c>
      <c r="N90" s="277"/>
      <c r="O90" s="323"/>
      <c r="P90" s="889"/>
      <c r="Q90" s="319"/>
      <c r="R90" s="319"/>
      <c r="S90" s="319"/>
      <c r="T90" s="319"/>
      <c r="U90" s="319"/>
      <c r="V90" s="319"/>
    </row>
    <row r="91" spans="1:22" s="279" customFormat="1" ht="15" customHeight="1">
      <c r="A91" s="270"/>
      <c r="B91" s="274"/>
      <c r="C91" s="275"/>
      <c r="D91" s="313" t="s">
        <v>473</v>
      </c>
      <c r="E91" s="317"/>
      <c r="F91" s="517">
        <f t="shared" si="1"/>
        <v>160574</v>
      </c>
      <c r="G91" s="276"/>
      <c r="H91" s="276"/>
      <c r="I91" s="276">
        <v>11094</v>
      </c>
      <c r="J91" s="276">
        <v>86746</v>
      </c>
      <c r="K91" s="276"/>
      <c r="L91" s="276"/>
      <c r="M91" s="276">
        <v>62734</v>
      </c>
      <c r="N91" s="277"/>
      <c r="O91" s="323"/>
      <c r="P91" s="889"/>
      <c r="Q91" s="319"/>
      <c r="R91" s="319"/>
      <c r="S91" s="319"/>
      <c r="T91" s="319"/>
      <c r="U91" s="319"/>
      <c r="V91" s="319"/>
    </row>
    <row r="92" spans="1:22" s="279" customFormat="1" ht="15" customHeight="1">
      <c r="A92" s="270"/>
      <c r="B92" s="274"/>
      <c r="C92" s="275"/>
      <c r="D92" s="313" t="s">
        <v>549</v>
      </c>
      <c r="E92" s="317">
        <v>5000</v>
      </c>
      <c r="F92" s="517">
        <f t="shared" si="1"/>
        <v>161519</v>
      </c>
      <c r="G92" s="276"/>
      <c r="H92" s="276"/>
      <c r="I92" s="276">
        <v>12035</v>
      </c>
      <c r="J92" s="276">
        <v>86746</v>
      </c>
      <c r="K92" s="276"/>
      <c r="L92" s="276"/>
      <c r="M92" s="276">
        <v>62738</v>
      </c>
      <c r="N92" s="277"/>
      <c r="O92" s="323"/>
      <c r="P92" s="889"/>
      <c r="Q92" s="319"/>
      <c r="R92" s="319"/>
      <c r="S92" s="319"/>
      <c r="T92" s="319"/>
      <c r="U92" s="319"/>
      <c r="V92" s="319"/>
    </row>
    <row r="93" spans="1:22" s="279" customFormat="1" ht="15.75" customHeight="1">
      <c r="A93" s="270" t="s">
        <v>189</v>
      </c>
      <c r="B93" s="274">
        <v>841403</v>
      </c>
      <c r="C93" s="275" t="s">
        <v>221</v>
      </c>
      <c r="D93" s="316" t="s">
        <v>522</v>
      </c>
      <c r="E93" s="317"/>
      <c r="F93" s="517">
        <f t="shared" si="1"/>
        <v>24601</v>
      </c>
      <c r="G93" s="272">
        <v>1344</v>
      </c>
      <c r="H93" s="272">
        <v>363</v>
      </c>
      <c r="I93" s="272">
        <v>10944</v>
      </c>
      <c r="J93" s="272">
        <v>6000</v>
      </c>
      <c r="K93" s="272"/>
      <c r="L93" s="272"/>
      <c r="M93" s="272">
        <v>5950</v>
      </c>
      <c r="N93" s="272"/>
      <c r="O93" s="318"/>
      <c r="P93" s="889"/>
      <c r="Q93" s="319"/>
      <c r="R93" s="319"/>
      <c r="S93" s="319"/>
      <c r="T93" s="319"/>
      <c r="U93" s="319"/>
      <c r="V93" s="319"/>
    </row>
    <row r="94" spans="1:22" s="279" customFormat="1" ht="15.75" customHeight="1">
      <c r="A94" s="270"/>
      <c r="B94" s="274"/>
      <c r="C94" s="275"/>
      <c r="D94" s="313" t="s">
        <v>473</v>
      </c>
      <c r="E94" s="317"/>
      <c r="F94" s="517">
        <f t="shared" si="1"/>
        <v>24601</v>
      </c>
      <c r="G94" s="272">
        <v>1344</v>
      </c>
      <c r="H94" s="272">
        <v>363</v>
      </c>
      <c r="I94" s="272">
        <v>10944</v>
      </c>
      <c r="J94" s="272">
        <v>6000</v>
      </c>
      <c r="K94" s="272"/>
      <c r="L94" s="272"/>
      <c r="M94" s="272">
        <v>5950</v>
      </c>
      <c r="N94" s="272"/>
      <c r="O94" s="318"/>
      <c r="P94" s="889"/>
      <c r="Q94" s="319"/>
      <c r="R94" s="319"/>
      <c r="S94" s="319"/>
      <c r="T94" s="319"/>
      <c r="U94" s="319"/>
      <c r="V94" s="319"/>
    </row>
    <row r="95" spans="1:22" s="279" customFormat="1" ht="15.75" customHeight="1">
      <c r="A95" s="270"/>
      <c r="B95" s="274"/>
      <c r="C95" s="275"/>
      <c r="D95" s="313" t="s">
        <v>549</v>
      </c>
      <c r="E95" s="317"/>
      <c r="F95" s="517">
        <f t="shared" si="1"/>
        <v>28601</v>
      </c>
      <c r="G95" s="272">
        <v>1344</v>
      </c>
      <c r="H95" s="272">
        <v>363</v>
      </c>
      <c r="I95" s="272">
        <v>10944</v>
      </c>
      <c r="J95" s="272">
        <v>10000</v>
      </c>
      <c r="K95" s="272"/>
      <c r="L95" s="272"/>
      <c r="M95" s="272">
        <v>5950</v>
      </c>
      <c r="N95" s="272"/>
      <c r="O95" s="318"/>
      <c r="P95" s="889"/>
      <c r="Q95" s="319"/>
      <c r="R95" s="319"/>
      <c r="S95" s="319"/>
      <c r="T95" s="319"/>
      <c r="U95" s="319"/>
      <c r="V95" s="319"/>
    </row>
    <row r="96" spans="1:22" s="279" customFormat="1" ht="15" customHeight="1">
      <c r="A96" s="270" t="s">
        <v>207</v>
      </c>
      <c r="B96" s="274">
        <v>841901</v>
      </c>
      <c r="C96" s="275" t="s">
        <v>222</v>
      </c>
      <c r="D96" s="316" t="s">
        <v>522</v>
      </c>
      <c r="E96" s="317">
        <v>778320</v>
      </c>
      <c r="F96" s="517">
        <f t="shared" si="1"/>
        <v>0</v>
      </c>
      <c r="G96" s="272"/>
      <c r="H96" s="272"/>
      <c r="I96" s="272"/>
      <c r="J96" s="272"/>
      <c r="K96" s="272"/>
      <c r="L96" s="272"/>
      <c r="M96" s="272"/>
      <c r="N96" s="272"/>
      <c r="O96" s="318"/>
      <c r="P96" s="889"/>
      <c r="Q96" s="319"/>
      <c r="R96" s="319"/>
      <c r="S96" s="319"/>
      <c r="T96" s="319"/>
      <c r="U96" s="319"/>
      <c r="V96" s="319"/>
    </row>
    <row r="97" spans="1:22" s="279" customFormat="1" ht="15" customHeight="1">
      <c r="A97" s="270"/>
      <c r="B97" s="274"/>
      <c r="C97" s="275"/>
      <c r="D97" s="313" t="s">
        <v>473</v>
      </c>
      <c r="E97" s="317">
        <v>902493</v>
      </c>
      <c r="F97" s="517">
        <f t="shared" si="1"/>
        <v>0</v>
      </c>
      <c r="G97" s="272"/>
      <c r="H97" s="272"/>
      <c r="I97" s="272"/>
      <c r="J97" s="272"/>
      <c r="K97" s="272"/>
      <c r="L97" s="272"/>
      <c r="M97" s="272"/>
      <c r="N97" s="272"/>
      <c r="O97" s="318"/>
      <c r="P97" s="889"/>
      <c r="Q97" s="319"/>
      <c r="R97" s="319"/>
      <c r="S97" s="319"/>
      <c r="T97" s="319"/>
      <c r="U97" s="319"/>
      <c r="V97" s="319"/>
    </row>
    <row r="98" spans="1:22" s="279" customFormat="1" ht="15" customHeight="1">
      <c r="A98" s="270"/>
      <c r="B98" s="274"/>
      <c r="C98" s="275"/>
      <c r="D98" s="313" t="s">
        <v>549</v>
      </c>
      <c r="E98" s="317">
        <v>887135</v>
      </c>
      <c r="F98" s="517">
        <f t="shared" si="1"/>
        <v>0</v>
      </c>
      <c r="G98" s="272"/>
      <c r="H98" s="272"/>
      <c r="I98" s="272"/>
      <c r="J98" s="272"/>
      <c r="K98" s="272"/>
      <c r="L98" s="272"/>
      <c r="M98" s="272"/>
      <c r="N98" s="272"/>
      <c r="O98" s="318"/>
      <c r="P98" s="889"/>
      <c r="Q98" s="319"/>
      <c r="R98" s="319"/>
      <c r="S98" s="319"/>
      <c r="T98" s="319"/>
      <c r="U98" s="319"/>
      <c r="V98" s="319"/>
    </row>
    <row r="99" spans="1:22" s="279" customFormat="1" ht="15" customHeight="1">
      <c r="A99" s="270" t="s">
        <v>207</v>
      </c>
      <c r="B99" s="274">
        <v>841902</v>
      </c>
      <c r="C99" s="275" t="s">
        <v>223</v>
      </c>
      <c r="D99" s="316" t="s">
        <v>522</v>
      </c>
      <c r="E99" s="317"/>
      <c r="F99" s="517">
        <f t="shared" si="1"/>
        <v>1000</v>
      </c>
      <c r="G99" s="276"/>
      <c r="H99" s="276"/>
      <c r="I99" s="276">
        <v>1000</v>
      </c>
      <c r="J99" s="276"/>
      <c r="K99" s="276"/>
      <c r="L99" s="276"/>
      <c r="M99" s="276"/>
      <c r="N99" s="276"/>
      <c r="O99" s="323"/>
      <c r="P99" s="889"/>
      <c r="Q99" s="319"/>
      <c r="R99" s="319"/>
      <c r="S99" s="319"/>
      <c r="T99" s="319"/>
      <c r="U99" s="319"/>
      <c r="V99" s="319"/>
    </row>
    <row r="100" spans="1:22" s="279" customFormat="1" ht="15" customHeight="1">
      <c r="A100" s="270"/>
      <c r="B100" s="274"/>
      <c r="C100" s="275"/>
      <c r="D100" s="313" t="s">
        <v>473</v>
      </c>
      <c r="E100" s="317"/>
      <c r="F100" s="517">
        <f t="shared" si="1"/>
        <v>1000</v>
      </c>
      <c r="G100" s="276"/>
      <c r="H100" s="276"/>
      <c r="I100" s="276">
        <v>1000</v>
      </c>
      <c r="J100" s="276"/>
      <c r="K100" s="276"/>
      <c r="L100" s="276"/>
      <c r="M100" s="276"/>
      <c r="N100" s="276"/>
      <c r="O100" s="323"/>
      <c r="P100" s="889"/>
      <c r="Q100" s="319"/>
      <c r="R100" s="319"/>
      <c r="S100" s="319"/>
      <c r="T100" s="319"/>
      <c r="U100" s="319"/>
      <c r="V100" s="319"/>
    </row>
    <row r="101" spans="1:22" s="279" customFormat="1" ht="15" customHeight="1">
      <c r="A101" s="270"/>
      <c r="B101" s="274"/>
      <c r="C101" s="275"/>
      <c r="D101" s="313" t="s">
        <v>549</v>
      </c>
      <c r="E101" s="317"/>
      <c r="F101" s="517">
        <f t="shared" si="1"/>
        <v>1000</v>
      </c>
      <c r="G101" s="276"/>
      <c r="H101" s="276"/>
      <c r="I101" s="276">
        <v>1000</v>
      </c>
      <c r="J101" s="276"/>
      <c r="K101" s="276"/>
      <c r="L101" s="276"/>
      <c r="M101" s="276"/>
      <c r="N101" s="276"/>
      <c r="O101" s="323"/>
      <c r="P101" s="889"/>
      <c r="Q101" s="319"/>
      <c r="R101" s="319"/>
      <c r="S101" s="319"/>
      <c r="T101" s="319"/>
      <c r="U101" s="319"/>
      <c r="V101" s="319"/>
    </row>
    <row r="102" spans="1:22" s="279" customFormat="1" ht="15" customHeight="1">
      <c r="A102" s="270" t="s">
        <v>207</v>
      </c>
      <c r="B102" s="274">
        <v>841906</v>
      </c>
      <c r="C102" s="275" t="s">
        <v>224</v>
      </c>
      <c r="D102" s="316" t="s">
        <v>522</v>
      </c>
      <c r="E102" s="317">
        <v>714718</v>
      </c>
      <c r="F102" s="517">
        <f t="shared" si="1"/>
        <v>178798</v>
      </c>
      <c r="G102" s="276"/>
      <c r="H102" s="276"/>
      <c r="I102" s="276">
        <v>52213</v>
      </c>
      <c r="J102" s="276">
        <v>3046</v>
      </c>
      <c r="K102" s="276"/>
      <c r="L102" s="276"/>
      <c r="M102" s="276"/>
      <c r="N102" s="276">
        <v>123539</v>
      </c>
      <c r="O102" s="323"/>
      <c r="P102" s="889"/>
      <c r="Q102" s="319"/>
      <c r="R102" s="319"/>
      <c r="S102" s="319"/>
      <c r="T102" s="319"/>
      <c r="U102" s="319"/>
      <c r="V102" s="319"/>
    </row>
    <row r="103" spans="1:22" s="279" customFormat="1" ht="15" customHeight="1">
      <c r="A103" s="270"/>
      <c r="B103" s="274"/>
      <c r="C103" s="275"/>
      <c r="D103" s="313" t="s">
        <v>473</v>
      </c>
      <c r="E103" s="317">
        <v>685999</v>
      </c>
      <c r="F103" s="517">
        <f t="shared" si="1"/>
        <v>178798</v>
      </c>
      <c r="G103" s="276"/>
      <c r="H103" s="276"/>
      <c r="I103" s="276">
        <v>52213</v>
      </c>
      <c r="J103" s="276">
        <v>3046</v>
      </c>
      <c r="K103" s="276"/>
      <c r="L103" s="276"/>
      <c r="M103" s="276"/>
      <c r="N103" s="276">
        <v>123539</v>
      </c>
      <c r="O103" s="323"/>
      <c r="P103" s="889"/>
      <c r="Q103" s="319"/>
      <c r="R103" s="319"/>
      <c r="S103" s="319"/>
      <c r="T103" s="319"/>
      <c r="U103" s="319"/>
      <c r="V103" s="319"/>
    </row>
    <row r="104" spans="1:22" s="279" customFormat="1" ht="15" customHeight="1">
      <c r="A104" s="270"/>
      <c r="B104" s="274"/>
      <c r="C104" s="275"/>
      <c r="D104" s="313" t="s">
        <v>549</v>
      </c>
      <c r="E104" s="317">
        <v>674899</v>
      </c>
      <c r="F104" s="517">
        <f t="shared" si="1"/>
        <v>134610</v>
      </c>
      <c r="G104" s="276"/>
      <c r="H104" s="276"/>
      <c r="I104" s="276">
        <v>33329</v>
      </c>
      <c r="J104" s="276">
        <v>3046</v>
      </c>
      <c r="K104" s="276"/>
      <c r="L104" s="276"/>
      <c r="M104" s="276"/>
      <c r="N104" s="276">
        <v>98235</v>
      </c>
      <c r="O104" s="323"/>
      <c r="P104" s="889"/>
      <c r="Q104" s="319"/>
      <c r="R104" s="319"/>
      <c r="S104" s="319"/>
      <c r="T104" s="319"/>
      <c r="U104" s="319"/>
      <c r="V104" s="319"/>
    </row>
    <row r="105" spans="1:22" s="279" customFormat="1" ht="15" customHeight="1">
      <c r="A105" s="270" t="s">
        <v>207</v>
      </c>
      <c r="B105" s="274">
        <v>841907</v>
      </c>
      <c r="C105" s="275" t="s">
        <v>225</v>
      </c>
      <c r="D105" s="316" t="s">
        <v>522</v>
      </c>
      <c r="E105" s="317"/>
      <c r="F105" s="517">
        <f t="shared" si="1"/>
        <v>1507660</v>
      </c>
      <c r="G105" s="276"/>
      <c r="H105" s="276"/>
      <c r="I105" s="276"/>
      <c r="J105" s="276"/>
      <c r="K105" s="276"/>
      <c r="L105" s="276"/>
      <c r="M105" s="276"/>
      <c r="N105" s="276"/>
      <c r="O105" s="323"/>
      <c r="P105" s="899">
        <v>1507660</v>
      </c>
      <c r="Q105" s="319"/>
      <c r="R105" s="319"/>
      <c r="S105" s="319"/>
      <c r="T105" s="319"/>
      <c r="U105" s="319"/>
      <c r="V105" s="319"/>
    </row>
    <row r="106" spans="1:22" s="279" customFormat="1" ht="15" customHeight="1">
      <c r="A106" s="270"/>
      <c r="B106" s="274"/>
      <c r="C106" s="275"/>
      <c r="D106" s="313" t="s">
        <v>473</v>
      </c>
      <c r="E106" s="317"/>
      <c r="F106" s="517">
        <f t="shared" si="1"/>
        <v>1577721</v>
      </c>
      <c r="G106" s="276"/>
      <c r="H106" s="276"/>
      <c r="I106" s="276"/>
      <c r="J106" s="276"/>
      <c r="K106" s="276"/>
      <c r="L106" s="276"/>
      <c r="M106" s="276"/>
      <c r="N106" s="276"/>
      <c r="O106" s="323"/>
      <c r="P106" s="899">
        <v>1577721</v>
      </c>
      <c r="Q106" s="319"/>
      <c r="R106" s="319"/>
      <c r="S106" s="319"/>
      <c r="T106" s="319"/>
      <c r="U106" s="319"/>
      <c r="V106" s="319"/>
    </row>
    <row r="107" spans="1:22" s="279" customFormat="1" ht="15" customHeight="1" thickBot="1">
      <c r="A107" s="890"/>
      <c r="B107" s="891"/>
      <c r="C107" s="892"/>
      <c r="D107" s="920" t="s">
        <v>549</v>
      </c>
      <c r="E107" s="893"/>
      <c r="F107" s="864">
        <f t="shared" si="1"/>
        <v>1486358</v>
      </c>
      <c r="G107" s="900"/>
      <c r="H107" s="900"/>
      <c r="I107" s="900"/>
      <c r="J107" s="900"/>
      <c r="K107" s="900"/>
      <c r="L107" s="900"/>
      <c r="M107" s="900"/>
      <c r="N107" s="900"/>
      <c r="O107" s="901"/>
      <c r="P107" s="902">
        <v>1486358</v>
      </c>
      <c r="Q107" s="319"/>
      <c r="R107" s="319"/>
      <c r="S107" s="319"/>
      <c r="T107" s="319"/>
      <c r="U107" s="319"/>
      <c r="V107" s="319"/>
    </row>
    <row r="108" spans="1:22" s="279" customFormat="1" ht="15" customHeight="1">
      <c r="A108" s="330" t="s">
        <v>207</v>
      </c>
      <c r="B108" s="897">
        <v>841908</v>
      </c>
      <c r="C108" s="307" t="s">
        <v>593</v>
      </c>
      <c r="D108" s="308" t="s">
        <v>522</v>
      </c>
      <c r="E108" s="309"/>
      <c r="F108" s="310">
        <f>SUM(G108:P108)</f>
        <v>13000</v>
      </c>
      <c r="G108" s="903"/>
      <c r="H108" s="903"/>
      <c r="I108" s="903"/>
      <c r="J108" s="903"/>
      <c r="K108" s="903"/>
      <c r="L108" s="903"/>
      <c r="M108" s="903"/>
      <c r="N108" s="903"/>
      <c r="O108" s="904">
        <v>13000</v>
      </c>
      <c r="P108" s="898"/>
      <c r="Q108" s="319"/>
      <c r="R108" s="319"/>
      <c r="S108" s="319"/>
      <c r="T108" s="319"/>
      <c r="U108" s="319"/>
      <c r="V108" s="319"/>
    </row>
    <row r="109" spans="1:22" s="279" customFormat="1" ht="15" customHeight="1">
      <c r="A109" s="270"/>
      <c r="B109" s="274"/>
      <c r="C109" s="275"/>
      <c r="D109" s="313" t="s">
        <v>473</v>
      </c>
      <c r="E109" s="317"/>
      <c r="F109" s="271">
        <f>SUM(G109:P109)</f>
        <v>10110</v>
      </c>
      <c r="G109" s="276"/>
      <c r="H109" s="276"/>
      <c r="I109" s="276"/>
      <c r="J109" s="276"/>
      <c r="K109" s="276"/>
      <c r="L109" s="276"/>
      <c r="M109" s="276"/>
      <c r="N109" s="276"/>
      <c r="O109" s="323">
        <v>10110</v>
      </c>
      <c r="P109" s="889"/>
      <c r="Q109" s="319"/>
      <c r="R109" s="319"/>
      <c r="S109" s="319"/>
      <c r="T109" s="319"/>
      <c r="U109" s="319"/>
      <c r="V109" s="319"/>
    </row>
    <row r="110" spans="1:22" s="279" customFormat="1" ht="15" customHeight="1">
      <c r="A110" s="270"/>
      <c r="B110" s="274"/>
      <c r="C110" s="275"/>
      <c r="D110" s="313" t="s">
        <v>549</v>
      </c>
      <c r="E110" s="317"/>
      <c r="F110" s="271">
        <f aca="true" t="shared" si="2" ref="F110:F179">SUM(G110:P110)</f>
        <v>5584</v>
      </c>
      <c r="G110" s="276"/>
      <c r="H110" s="276"/>
      <c r="I110" s="276"/>
      <c r="J110" s="276"/>
      <c r="K110" s="276"/>
      <c r="L110" s="276"/>
      <c r="M110" s="276"/>
      <c r="N110" s="276"/>
      <c r="O110" s="323">
        <v>5584</v>
      </c>
      <c r="P110" s="889"/>
      <c r="Q110" s="319"/>
      <c r="R110" s="319"/>
      <c r="S110" s="319"/>
      <c r="T110" s="319"/>
      <c r="U110" s="319"/>
      <c r="V110" s="319"/>
    </row>
    <row r="111" spans="1:22" s="279" customFormat="1" ht="15" customHeight="1">
      <c r="A111" s="270" t="s">
        <v>207</v>
      </c>
      <c r="B111" s="274">
        <v>841908</v>
      </c>
      <c r="C111" s="275" t="s">
        <v>226</v>
      </c>
      <c r="D111" s="316" t="s">
        <v>522</v>
      </c>
      <c r="E111" s="317"/>
      <c r="F111" s="271">
        <f t="shared" si="2"/>
        <v>196632</v>
      </c>
      <c r="G111" s="276"/>
      <c r="H111" s="276"/>
      <c r="I111" s="276"/>
      <c r="J111" s="276"/>
      <c r="K111" s="276"/>
      <c r="L111" s="276"/>
      <c r="M111" s="276"/>
      <c r="N111" s="276"/>
      <c r="O111" s="323">
        <v>196632</v>
      </c>
      <c r="P111" s="889"/>
      <c r="Q111" s="319"/>
      <c r="R111" s="319"/>
      <c r="S111" s="319"/>
      <c r="T111" s="319"/>
      <c r="U111" s="319"/>
      <c r="V111" s="319"/>
    </row>
    <row r="112" spans="1:22" s="279" customFormat="1" ht="15" customHeight="1">
      <c r="A112" s="270"/>
      <c r="B112" s="274"/>
      <c r="C112" s="275"/>
      <c r="D112" s="313" t="s">
        <v>473</v>
      </c>
      <c r="E112" s="317"/>
      <c r="F112" s="271">
        <f t="shared" si="2"/>
        <v>263789</v>
      </c>
      <c r="G112" s="276"/>
      <c r="H112" s="276"/>
      <c r="I112" s="276"/>
      <c r="J112" s="276"/>
      <c r="K112" s="276"/>
      <c r="L112" s="276"/>
      <c r="M112" s="276"/>
      <c r="N112" s="276"/>
      <c r="O112" s="323">
        <v>263789</v>
      </c>
      <c r="P112" s="889"/>
      <c r="Q112" s="319"/>
      <c r="R112" s="319"/>
      <c r="S112" s="319"/>
      <c r="T112" s="319"/>
      <c r="U112" s="319"/>
      <c r="V112" s="319"/>
    </row>
    <row r="113" spans="1:22" s="279" customFormat="1" ht="15" customHeight="1">
      <c r="A113" s="270"/>
      <c r="B113" s="274"/>
      <c r="C113" s="275"/>
      <c r="D113" s="313" t="s">
        <v>549</v>
      </c>
      <c r="E113" s="317"/>
      <c r="F113" s="271">
        <f t="shared" si="2"/>
        <v>189642</v>
      </c>
      <c r="G113" s="276"/>
      <c r="H113" s="276"/>
      <c r="I113" s="276"/>
      <c r="J113" s="276"/>
      <c r="K113" s="276"/>
      <c r="L113" s="276"/>
      <c r="M113" s="276"/>
      <c r="N113" s="276"/>
      <c r="O113" s="323">
        <v>189642</v>
      </c>
      <c r="P113" s="889"/>
      <c r="Q113" s="319"/>
      <c r="R113" s="319"/>
      <c r="S113" s="319"/>
      <c r="T113" s="319"/>
      <c r="U113" s="319"/>
      <c r="V113" s="319"/>
    </row>
    <row r="114" spans="1:22" s="279" customFormat="1" ht="15" customHeight="1">
      <c r="A114" s="270" t="s">
        <v>195</v>
      </c>
      <c r="B114" s="274">
        <v>842155</v>
      </c>
      <c r="C114" s="275" t="s">
        <v>227</v>
      </c>
      <c r="D114" s="316" t="s">
        <v>522</v>
      </c>
      <c r="E114" s="317"/>
      <c r="F114" s="271">
        <f t="shared" si="2"/>
        <v>80</v>
      </c>
      <c r="G114" s="276"/>
      <c r="H114" s="276"/>
      <c r="I114" s="276"/>
      <c r="J114" s="276">
        <v>80</v>
      </c>
      <c r="K114" s="276"/>
      <c r="L114" s="276"/>
      <c r="M114" s="276"/>
      <c r="N114" s="277"/>
      <c r="O114" s="323"/>
      <c r="P114" s="889"/>
      <c r="Q114" s="319"/>
      <c r="R114" s="319"/>
      <c r="S114" s="319"/>
      <c r="T114" s="319"/>
      <c r="U114" s="319"/>
      <c r="V114" s="319"/>
    </row>
    <row r="115" spans="1:22" s="279" customFormat="1" ht="15" customHeight="1">
      <c r="A115" s="270"/>
      <c r="B115" s="274"/>
      <c r="C115" s="275"/>
      <c r="D115" s="313" t="s">
        <v>473</v>
      </c>
      <c r="E115" s="317"/>
      <c r="F115" s="271">
        <f t="shared" si="2"/>
        <v>80</v>
      </c>
      <c r="G115" s="276"/>
      <c r="H115" s="276"/>
      <c r="I115" s="276"/>
      <c r="J115" s="276">
        <v>80</v>
      </c>
      <c r="K115" s="276"/>
      <c r="L115" s="276"/>
      <c r="M115" s="276"/>
      <c r="N115" s="277"/>
      <c r="O115" s="323"/>
      <c r="P115" s="889"/>
      <c r="Q115" s="319"/>
      <c r="R115" s="319"/>
      <c r="S115" s="319"/>
      <c r="T115" s="319"/>
      <c r="U115" s="319"/>
      <c r="V115" s="319"/>
    </row>
    <row r="116" spans="1:22" s="279" customFormat="1" ht="15" customHeight="1">
      <c r="A116" s="270"/>
      <c r="B116" s="274"/>
      <c r="C116" s="275"/>
      <c r="D116" s="313" t="s">
        <v>549</v>
      </c>
      <c r="E116" s="317"/>
      <c r="F116" s="271">
        <f t="shared" si="2"/>
        <v>80</v>
      </c>
      <c r="G116" s="276"/>
      <c r="H116" s="276"/>
      <c r="I116" s="276"/>
      <c r="J116" s="276">
        <v>80</v>
      </c>
      <c r="K116" s="276"/>
      <c r="L116" s="276"/>
      <c r="M116" s="276"/>
      <c r="N116" s="277"/>
      <c r="O116" s="323"/>
      <c r="P116" s="889"/>
      <c r="Q116" s="319"/>
      <c r="R116" s="319"/>
      <c r="S116" s="319"/>
      <c r="T116" s="319"/>
      <c r="U116" s="319"/>
      <c r="V116" s="319"/>
    </row>
    <row r="117" spans="1:22" s="279" customFormat="1" ht="15" customHeight="1">
      <c r="A117" s="270" t="s">
        <v>195</v>
      </c>
      <c r="B117" s="274">
        <v>842155</v>
      </c>
      <c r="C117" s="275" t="s">
        <v>228</v>
      </c>
      <c r="D117" s="316" t="s">
        <v>522</v>
      </c>
      <c r="E117" s="317"/>
      <c r="F117" s="271">
        <f t="shared" si="2"/>
        <v>20293</v>
      </c>
      <c r="G117" s="276"/>
      <c r="H117" s="276">
        <v>2570</v>
      </c>
      <c r="I117" s="276">
        <v>17723</v>
      </c>
      <c r="J117" s="276"/>
      <c r="K117" s="276"/>
      <c r="L117" s="276"/>
      <c r="M117" s="276"/>
      <c r="N117" s="276"/>
      <c r="O117" s="323"/>
      <c r="P117" s="889"/>
      <c r="Q117" s="319"/>
      <c r="R117" s="319"/>
      <c r="S117" s="319"/>
      <c r="T117" s="319"/>
      <c r="U117" s="319"/>
      <c r="V117" s="319"/>
    </row>
    <row r="118" spans="1:22" s="279" customFormat="1" ht="15" customHeight="1">
      <c r="A118" s="270"/>
      <c r="B118" s="274"/>
      <c r="C118" s="275"/>
      <c r="D118" s="313" t="s">
        <v>473</v>
      </c>
      <c r="E118" s="317"/>
      <c r="F118" s="271">
        <f t="shared" si="2"/>
        <v>20293</v>
      </c>
      <c r="G118" s="276"/>
      <c r="H118" s="276">
        <v>2570</v>
      </c>
      <c r="I118" s="276">
        <v>17723</v>
      </c>
      <c r="J118" s="276"/>
      <c r="K118" s="276"/>
      <c r="L118" s="276"/>
      <c r="M118" s="276"/>
      <c r="N118" s="276"/>
      <c r="O118" s="323"/>
      <c r="P118" s="889"/>
      <c r="Q118" s="319"/>
      <c r="R118" s="319"/>
      <c r="S118" s="319"/>
      <c r="T118" s="319"/>
      <c r="U118" s="319"/>
      <c r="V118" s="319"/>
    </row>
    <row r="119" spans="1:22" s="279" customFormat="1" ht="15" customHeight="1">
      <c r="A119" s="270"/>
      <c r="B119" s="274"/>
      <c r="C119" s="275"/>
      <c r="D119" s="313" t="s">
        <v>549</v>
      </c>
      <c r="E119" s="317"/>
      <c r="F119" s="271">
        <f t="shared" si="2"/>
        <v>20293</v>
      </c>
      <c r="G119" s="276"/>
      <c r="H119" s="276">
        <v>2570</v>
      </c>
      <c r="I119" s="276">
        <v>17723</v>
      </c>
      <c r="J119" s="276"/>
      <c r="K119" s="276"/>
      <c r="L119" s="276"/>
      <c r="M119" s="276"/>
      <c r="N119" s="276"/>
      <c r="O119" s="323"/>
      <c r="P119" s="889"/>
      <c r="Q119" s="319"/>
      <c r="R119" s="319"/>
      <c r="S119" s="319"/>
      <c r="T119" s="319"/>
      <c r="U119" s="319"/>
      <c r="V119" s="319"/>
    </row>
    <row r="120" spans="1:22" s="279" customFormat="1" ht="15" customHeight="1">
      <c r="A120" s="270" t="s">
        <v>195</v>
      </c>
      <c r="B120" s="274">
        <v>842155</v>
      </c>
      <c r="C120" s="275" t="s">
        <v>229</v>
      </c>
      <c r="D120" s="316" t="s">
        <v>522</v>
      </c>
      <c r="E120" s="317">
        <v>3900</v>
      </c>
      <c r="F120" s="271">
        <f t="shared" si="2"/>
        <v>0</v>
      </c>
      <c r="G120" s="276"/>
      <c r="H120" s="276"/>
      <c r="I120" s="276"/>
      <c r="J120" s="276"/>
      <c r="K120" s="276"/>
      <c r="L120" s="276"/>
      <c r="M120" s="276"/>
      <c r="N120" s="276"/>
      <c r="O120" s="323"/>
      <c r="P120" s="889"/>
      <c r="Q120" s="319"/>
      <c r="R120" s="319"/>
      <c r="S120" s="319"/>
      <c r="T120" s="319"/>
      <c r="U120" s="319"/>
      <c r="V120" s="319"/>
    </row>
    <row r="121" spans="1:22" s="279" customFormat="1" ht="15" customHeight="1">
      <c r="A121" s="270"/>
      <c r="B121" s="274"/>
      <c r="C121" s="275"/>
      <c r="D121" s="313" t="s">
        <v>473</v>
      </c>
      <c r="E121" s="317">
        <v>3900</v>
      </c>
      <c r="F121" s="271">
        <f t="shared" si="2"/>
        <v>0</v>
      </c>
      <c r="G121" s="276"/>
      <c r="H121" s="276"/>
      <c r="I121" s="276"/>
      <c r="J121" s="276"/>
      <c r="K121" s="276"/>
      <c r="L121" s="276"/>
      <c r="M121" s="276"/>
      <c r="N121" s="276"/>
      <c r="O121" s="323"/>
      <c r="P121" s="889"/>
      <c r="Q121" s="319"/>
      <c r="R121" s="319"/>
      <c r="S121" s="319"/>
      <c r="T121" s="319"/>
      <c r="U121" s="319"/>
      <c r="V121" s="319"/>
    </row>
    <row r="122" spans="1:22" s="279" customFormat="1" ht="15" customHeight="1">
      <c r="A122" s="270"/>
      <c r="B122" s="274"/>
      <c r="C122" s="275"/>
      <c r="D122" s="313" t="s">
        <v>549</v>
      </c>
      <c r="E122" s="317">
        <v>3900</v>
      </c>
      <c r="F122" s="271">
        <f t="shared" si="2"/>
        <v>0</v>
      </c>
      <c r="G122" s="276"/>
      <c r="H122" s="276"/>
      <c r="I122" s="276"/>
      <c r="J122" s="276"/>
      <c r="K122" s="276"/>
      <c r="L122" s="276"/>
      <c r="M122" s="276"/>
      <c r="N122" s="276"/>
      <c r="O122" s="323"/>
      <c r="P122" s="889"/>
      <c r="Q122" s="319"/>
      <c r="R122" s="319"/>
      <c r="S122" s="319"/>
      <c r="T122" s="319"/>
      <c r="U122" s="319"/>
      <c r="V122" s="319"/>
    </row>
    <row r="123" spans="1:22" s="279" customFormat="1" ht="15" customHeight="1">
      <c r="A123" s="270" t="s">
        <v>195</v>
      </c>
      <c r="B123" s="274">
        <v>842155</v>
      </c>
      <c r="C123" s="275" t="s">
        <v>822</v>
      </c>
      <c r="D123" s="316" t="s">
        <v>522</v>
      </c>
      <c r="E123" s="317"/>
      <c r="F123" s="271">
        <f t="shared" si="2"/>
        <v>0</v>
      </c>
      <c r="G123" s="276"/>
      <c r="H123" s="276"/>
      <c r="I123" s="276"/>
      <c r="J123" s="276"/>
      <c r="K123" s="276"/>
      <c r="L123" s="276"/>
      <c r="M123" s="276"/>
      <c r="N123" s="276"/>
      <c r="O123" s="323"/>
      <c r="P123" s="889"/>
      <c r="Q123" s="319"/>
      <c r="R123" s="319"/>
      <c r="S123" s="319"/>
      <c r="T123" s="319"/>
      <c r="U123" s="319"/>
      <c r="V123" s="319"/>
    </row>
    <row r="124" spans="1:22" s="279" customFormat="1" ht="15" customHeight="1">
      <c r="A124" s="270"/>
      <c r="B124" s="274"/>
      <c r="C124" s="275"/>
      <c r="D124" s="313" t="s">
        <v>473</v>
      </c>
      <c r="E124" s="317"/>
      <c r="F124" s="271">
        <f t="shared" si="2"/>
        <v>0</v>
      </c>
      <c r="G124" s="276"/>
      <c r="H124" s="276"/>
      <c r="I124" s="276"/>
      <c r="J124" s="276"/>
      <c r="K124" s="276"/>
      <c r="L124" s="276"/>
      <c r="M124" s="276"/>
      <c r="N124" s="276"/>
      <c r="O124" s="323"/>
      <c r="P124" s="889"/>
      <c r="Q124" s="319"/>
      <c r="R124" s="319"/>
      <c r="S124" s="319"/>
      <c r="T124" s="319"/>
      <c r="U124" s="319"/>
      <c r="V124" s="319"/>
    </row>
    <row r="125" spans="1:22" s="279" customFormat="1" ht="15" customHeight="1">
      <c r="A125" s="270"/>
      <c r="B125" s="274"/>
      <c r="C125" s="275"/>
      <c r="D125" s="313" t="s">
        <v>549</v>
      </c>
      <c r="E125" s="317"/>
      <c r="F125" s="271">
        <f t="shared" si="2"/>
        <v>3137</v>
      </c>
      <c r="G125" s="276"/>
      <c r="H125" s="276"/>
      <c r="I125" s="276"/>
      <c r="J125" s="276"/>
      <c r="K125" s="276"/>
      <c r="L125" s="276"/>
      <c r="M125" s="276">
        <v>3137</v>
      </c>
      <c r="N125" s="276"/>
      <c r="O125" s="323"/>
      <c r="P125" s="889"/>
      <c r="Q125" s="319"/>
      <c r="R125" s="319"/>
      <c r="S125" s="319"/>
      <c r="T125" s="319"/>
      <c r="U125" s="319"/>
      <c r="V125" s="319"/>
    </row>
    <row r="126" spans="1:22" s="279" customFormat="1" ht="15" customHeight="1">
      <c r="A126" s="270" t="s">
        <v>195</v>
      </c>
      <c r="B126" s="274">
        <v>842155</v>
      </c>
      <c r="C126" s="275" t="s">
        <v>823</v>
      </c>
      <c r="D126" s="316" t="s">
        <v>522</v>
      </c>
      <c r="E126" s="317"/>
      <c r="F126" s="271">
        <f t="shared" si="2"/>
        <v>0</v>
      </c>
      <c r="G126" s="276"/>
      <c r="H126" s="276"/>
      <c r="I126" s="276"/>
      <c r="J126" s="276"/>
      <c r="K126" s="276"/>
      <c r="L126" s="276"/>
      <c r="M126" s="276"/>
      <c r="N126" s="276"/>
      <c r="O126" s="323"/>
      <c r="P126" s="889"/>
      <c r="Q126" s="319"/>
      <c r="R126" s="319"/>
      <c r="S126" s="319"/>
      <c r="T126" s="319"/>
      <c r="U126" s="319"/>
      <c r="V126" s="319"/>
    </row>
    <row r="127" spans="1:22" s="279" customFormat="1" ht="15" customHeight="1">
      <c r="A127" s="270"/>
      <c r="B127" s="274"/>
      <c r="C127" s="275"/>
      <c r="D127" s="313" t="s">
        <v>473</v>
      </c>
      <c r="E127" s="317"/>
      <c r="F127" s="271">
        <f t="shared" si="2"/>
        <v>0</v>
      </c>
      <c r="G127" s="276"/>
      <c r="H127" s="276"/>
      <c r="I127" s="276"/>
      <c r="J127" s="276"/>
      <c r="K127" s="276"/>
      <c r="L127" s="276"/>
      <c r="M127" s="276"/>
      <c r="N127" s="276"/>
      <c r="O127" s="323"/>
      <c r="P127" s="889"/>
      <c r="Q127" s="319"/>
      <c r="R127" s="319"/>
      <c r="S127" s="319"/>
      <c r="T127" s="319"/>
      <c r="U127" s="319"/>
      <c r="V127" s="319"/>
    </row>
    <row r="128" spans="1:22" s="279" customFormat="1" ht="15" customHeight="1">
      <c r="A128" s="270"/>
      <c r="B128" s="274"/>
      <c r="C128" s="275"/>
      <c r="D128" s="313" t="s">
        <v>549</v>
      </c>
      <c r="E128" s="317">
        <v>3062</v>
      </c>
      <c r="F128" s="271">
        <f t="shared" si="2"/>
        <v>3062</v>
      </c>
      <c r="G128" s="276"/>
      <c r="H128" s="276"/>
      <c r="I128" s="276">
        <v>3062</v>
      </c>
      <c r="J128" s="276"/>
      <c r="K128" s="276"/>
      <c r="L128" s="276"/>
      <c r="M128" s="276"/>
      <c r="N128" s="276"/>
      <c r="O128" s="323"/>
      <c r="P128" s="889"/>
      <c r="Q128" s="319"/>
      <c r="R128" s="319"/>
      <c r="S128" s="319"/>
      <c r="T128" s="319"/>
      <c r="U128" s="319"/>
      <c r="V128" s="319"/>
    </row>
    <row r="129" spans="1:22" s="279" customFormat="1" ht="15" customHeight="1">
      <c r="A129" s="270" t="s">
        <v>195</v>
      </c>
      <c r="B129" s="274">
        <v>842155</v>
      </c>
      <c r="C129" s="275" t="s">
        <v>230</v>
      </c>
      <c r="D129" s="316" t="s">
        <v>521</v>
      </c>
      <c r="E129" s="317">
        <v>2600</v>
      </c>
      <c r="F129" s="271">
        <f t="shared" si="2"/>
        <v>5600</v>
      </c>
      <c r="G129" s="276"/>
      <c r="H129" s="276"/>
      <c r="I129" s="276">
        <v>5600</v>
      </c>
      <c r="J129" s="276"/>
      <c r="K129" s="276"/>
      <c r="L129" s="276"/>
      <c r="M129" s="276"/>
      <c r="N129" s="276"/>
      <c r="O129" s="323"/>
      <c r="P129" s="889"/>
      <c r="Q129" s="319"/>
      <c r="R129" s="319"/>
      <c r="S129" s="319"/>
      <c r="T129" s="319"/>
      <c r="U129" s="319"/>
      <c r="V129" s="319"/>
    </row>
    <row r="130" spans="1:22" s="279" customFormat="1" ht="15" customHeight="1">
      <c r="A130" s="270"/>
      <c r="B130" s="274"/>
      <c r="C130" s="275"/>
      <c r="D130" s="313" t="s">
        <v>473</v>
      </c>
      <c r="E130" s="317">
        <v>2600</v>
      </c>
      <c r="F130" s="271">
        <f t="shared" si="2"/>
        <v>5600</v>
      </c>
      <c r="G130" s="276"/>
      <c r="H130" s="276"/>
      <c r="I130" s="276">
        <v>5600</v>
      </c>
      <c r="J130" s="276"/>
      <c r="K130" s="276"/>
      <c r="L130" s="276"/>
      <c r="M130" s="276"/>
      <c r="N130" s="276"/>
      <c r="O130" s="323"/>
      <c r="P130" s="889"/>
      <c r="Q130" s="319"/>
      <c r="R130" s="319"/>
      <c r="S130" s="319"/>
      <c r="T130" s="319"/>
      <c r="U130" s="319"/>
      <c r="V130" s="319"/>
    </row>
    <row r="131" spans="1:22" s="279" customFormat="1" ht="15" customHeight="1">
      <c r="A131" s="270"/>
      <c r="B131" s="274"/>
      <c r="C131" s="275"/>
      <c r="D131" s="313" t="s">
        <v>549</v>
      </c>
      <c r="E131" s="317">
        <v>2600</v>
      </c>
      <c r="F131" s="271">
        <f t="shared" si="2"/>
        <v>5600</v>
      </c>
      <c r="G131" s="276"/>
      <c r="H131" s="276"/>
      <c r="I131" s="276">
        <v>5600</v>
      </c>
      <c r="J131" s="276"/>
      <c r="K131" s="276"/>
      <c r="L131" s="276"/>
      <c r="M131" s="276"/>
      <c r="N131" s="276"/>
      <c r="O131" s="323"/>
      <c r="P131" s="889"/>
      <c r="Q131" s="319"/>
      <c r="R131" s="319"/>
      <c r="S131" s="319"/>
      <c r="T131" s="319"/>
      <c r="U131" s="319"/>
      <c r="V131" s="319"/>
    </row>
    <row r="132" spans="1:22" s="279" customFormat="1" ht="15" customHeight="1">
      <c r="A132" s="270" t="s">
        <v>189</v>
      </c>
      <c r="B132" s="274">
        <v>842421</v>
      </c>
      <c r="C132" s="275" t="s">
        <v>231</v>
      </c>
      <c r="D132" s="316" t="s">
        <v>522</v>
      </c>
      <c r="E132" s="317">
        <v>618</v>
      </c>
      <c r="F132" s="271">
        <f t="shared" si="2"/>
        <v>7648</v>
      </c>
      <c r="G132" s="276"/>
      <c r="H132" s="276"/>
      <c r="I132" s="276">
        <v>68</v>
      </c>
      <c r="J132" s="276">
        <v>2500</v>
      </c>
      <c r="K132" s="276"/>
      <c r="L132" s="276"/>
      <c r="M132" s="276">
        <v>5080</v>
      </c>
      <c r="N132" s="276"/>
      <c r="O132" s="323"/>
      <c r="P132" s="889"/>
      <c r="Q132" s="319"/>
      <c r="R132" s="319"/>
      <c r="S132" s="319"/>
      <c r="T132" s="319"/>
      <c r="U132" s="319"/>
      <c r="V132" s="319"/>
    </row>
    <row r="133" spans="1:22" s="279" customFormat="1" ht="15" customHeight="1">
      <c r="A133" s="270"/>
      <c r="B133" s="274"/>
      <c r="C133" s="275"/>
      <c r="D133" s="313" t="s">
        <v>473</v>
      </c>
      <c r="E133" s="317">
        <v>618</v>
      </c>
      <c r="F133" s="271">
        <f t="shared" si="2"/>
        <v>7648</v>
      </c>
      <c r="G133" s="276"/>
      <c r="H133" s="276"/>
      <c r="I133" s="276">
        <v>68</v>
      </c>
      <c r="J133" s="276">
        <v>2500</v>
      </c>
      <c r="K133" s="276"/>
      <c r="L133" s="276"/>
      <c r="M133" s="276">
        <v>5080</v>
      </c>
      <c r="N133" s="276"/>
      <c r="O133" s="323"/>
      <c r="P133" s="889"/>
      <c r="Q133" s="319"/>
      <c r="R133" s="319"/>
      <c r="S133" s="319"/>
      <c r="T133" s="319"/>
      <c r="U133" s="319"/>
      <c r="V133" s="319"/>
    </row>
    <row r="134" spans="1:22" s="279" customFormat="1" ht="15" customHeight="1">
      <c r="A134" s="270"/>
      <c r="B134" s="274"/>
      <c r="C134" s="275"/>
      <c r="D134" s="313" t="s">
        <v>549</v>
      </c>
      <c r="E134" s="317">
        <v>1803</v>
      </c>
      <c r="F134" s="271">
        <f t="shared" si="2"/>
        <v>7648</v>
      </c>
      <c r="G134" s="276"/>
      <c r="H134" s="276"/>
      <c r="I134" s="276">
        <v>68</v>
      </c>
      <c r="J134" s="276">
        <v>2500</v>
      </c>
      <c r="K134" s="276"/>
      <c r="L134" s="276"/>
      <c r="M134" s="276">
        <v>5080</v>
      </c>
      <c r="N134" s="276"/>
      <c r="O134" s="323"/>
      <c r="P134" s="889"/>
      <c r="Q134" s="319"/>
      <c r="R134" s="319"/>
      <c r="S134" s="319"/>
      <c r="T134" s="319"/>
      <c r="U134" s="319"/>
      <c r="V134" s="319"/>
    </row>
    <row r="135" spans="1:22" s="279" customFormat="1" ht="15" customHeight="1">
      <c r="A135" s="270" t="s">
        <v>189</v>
      </c>
      <c r="B135" s="274">
        <v>842521</v>
      </c>
      <c r="C135" s="275" t="s">
        <v>232</v>
      </c>
      <c r="D135" s="316" t="s">
        <v>522</v>
      </c>
      <c r="E135" s="317"/>
      <c r="F135" s="271">
        <f t="shared" si="2"/>
        <v>2000</v>
      </c>
      <c r="G135" s="276"/>
      <c r="H135" s="276"/>
      <c r="I135" s="276">
        <v>2000</v>
      </c>
      <c r="J135" s="276"/>
      <c r="K135" s="276"/>
      <c r="L135" s="276"/>
      <c r="M135" s="276"/>
      <c r="N135" s="276"/>
      <c r="O135" s="323"/>
      <c r="P135" s="889"/>
      <c r="Q135" s="319"/>
      <c r="R135" s="319"/>
      <c r="S135" s="319"/>
      <c r="T135" s="319"/>
      <c r="U135" s="319"/>
      <c r="V135" s="319"/>
    </row>
    <row r="136" spans="1:22" s="279" customFormat="1" ht="15" customHeight="1">
      <c r="A136" s="270"/>
      <c r="B136" s="274"/>
      <c r="C136" s="275"/>
      <c r="D136" s="313" t="s">
        <v>473</v>
      </c>
      <c r="E136" s="317"/>
      <c r="F136" s="271">
        <f t="shared" si="2"/>
        <v>2000</v>
      </c>
      <c r="G136" s="276"/>
      <c r="H136" s="276"/>
      <c r="I136" s="276">
        <v>2000</v>
      </c>
      <c r="J136" s="276"/>
      <c r="K136" s="276"/>
      <c r="L136" s="276"/>
      <c r="M136" s="276"/>
      <c r="N136" s="276"/>
      <c r="O136" s="323"/>
      <c r="P136" s="889"/>
      <c r="Q136" s="319"/>
      <c r="R136" s="319"/>
      <c r="S136" s="319"/>
      <c r="T136" s="319"/>
      <c r="U136" s="319"/>
      <c r="V136" s="319"/>
    </row>
    <row r="137" spans="1:22" s="279" customFormat="1" ht="15" customHeight="1">
      <c r="A137" s="270"/>
      <c r="B137" s="274"/>
      <c r="C137" s="275"/>
      <c r="D137" s="313" t="s">
        <v>549</v>
      </c>
      <c r="E137" s="317"/>
      <c r="F137" s="271">
        <f t="shared" si="2"/>
        <v>10422</v>
      </c>
      <c r="G137" s="276"/>
      <c r="H137" s="276"/>
      <c r="I137" s="276">
        <v>8922</v>
      </c>
      <c r="J137" s="276">
        <v>1500</v>
      </c>
      <c r="K137" s="276"/>
      <c r="L137" s="276"/>
      <c r="M137" s="276"/>
      <c r="N137" s="276"/>
      <c r="O137" s="323"/>
      <c r="P137" s="889"/>
      <c r="Q137" s="319"/>
      <c r="R137" s="319"/>
      <c r="S137" s="319"/>
      <c r="T137" s="319"/>
      <c r="U137" s="319"/>
      <c r="V137" s="319"/>
    </row>
    <row r="138" spans="1:22" s="279" customFormat="1" ht="15" customHeight="1">
      <c r="A138" s="270" t="s">
        <v>189</v>
      </c>
      <c r="B138" s="274">
        <v>842532</v>
      </c>
      <c r="C138" s="275" t="s">
        <v>233</v>
      </c>
      <c r="D138" s="316" t="s">
        <v>522</v>
      </c>
      <c r="E138" s="317"/>
      <c r="F138" s="271">
        <f t="shared" si="2"/>
        <v>600</v>
      </c>
      <c r="G138" s="272"/>
      <c r="H138" s="272"/>
      <c r="I138" s="272">
        <v>600</v>
      </c>
      <c r="J138" s="272"/>
      <c r="K138" s="272"/>
      <c r="L138" s="272"/>
      <c r="M138" s="272"/>
      <c r="N138" s="272"/>
      <c r="O138" s="318"/>
      <c r="P138" s="889"/>
      <c r="Q138" s="319"/>
      <c r="R138" s="319"/>
      <c r="S138" s="319"/>
      <c r="T138" s="319"/>
      <c r="U138" s="319"/>
      <c r="V138" s="319"/>
    </row>
    <row r="139" spans="1:22" s="279" customFormat="1" ht="15" customHeight="1">
      <c r="A139" s="270"/>
      <c r="B139" s="274"/>
      <c r="C139" s="275"/>
      <c r="D139" s="313" t="s">
        <v>473</v>
      </c>
      <c r="E139" s="317"/>
      <c r="F139" s="271">
        <f t="shared" si="2"/>
        <v>600</v>
      </c>
      <c r="G139" s="272"/>
      <c r="H139" s="272"/>
      <c r="I139" s="272">
        <v>600</v>
      </c>
      <c r="J139" s="272"/>
      <c r="K139" s="272"/>
      <c r="L139" s="272"/>
      <c r="M139" s="272"/>
      <c r="N139" s="272"/>
      <c r="O139" s="318"/>
      <c r="P139" s="889"/>
      <c r="Q139" s="319"/>
      <c r="R139" s="319"/>
      <c r="S139" s="319"/>
      <c r="T139" s="319"/>
      <c r="U139" s="319"/>
      <c r="V139" s="319"/>
    </row>
    <row r="140" spans="1:22" s="279" customFormat="1" ht="15" customHeight="1">
      <c r="A140" s="270"/>
      <c r="B140" s="274"/>
      <c r="C140" s="275"/>
      <c r="D140" s="313" t="s">
        <v>549</v>
      </c>
      <c r="E140" s="317"/>
      <c r="F140" s="271">
        <f t="shared" si="2"/>
        <v>600</v>
      </c>
      <c r="G140" s="272"/>
      <c r="H140" s="272"/>
      <c r="I140" s="272">
        <v>600</v>
      </c>
      <c r="J140" s="272"/>
      <c r="K140" s="272"/>
      <c r="L140" s="272"/>
      <c r="M140" s="272"/>
      <c r="N140" s="272"/>
      <c r="O140" s="318"/>
      <c r="P140" s="889"/>
      <c r="Q140" s="319"/>
      <c r="R140" s="319"/>
      <c r="S140" s="319"/>
      <c r="T140" s="319"/>
      <c r="U140" s="319"/>
      <c r="V140" s="319"/>
    </row>
    <row r="141" spans="1:22" s="279" customFormat="1" ht="15" customHeight="1">
      <c r="A141" s="270" t="s">
        <v>189</v>
      </c>
      <c r="B141" s="274">
        <v>851011</v>
      </c>
      <c r="C141" s="275" t="s">
        <v>234</v>
      </c>
      <c r="D141" s="316" t="s">
        <v>522</v>
      </c>
      <c r="E141" s="317">
        <v>52290</v>
      </c>
      <c r="F141" s="271">
        <f t="shared" si="2"/>
        <v>64290</v>
      </c>
      <c r="G141" s="276"/>
      <c r="H141" s="276"/>
      <c r="I141" s="276"/>
      <c r="J141" s="276">
        <v>12000</v>
      </c>
      <c r="K141" s="276"/>
      <c r="L141" s="276"/>
      <c r="M141" s="276"/>
      <c r="N141" s="276"/>
      <c r="O141" s="323">
        <v>52290</v>
      </c>
      <c r="P141" s="889"/>
      <c r="Q141" s="319"/>
      <c r="R141" s="319"/>
      <c r="S141" s="319"/>
      <c r="T141" s="319"/>
      <c r="U141" s="319"/>
      <c r="V141" s="319"/>
    </row>
    <row r="142" spans="1:22" s="279" customFormat="1" ht="15" customHeight="1">
      <c r="A142" s="270"/>
      <c r="B142" s="274"/>
      <c r="C142" s="275"/>
      <c r="D142" s="313" t="s">
        <v>473</v>
      </c>
      <c r="E142" s="317">
        <v>52290</v>
      </c>
      <c r="F142" s="271">
        <f t="shared" si="2"/>
        <v>64290</v>
      </c>
      <c r="G142" s="276"/>
      <c r="H142" s="276"/>
      <c r="I142" s="276"/>
      <c r="J142" s="276">
        <v>12000</v>
      </c>
      <c r="K142" s="276"/>
      <c r="L142" s="276"/>
      <c r="M142" s="276"/>
      <c r="N142" s="276"/>
      <c r="O142" s="323">
        <v>52290</v>
      </c>
      <c r="P142" s="889"/>
      <c r="Q142" s="319"/>
      <c r="R142" s="319"/>
      <c r="S142" s="319"/>
      <c r="T142" s="319"/>
      <c r="U142" s="319"/>
      <c r="V142" s="319"/>
    </row>
    <row r="143" spans="1:22" s="279" customFormat="1" ht="15" customHeight="1">
      <c r="A143" s="270"/>
      <c r="B143" s="274"/>
      <c r="C143" s="275"/>
      <c r="D143" s="313" t="s">
        <v>549</v>
      </c>
      <c r="E143" s="317">
        <v>52290</v>
      </c>
      <c r="F143" s="271">
        <f t="shared" si="2"/>
        <v>65527</v>
      </c>
      <c r="G143" s="276"/>
      <c r="H143" s="276"/>
      <c r="I143" s="276"/>
      <c r="J143" s="276">
        <v>13237</v>
      </c>
      <c r="K143" s="276"/>
      <c r="L143" s="276"/>
      <c r="M143" s="276"/>
      <c r="N143" s="276"/>
      <c r="O143" s="323">
        <v>52290</v>
      </c>
      <c r="P143" s="889"/>
      <c r="Q143" s="319"/>
      <c r="R143" s="319"/>
      <c r="S143" s="319"/>
      <c r="T143" s="319"/>
      <c r="U143" s="319"/>
      <c r="V143" s="319"/>
    </row>
    <row r="144" spans="1:22" s="279" customFormat="1" ht="15" customHeight="1">
      <c r="A144" s="270" t="s">
        <v>195</v>
      </c>
      <c r="B144" s="274">
        <v>852000</v>
      </c>
      <c r="C144" s="275" t="s">
        <v>235</v>
      </c>
      <c r="D144" s="316" t="s">
        <v>522</v>
      </c>
      <c r="E144" s="317"/>
      <c r="F144" s="271">
        <f t="shared" si="2"/>
        <v>57982</v>
      </c>
      <c r="G144" s="276"/>
      <c r="H144" s="276"/>
      <c r="I144" s="276">
        <v>1600</v>
      </c>
      <c r="J144" s="276">
        <v>56382</v>
      </c>
      <c r="K144" s="276"/>
      <c r="L144" s="276"/>
      <c r="M144" s="276"/>
      <c r="N144" s="276"/>
      <c r="O144" s="323"/>
      <c r="P144" s="889"/>
      <c r="Q144" s="319"/>
      <c r="R144" s="319"/>
      <c r="S144" s="319"/>
      <c r="T144" s="319"/>
      <c r="U144" s="319"/>
      <c r="V144" s="319"/>
    </row>
    <row r="145" spans="1:22" s="279" customFormat="1" ht="15" customHeight="1">
      <c r="A145" s="270"/>
      <c r="B145" s="274"/>
      <c r="C145" s="275"/>
      <c r="D145" s="313" t="s">
        <v>473</v>
      </c>
      <c r="E145" s="317"/>
      <c r="F145" s="271">
        <f t="shared" si="2"/>
        <v>57382</v>
      </c>
      <c r="G145" s="276"/>
      <c r="H145" s="276"/>
      <c r="I145" s="276">
        <v>1600</v>
      </c>
      <c r="J145" s="276">
        <v>55782</v>
      </c>
      <c r="K145" s="276"/>
      <c r="L145" s="276"/>
      <c r="M145" s="276"/>
      <c r="N145" s="276"/>
      <c r="O145" s="323"/>
      <c r="P145" s="889"/>
      <c r="Q145" s="319"/>
      <c r="R145" s="319"/>
      <c r="S145" s="319"/>
      <c r="T145" s="319"/>
      <c r="U145" s="319"/>
      <c r="V145" s="319"/>
    </row>
    <row r="146" spans="1:22" s="279" customFormat="1" ht="15" customHeight="1">
      <c r="A146" s="1076"/>
      <c r="B146" s="280"/>
      <c r="C146" s="281"/>
      <c r="D146" s="1077" t="s">
        <v>549</v>
      </c>
      <c r="E146" s="327"/>
      <c r="F146" s="282">
        <f t="shared" si="2"/>
        <v>57382</v>
      </c>
      <c r="G146" s="1078"/>
      <c r="H146" s="1078"/>
      <c r="I146" s="1078">
        <v>1600</v>
      </c>
      <c r="J146" s="1078">
        <v>55782</v>
      </c>
      <c r="K146" s="1078"/>
      <c r="L146" s="1078"/>
      <c r="M146" s="1078"/>
      <c r="N146" s="1078"/>
      <c r="O146" s="1079"/>
      <c r="P146" s="1080"/>
      <c r="Q146" s="319"/>
      <c r="R146" s="319"/>
      <c r="S146" s="319"/>
      <c r="T146" s="319"/>
      <c r="U146" s="319"/>
      <c r="V146" s="319"/>
    </row>
    <row r="147" spans="1:16" s="319" customFormat="1" ht="15" customHeight="1">
      <c r="A147" s="270" t="s">
        <v>195</v>
      </c>
      <c r="B147" s="527">
        <v>852000</v>
      </c>
      <c r="C147" s="1068" t="s">
        <v>236</v>
      </c>
      <c r="D147" s="1081" t="s">
        <v>522</v>
      </c>
      <c r="E147" s="271"/>
      <c r="F147" s="271">
        <f t="shared" si="2"/>
        <v>1862</v>
      </c>
      <c r="G147" s="272">
        <v>1862</v>
      </c>
      <c r="H147" s="272"/>
      <c r="I147" s="272"/>
      <c r="J147" s="272"/>
      <c r="K147" s="272"/>
      <c r="L147" s="272"/>
      <c r="M147" s="272"/>
      <c r="N147" s="272"/>
      <c r="O147" s="272"/>
      <c r="P147" s="1082"/>
    </row>
    <row r="148" spans="1:16" s="319" customFormat="1" ht="15" customHeight="1">
      <c r="A148" s="262"/>
      <c r="B148" s="1062"/>
      <c r="C148" s="269"/>
      <c r="D148" s="313" t="s">
        <v>473</v>
      </c>
      <c r="E148" s="314"/>
      <c r="F148" s="517">
        <f t="shared" si="2"/>
        <v>1862</v>
      </c>
      <c r="G148" s="288">
        <v>1862</v>
      </c>
      <c r="H148" s="288"/>
      <c r="I148" s="288"/>
      <c r="J148" s="288"/>
      <c r="K148" s="288"/>
      <c r="L148" s="288"/>
      <c r="M148" s="288"/>
      <c r="N148" s="288"/>
      <c r="O148" s="315"/>
      <c r="P148" s="888"/>
    </row>
    <row r="149" spans="1:16" s="319" customFormat="1" ht="15" customHeight="1">
      <c r="A149" s="270"/>
      <c r="B149" s="274"/>
      <c r="C149" s="275"/>
      <c r="D149" s="313" t="s">
        <v>549</v>
      </c>
      <c r="E149" s="317"/>
      <c r="F149" s="271">
        <f t="shared" si="2"/>
        <v>1862</v>
      </c>
      <c r="G149" s="272">
        <v>1862</v>
      </c>
      <c r="H149" s="272"/>
      <c r="I149" s="272"/>
      <c r="J149" s="272"/>
      <c r="K149" s="272"/>
      <c r="L149" s="272"/>
      <c r="M149" s="272"/>
      <c r="N149" s="272"/>
      <c r="O149" s="318"/>
      <c r="P149" s="889"/>
    </row>
    <row r="150" spans="1:22" s="279" customFormat="1" ht="15" customHeight="1">
      <c r="A150" s="270" t="s">
        <v>195</v>
      </c>
      <c r="B150" s="274">
        <v>853000</v>
      </c>
      <c r="C150" s="275" t="s">
        <v>237</v>
      </c>
      <c r="D150" s="316" t="s">
        <v>522</v>
      </c>
      <c r="E150" s="317"/>
      <c r="F150" s="271">
        <f t="shared" si="2"/>
        <v>0</v>
      </c>
      <c r="G150" s="272"/>
      <c r="H150" s="272"/>
      <c r="I150" s="272"/>
      <c r="J150" s="272"/>
      <c r="K150" s="272"/>
      <c r="L150" s="272"/>
      <c r="M150" s="272"/>
      <c r="N150" s="272"/>
      <c r="O150" s="318"/>
      <c r="P150" s="889"/>
      <c r="Q150" s="319"/>
      <c r="R150" s="319"/>
      <c r="S150" s="319"/>
      <c r="T150" s="319"/>
      <c r="U150" s="319"/>
      <c r="V150" s="319"/>
    </row>
    <row r="151" spans="1:22" s="279" customFormat="1" ht="15" customHeight="1">
      <c r="A151" s="270"/>
      <c r="B151" s="274"/>
      <c r="C151" s="275"/>
      <c r="D151" s="313" t="s">
        <v>473</v>
      </c>
      <c r="E151" s="317"/>
      <c r="F151" s="271">
        <f t="shared" si="2"/>
        <v>12000</v>
      </c>
      <c r="G151" s="272"/>
      <c r="H151" s="272"/>
      <c r="I151" s="272"/>
      <c r="J151" s="272">
        <v>12000</v>
      </c>
      <c r="K151" s="272"/>
      <c r="L151" s="272"/>
      <c r="M151" s="272"/>
      <c r="N151" s="272"/>
      <c r="O151" s="318"/>
      <c r="P151" s="889"/>
      <c r="Q151" s="319"/>
      <c r="R151" s="319"/>
      <c r="S151" s="319"/>
      <c r="T151" s="319"/>
      <c r="U151" s="319"/>
      <c r="V151" s="319"/>
    </row>
    <row r="152" spans="1:22" s="279" customFormat="1" ht="15" customHeight="1">
      <c r="A152" s="270"/>
      <c r="B152" s="274"/>
      <c r="C152" s="275"/>
      <c r="D152" s="313" t="s">
        <v>549</v>
      </c>
      <c r="E152" s="317"/>
      <c r="F152" s="271">
        <f t="shared" si="2"/>
        <v>32000</v>
      </c>
      <c r="G152" s="272"/>
      <c r="H152" s="272"/>
      <c r="I152" s="272"/>
      <c r="J152" s="272">
        <v>32000</v>
      </c>
      <c r="K152" s="272"/>
      <c r="L152" s="272"/>
      <c r="M152" s="272"/>
      <c r="N152" s="272"/>
      <c r="O152" s="318"/>
      <c r="P152" s="889"/>
      <c r="Q152" s="319"/>
      <c r="R152" s="319"/>
      <c r="S152" s="319"/>
      <c r="T152" s="319"/>
      <c r="U152" s="319"/>
      <c r="V152" s="319"/>
    </row>
    <row r="153" spans="1:22" s="279" customFormat="1" ht="15" customHeight="1">
      <c r="A153" s="270" t="s">
        <v>195</v>
      </c>
      <c r="B153" s="274">
        <v>855100</v>
      </c>
      <c r="C153" s="275" t="s">
        <v>238</v>
      </c>
      <c r="D153" s="316" t="s">
        <v>522</v>
      </c>
      <c r="E153" s="317">
        <v>38803</v>
      </c>
      <c r="F153" s="271">
        <f t="shared" si="2"/>
        <v>38803</v>
      </c>
      <c r="G153" s="276"/>
      <c r="H153" s="276"/>
      <c r="I153" s="276">
        <v>38803</v>
      </c>
      <c r="J153" s="276"/>
      <c r="K153" s="276"/>
      <c r="L153" s="276"/>
      <c r="M153" s="276"/>
      <c r="N153" s="277"/>
      <c r="O153" s="323"/>
      <c r="P153" s="889"/>
      <c r="Q153" s="319"/>
      <c r="R153" s="319"/>
      <c r="S153" s="319"/>
      <c r="T153" s="319"/>
      <c r="U153" s="319"/>
      <c r="V153" s="319"/>
    </row>
    <row r="154" spans="1:22" s="279" customFormat="1" ht="15" customHeight="1">
      <c r="A154" s="270"/>
      <c r="B154" s="274"/>
      <c r="C154" s="275"/>
      <c r="D154" s="313" t="s">
        <v>473</v>
      </c>
      <c r="E154" s="317">
        <v>38803</v>
      </c>
      <c r="F154" s="271">
        <f t="shared" si="2"/>
        <v>38803</v>
      </c>
      <c r="G154" s="276"/>
      <c r="H154" s="276"/>
      <c r="I154" s="276">
        <v>38803</v>
      </c>
      <c r="J154" s="276"/>
      <c r="K154" s="276"/>
      <c r="L154" s="276"/>
      <c r="M154" s="276"/>
      <c r="N154" s="277"/>
      <c r="O154" s="323"/>
      <c r="P154" s="889"/>
      <c r="Q154" s="319"/>
      <c r="R154" s="319"/>
      <c r="S154" s="319"/>
      <c r="T154" s="319"/>
      <c r="U154" s="319"/>
      <c r="V154" s="319"/>
    </row>
    <row r="155" spans="1:22" s="279" customFormat="1" ht="15" customHeight="1">
      <c r="A155" s="270"/>
      <c r="B155" s="274"/>
      <c r="C155" s="275"/>
      <c r="D155" s="313" t="s">
        <v>549</v>
      </c>
      <c r="E155" s="317">
        <v>38803</v>
      </c>
      <c r="F155" s="271">
        <f t="shared" si="2"/>
        <v>38803</v>
      </c>
      <c r="G155" s="276"/>
      <c r="H155" s="276"/>
      <c r="I155" s="276">
        <v>38803</v>
      </c>
      <c r="J155" s="276"/>
      <c r="K155" s="276"/>
      <c r="L155" s="276"/>
      <c r="M155" s="276"/>
      <c r="N155" s="277"/>
      <c r="O155" s="323"/>
      <c r="P155" s="889"/>
      <c r="Q155" s="319"/>
      <c r="R155" s="319"/>
      <c r="S155" s="319"/>
      <c r="T155" s="319"/>
      <c r="U155" s="319"/>
      <c r="V155" s="319"/>
    </row>
    <row r="156" spans="1:22" s="279" customFormat="1" ht="15" customHeight="1">
      <c r="A156" s="270" t="s">
        <v>195</v>
      </c>
      <c r="B156" s="274">
        <v>856020</v>
      </c>
      <c r="C156" s="275" t="s">
        <v>239</v>
      </c>
      <c r="D156" s="316" t="s">
        <v>522</v>
      </c>
      <c r="E156" s="317"/>
      <c r="F156" s="271">
        <f t="shared" si="2"/>
        <v>2500</v>
      </c>
      <c r="G156" s="276"/>
      <c r="H156" s="276"/>
      <c r="I156" s="276">
        <v>2500</v>
      </c>
      <c r="J156" s="276"/>
      <c r="K156" s="276"/>
      <c r="L156" s="276"/>
      <c r="M156" s="276"/>
      <c r="N156" s="277"/>
      <c r="O156" s="323"/>
      <c r="P156" s="889"/>
      <c r="Q156" s="319"/>
      <c r="R156" s="319"/>
      <c r="S156" s="319"/>
      <c r="T156" s="319"/>
      <c r="U156" s="319"/>
      <c r="V156" s="319"/>
    </row>
    <row r="157" spans="1:22" s="279" customFormat="1" ht="15" customHeight="1">
      <c r="A157" s="270"/>
      <c r="B157" s="274"/>
      <c r="C157" s="275"/>
      <c r="D157" s="313" t="s">
        <v>473</v>
      </c>
      <c r="E157" s="317"/>
      <c r="F157" s="271">
        <f t="shared" si="2"/>
        <v>2500</v>
      </c>
      <c r="G157" s="276"/>
      <c r="H157" s="276"/>
      <c r="I157" s="276">
        <v>2500</v>
      </c>
      <c r="J157" s="276"/>
      <c r="K157" s="276"/>
      <c r="L157" s="276"/>
      <c r="M157" s="276"/>
      <c r="N157" s="277"/>
      <c r="O157" s="323"/>
      <c r="P157" s="889"/>
      <c r="Q157" s="319"/>
      <c r="R157" s="319"/>
      <c r="S157" s="319"/>
      <c r="T157" s="319"/>
      <c r="U157" s="319"/>
      <c r="V157" s="319"/>
    </row>
    <row r="158" spans="1:22" s="279" customFormat="1" ht="15" customHeight="1">
      <c r="A158" s="270"/>
      <c r="B158" s="274"/>
      <c r="C158" s="275"/>
      <c r="D158" s="313" t="s">
        <v>549</v>
      </c>
      <c r="E158" s="317">
        <v>8412</v>
      </c>
      <c r="F158" s="271">
        <f t="shared" si="2"/>
        <v>3100</v>
      </c>
      <c r="G158" s="276"/>
      <c r="H158" s="276"/>
      <c r="I158" s="276">
        <v>3100</v>
      </c>
      <c r="J158" s="276"/>
      <c r="K158" s="276"/>
      <c r="L158" s="276"/>
      <c r="M158" s="276"/>
      <c r="N158" s="277"/>
      <c r="O158" s="323"/>
      <c r="P158" s="889"/>
      <c r="Q158" s="319"/>
      <c r="R158" s="319"/>
      <c r="S158" s="319"/>
      <c r="T158" s="319"/>
      <c r="U158" s="319"/>
      <c r="V158" s="319"/>
    </row>
    <row r="159" spans="1:22" s="279" customFormat="1" ht="15" customHeight="1">
      <c r="A159" s="270" t="s">
        <v>195</v>
      </c>
      <c r="B159" s="274">
        <v>860000</v>
      </c>
      <c r="C159" s="275" t="s">
        <v>255</v>
      </c>
      <c r="D159" s="316" t="s">
        <v>522</v>
      </c>
      <c r="E159" s="317"/>
      <c r="F159" s="271">
        <f t="shared" si="2"/>
        <v>0</v>
      </c>
      <c r="G159" s="276"/>
      <c r="H159" s="276"/>
      <c r="I159" s="276"/>
      <c r="J159" s="276"/>
      <c r="K159" s="276"/>
      <c r="L159" s="276"/>
      <c r="M159" s="276"/>
      <c r="N159" s="277"/>
      <c r="O159" s="323"/>
      <c r="P159" s="889"/>
      <c r="Q159" s="319"/>
      <c r="R159" s="319"/>
      <c r="S159" s="319"/>
      <c r="T159" s="319"/>
      <c r="U159" s="319"/>
      <c r="V159" s="319"/>
    </row>
    <row r="160" spans="1:22" s="279" customFormat="1" ht="15" customHeight="1">
      <c r="A160" s="270"/>
      <c r="B160" s="274"/>
      <c r="C160" s="275"/>
      <c r="D160" s="313" t="s">
        <v>473</v>
      </c>
      <c r="E160" s="317"/>
      <c r="F160" s="271">
        <f t="shared" si="2"/>
        <v>0</v>
      </c>
      <c r="G160" s="276"/>
      <c r="H160" s="276"/>
      <c r="I160" s="276"/>
      <c r="J160" s="276"/>
      <c r="K160" s="276"/>
      <c r="L160" s="276"/>
      <c r="M160" s="276"/>
      <c r="N160" s="277"/>
      <c r="O160" s="323"/>
      <c r="P160" s="889"/>
      <c r="Q160" s="319"/>
      <c r="R160" s="319"/>
      <c r="S160" s="319"/>
      <c r="T160" s="319"/>
      <c r="U160" s="319"/>
      <c r="V160" s="319"/>
    </row>
    <row r="161" spans="1:22" s="279" customFormat="1" ht="15" customHeight="1">
      <c r="A161" s="270"/>
      <c r="B161" s="274"/>
      <c r="C161" s="275"/>
      <c r="D161" s="313" t="s">
        <v>549</v>
      </c>
      <c r="E161" s="317"/>
      <c r="F161" s="271">
        <f t="shared" si="2"/>
        <v>0</v>
      </c>
      <c r="G161" s="276"/>
      <c r="H161" s="276"/>
      <c r="I161" s="276"/>
      <c r="J161" s="276"/>
      <c r="K161" s="276"/>
      <c r="L161" s="276"/>
      <c r="M161" s="276"/>
      <c r="N161" s="277"/>
      <c r="O161" s="323"/>
      <c r="P161" s="889"/>
      <c r="Q161" s="319"/>
      <c r="R161" s="319"/>
      <c r="S161" s="319"/>
      <c r="T161" s="319"/>
      <c r="U161" s="319"/>
      <c r="V161" s="319"/>
    </row>
    <row r="162" spans="1:22" s="279" customFormat="1" ht="15" customHeight="1">
      <c r="A162" s="270" t="s">
        <v>189</v>
      </c>
      <c r="B162" s="274">
        <v>862000</v>
      </c>
      <c r="C162" s="275" t="s">
        <v>256</v>
      </c>
      <c r="D162" s="316" t="s">
        <v>522</v>
      </c>
      <c r="E162" s="317">
        <v>2100</v>
      </c>
      <c r="F162" s="271">
        <f t="shared" si="2"/>
        <v>7630</v>
      </c>
      <c r="G162" s="276"/>
      <c r="H162" s="276"/>
      <c r="I162" s="276"/>
      <c r="J162" s="276">
        <v>7630</v>
      </c>
      <c r="K162" s="276"/>
      <c r="L162" s="276"/>
      <c r="M162" s="276"/>
      <c r="N162" s="276"/>
      <c r="O162" s="323"/>
      <c r="P162" s="889"/>
      <c r="Q162" s="319"/>
      <c r="R162" s="319"/>
      <c r="S162" s="319"/>
      <c r="T162" s="319"/>
      <c r="U162" s="319"/>
      <c r="V162" s="319"/>
    </row>
    <row r="163" spans="1:22" s="279" customFormat="1" ht="15" customHeight="1">
      <c r="A163" s="270"/>
      <c r="B163" s="274"/>
      <c r="C163" s="275"/>
      <c r="D163" s="313" t="s">
        <v>473</v>
      </c>
      <c r="E163" s="317">
        <v>3665</v>
      </c>
      <c r="F163" s="271">
        <f t="shared" si="2"/>
        <v>7317</v>
      </c>
      <c r="G163" s="276"/>
      <c r="H163" s="276"/>
      <c r="I163" s="276">
        <v>197</v>
      </c>
      <c r="J163" s="276">
        <v>7120</v>
      </c>
      <c r="K163" s="276"/>
      <c r="L163" s="276"/>
      <c r="M163" s="276"/>
      <c r="N163" s="276"/>
      <c r="O163" s="323"/>
      <c r="P163" s="889"/>
      <c r="Q163" s="319"/>
      <c r="R163" s="319"/>
      <c r="S163" s="319"/>
      <c r="T163" s="319"/>
      <c r="U163" s="319"/>
      <c r="V163" s="319"/>
    </row>
    <row r="164" spans="1:22" s="279" customFormat="1" ht="15" customHeight="1" thickBot="1">
      <c r="A164" s="890"/>
      <c r="B164" s="891"/>
      <c r="C164" s="892"/>
      <c r="D164" s="1067" t="s">
        <v>549</v>
      </c>
      <c r="E164" s="893">
        <v>3665</v>
      </c>
      <c r="F164" s="864">
        <f t="shared" si="2"/>
        <v>9017</v>
      </c>
      <c r="G164" s="900"/>
      <c r="H164" s="900"/>
      <c r="I164" s="900">
        <v>1897</v>
      </c>
      <c r="J164" s="900">
        <v>7120</v>
      </c>
      <c r="K164" s="900"/>
      <c r="L164" s="900"/>
      <c r="M164" s="900"/>
      <c r="N164" s="900"/>
      <c r="O164" s="901"/>
      <c r="P164" s="896"/>
      <c r="Q164" s="319"/>
      <c r="R164" s="319"/>
      <c r="S164" s="319"/>
      <c r="T164" s="319"/>
      <c r="U164" s="319"/>
      <c r="V164" s="319"/>
    </row>
    <row r="165" spans="1:22" s="279" customFormat="1" ht="15" customHeight="1">
      <c r="A165" s="262" t="s">
        <v>195</v>
      </c>
      <c r="B165" s="1062">
        <v>870000</v>
      </c>
      <c r="C165" s="269" t="s">
        <v>257</v>
      </c>
      <c r="D165" s="313" t="s">
        <v>522</v>
      </c>
      <c r="E165" s="314"/>
      <c r="F165" s="517">
        <f t="shared" si="2"/>
        <v>0</v>
      </c>
      <c r="G165" s="1063"/>
      <c r="H165" s="1063"/>
      <c r="I165" s="1063"/>
      <c r="J165" s="1063"/>
      <c r="K165" s="1063"/>
      <c r="L165" s="1063"/>
      <c r="M165" s="1063"/>
      <c r="N165" s="1063"/>
      <c r="O165" s="1065"/>
      <c r="P165" s="888"/>
      <c r="Q165" s="319"/>
      <c r="R165" s="319"/>
      <c r="S165" s="319"/>
      <c r="T165" s="319"/>
      <c r="U165" s="319"/>
      <c r="V165" s="319"/>
    </row>
    <row r="166" spans="1:22" s="279" customFormat="1" ht="15" customHeight="1">
      <c r="A166" s="270"/>
      <c r="B166" s="274"/>
      <c r="C166" s="275"/>
      <c r="D166" s="313" t="s">
        <v>473</v>
      </c>
      <c r="E166" s="317"/>
      <c r="F166" s="271">
        <f t="shared" si="2"/>
        <v>76866</v>
      </c>
      <c r="G166" s="276"/>
      <c r="H166" s="276"/>
      <c r="I166" s="276"/>
      <c r="J166" s="276">
        <v>76866</v>
      </c>
      <c r="K166" s="276"/>
      <c r="L166" s="276"/>
      <c r="M166" s="276"/>
      <c r="N166" s="276"/>
      <c r="O166" s="323"/>
      <c r="P166" s="889"/>
      <c r="Q166" s="319"/>
      <c r="R166" s="319"/>
      <c r="S166" s="319"/>
      <c r="T166" s="319"/>
      <c r="U166" s="319"/>
      <c r="V166" s="319"/>
    </row>
    <row r="167" spans="1:22" s="279" customFormat="1" ht="15" customHeight="1">
      <c r="A167" s="270"/>
      <c r="B167" s="274"/>
      <c r="C167" s="275"/>
      <c r="D167" s="316" t="s">
        <v>549</v>
      </c>
      <c r="E167" s="317"/>
      <c r="F167" s="271">
        <f t="shared" si="2"/>
        <v>79782</v>
      </c>
      <c r="G167" s="276"/>
      <c r="H167" s="276"/>
      <c r="I167" s="276"/>
      <c r="J167" s="276">
        <v>79782</v>
      </c>
      <c r="K167" s="276"/>
      <c r="L167" s="276"/>
      <c r="M167" s="276"/>
      <c r="N167" s="276"/>
      <c r="O167" s="323"/>
      <c r="P167" s="1066"/>
      <c r="Q167" s="319"/>
      <c r="R167" s="319"/>
      <c r="S167" s="319"/>
      <c r="T167" s="319"/>
      <c r="U167" s="319"/>
      <c r="V167" s="319"/>
    </row>
    <row r="168" spans="1:22" s="279" customFormat="1" ht="15" customHeight="1">
      <c r="A168" s="262" t="s">
        <v>189</v>
      </c>
      <c r="B168" s="1062">
        <v>880000</v>
      </c>
      <c r="C168" s="269" t="s">
        <v>258</v>
      </c>
      <c r="D168" s="313" t="s">
        <v>522</v>
      </c>
      <c r="E168" s="314"/>
      <c r="F168" s="517">
        <f t="shared" si="2"/>
        <v>38320</v>
      </c>
      <c r="G168" s="1063"/>
      <c r="H168" s="1063"/>
      <c r="I168" s="1063"/>
      <c r="J168" s="1063">
        <v>10320</v>
      </c>
      <c r="K168" s="1063">
        <v>28000</v>
      </c>
      <c r="L168" s="1063"/>
      <c r="M168" s="1063"/>
      <c r="N168" s="1064"/>
      <c r="O168" s="1065"/>
      <c r="P168" s="888"/>
      <c r="Q168" s="319"/>
      <c r="R168" s="319"/>
      <c r="S168" s="319"/>
      <c r="T168" s="319"/>
      <c r="U168" s="319"/>
      <c r="V168" s="319"/>
    </row>
    <row r="169" spans="1:22" s="279" customFormat="1" ht="15" customHeight="1">
      <c r="A169" s="270"/>
      <c r="B169" s="274"/>
      <c r="C169" s="275"/>
      <c r="D169" s="313" t="s">
        <v>473</v>
      </c>
      <c r="E169" s="317"/>
      <c r="F169" s="271">
        <f t="shared" si="2"/>
        <v>38820</v>
      </c>
      <c r="G169" s="276"/>
      <c r="H169" s="276"/>
      <c r="I169" s="276"/>
      <c r="J169" s="276">
        <v>10820</v>
      </c>
      <c r="K169" s="276">
        <v>28000</v>
      </c>
      <c r="L169" s="276"/>
      <c r="M169" s="276"/>
      <c r="N169" s="277"/>
      <c r="O169" s="323"/>
      <c r="P169" s="889"/>
      <c r="Q169" s="319"/>
      <c r="R169" s="319"/>
      <c r="S169" s="319"/>
      <c r="T169" s="319"/>
      <c r="U169" s="319"/>
      <c r="V169" s="319"/>
    </row>
    <row r="170" spans="1:22" s="279" customFormat="1" ht="15" customHeight="1">
      <c r="A170" s="270"/>
      <c r="B170" s="274"/>
      <c r="C170" s="275"/>
      <c r="D170" s="313" t="s">
        <v>549</v>
      </c>
      <c r="E170" s="317"/>
      <c r="F170" s="271">
        <f t="shared" si="2"/>
        <v>98475</v>
      </c>
      <c r="G170" s="276"/>
      <c r="H170" s="276"/>
      <c r="I170" s="276"/>
      <c r="J170" s="276">
        <v>70475</v>
      </c>
      <c r="K170" s="276">
        <v>28000</v>
      </c>
      <c r="L170" s="276"/>
      <c r="M170" s="276"/>
      <c r="N170" s="277"/>
      <c r="O170" s="323"/>
      <c r="P170" s="889"/>
      <c r="Q170" s="319"/>
      <c r="R170" s="319"/>
      <c r="S170" s="319"/>
      <c r="T170" s="319"/>
      <c r="U170" s="319"/>
      <c r="V170" s="319"/>
    </row>
    <row r="171" spans="1:22" s="279" customFormat="1" ht="15" customHeight="1">
      <c r="A171" s="270" t="s">
        <v>189</v>
      </c>
      <c r="B171" s="274">
        <v>882111</v>
      </c>
      <c r="C171" s="275" t="s">
        <v>259</v>
      </c>
      <c r="D171" s="316" t="s">
        <v>522</v>
      </c>
      <c r="E171" s="317">
        <v>50000</v>
      </c>
      <c r="F171" s="271">
        <f t="shared" si="2"/>
        <v>0</v>
      </c>
      <c r="G171" s="276"/>
      <c r="H171" s="276"/>
      <c r="I171" s="276"/>
      <c r="J171" s="276"/>
      <c r="K171" s="276"/>
      <c r="L171" s="276"/>
      <c r="M171" s="276"/>
      <c r="N171" s="277"/>
      <c r="O171" s="323"/>
      <c r="P171" s="889"/>
      <c r="Q171" s="319"/>
      <c r="R171" s="319"/>
      <c r="S171" s="319"/>
      <c r="T171" s="319"/>
      <c r="U171" s="319"/>
      <c r="V171" s="319"/>
    </row>
    <row r="172" spans="1:22" s="279" customFormat="1" ht="15" customHeight="1">
      <c r="A172" s="270"/>
      <c r="B172" s="274"/>
      <c r="C172" s="275"/>
      <c r="D172" s="313" t="s">
        <v>473</v>
      </c>
      <c r="E172" s="317">
        <v>50000</v>
      </c>
      <c r="F172" s="271">
        <f t="shared" si="2"/>
        <v>0</v>
      </c>
      <c r="G172" s="276"/>
      <c r="H172" s="276"/>
      <c r="I172" s="276"/>
      <c r="J172" s="276"/>
      <c r="K172" s="276"/>
      <c r="L172" s="276"/>
      <c r="M172" s="276"/>
      <c r="N172" s="277"/>
      <c r="O172" s="323"/>
      <c r="P172" s="889"/>
      <c r="Q172" s="319"/>
      <c r="R172" s="319"/>
      <c r="S172" s="319"/>
      <c r="T172" s="319"/>
      <c r="U172" s="319"/>
      <c r="V172" s="319"/>
    </row>
    <row r="173" spans="1:22" s="279" customFormat="1" ht="15" customHeight="1">
      <c r="A173" s="270"/>
      <c r="B173" s="274"/>
      <c r="C173" s="275"/>
      <c r="D173" s="313" t="s">
        <v>549</v>
      </c>
      <c r="E173" s="317">
        <v>50000</v>
      </c>
      <c r="F173" s="271">
        <f t="shared" si="2"/>
        <v>0</v>
      </c>
      <c r="G173" s="276"/>
      <c r="H173" s="276"/>
      <c r="I173" s="276"/>
      <c r="J173" s="276"/>
      <c r="K173" s="276"/>
      <c r="L173" s="276"/>
      <c r="M173" s="276"/>
      <c r="N173" s="277"/>
      <c r="O173" s="323"/>
      <c r="P173" s="889"/>
      <c r="Q173" s="319"/>
      <c r="R173" s="319"/>
      <c r="S173" s="319"/>
      <c r="T173" s="319"/>
      <c r="U173" s="319"/>
      <c r="V173" s="319"/>
    </row>
    <row r="174" spans="1:22" s="279" customFormat="1" ht="15" customHeight="1">
      <c r="A174" s="270" t="s">
        <v>189</v>
      </c>
      <c r="B174" s="274">
        <v>882112</v>
      </c>
      <c r="C174" s="275" t="s">
        <v>24</v>
      </c>
      <c r="D174" s="316" t="s">
        <v>522</v>
      </c>
      <c r="E174" s="317">
        <v>36</v>
      </c>
      <c r="F174" s="271">
        <f t="shared" si="2"/>
        <v>0</v>
      </c>
      <c r="G174" s="276"/>
      <c r="H174" s="276"/>
      <c r="I174" s="276"/>
      <c r="J174" s="276"/>
      <c r="K174" s="276"/>
      <c r="L174" s="276"/>
      <c r="M174" s="276"/>
      <c r="N174" s="276"/>
      <c r="O174" s="323"/>
      <c r="P174" s="889"/>
      <c r="Q174" s="319"/>
      <c r="R174" s="319"/>
      <c r="S174" s="319"/>
      <c r="T174" s="319"/>
      <c r="U174" s="319"/>
      <c r="V174" s="319"/>
    </row>
    <row r="175" spans="1:22" s="279" customFormat="1" ht="15" customHeight="1">
      <c r="A175" s="270"/>
      <c r="B175" s="274"/>
      <c r="C175" s="275"/>
      <c r="D175" s="313" t="s">
        <v>473</v>
      </c>
      <c r="E175" s="317">
        <v>36</v>
      </c>
      <c r="F175" s="271">
        <f t="shared" si="2"/>
        <v>0</v>
      </c>
      <c r="G175" s="276"/>
      <c r="H175" s="276"/>
      <c r="I175" s="276"/>
      <c r="J175" s="276"/>
      <c r="K175" s="276"/>
      <c r="L175" s="276"/>
      <c r="M175" s="276"/>
      <c r="N175" s="276"/>
      <c r="O175" s="323"/>
      <c r="P175" s="889"/>
      <c r="Q175" s="319"/>
      <c r="R175" s="319"/>
      <c r="S175" s="319"/>
      <c r="T175" s="319"/>
      <c r="U175" s="319"/>
      <c r="V175" s="319"/>
    </row>
    <row r="176" spans="1:22" s="279" customFormat="1" ht="15" customHeight="1">
      <c r="A176" s="270"/>
      <c r="B176" s="274"/>
      <c r="C176" s="275"/>
      <c r="D176" s="313" t="s">
        <v>549</v>
      </c>
      <c r="E176" s="317">
        <v>36</v>
      </c>
      <c r="F176" s="271">
        <f t="shared" si="2"/>
        <v>0</v>
      </c>
      <c r="G176" s="276"/>
      <c r="H176" s="276"/>
      <c r="I176" s="276"/>
      <c r="J176" s="276"/>
      <c r="K176" s="276"/>
      <c r="L176" s="276"/>
      <c r="M176" s="276"/>
      <c r="N176" s="276"/>
      <c r="O176" s="323"/>
      <c r="P176" s="889"/>
      <c r="Q176" s="319"/>
      <c r="R176" s="319"/>
      <c r="S176" s="319"/>
      <c r="T176" s="319"/>
      <c r="U176" s="319"/>
      <c r="V176" s="319"/>
    </row>
    <row r="177" spans="1:22" s="279" customFormat="1" ht="15" customHeight="1">
      <c r="A177" s="270" t="s">
        <v>189</v>
      </c>
      <c r="B177" s="274">
        <v>882113</v>
      </c>
      <c r="C177" s="275" t="s">
        <v>25</v>
      </c>
      <c r="D177" s="316" t="s">
        <v>522</v>
      </c>
      <c r="E177" s="317">
        <v>18000</v>
      </c>
      <c r="F177" s="271">
        <f t="shared" si="2"/>
        <v>0</v>
      </c>
      <c r="G177" s="276"/>
      <c r="H177" s="276"/>
      <c r="I177" s="276"/>
      <c r="J177" s="276"/>
      <c r="K177" s="276"/>
      <c r="L177" s="276"/>
      <c r="M177" s="276"/>
      <c r="N177" s="276"/>
      <c r="O177" s="323"/>
      <c r="P177" s="889"/>
      <c r="Q177" s="319"/>
      <c r="R177" s="319"/>
      <c r="S177" s="319"/>
      <c r="T177" s="319"/>
      <c r="U177" s="319"/>
      <c r="V177" s="319"/>
    </row>
    <row r="178" spans="1:22" s="279" customFormat="1" ht="15" customHeight="1">
      <c r="A178" s="270"/>
      <c r="B178" s="274"/>
      <c r="C178" s="275"/>
      <c r="D178" s="313" t="s">
        <v>473</v>
      </c>
      <c r="E178" s="317">
        <v>18000</v>
      </c>
      <c r="F178" s="271">
        <f t="shared" si="2"/>
        <v>0</v>
      </c>
      <c r="G178" s="276"/>
      <c r="H178" s="276"/>
      <c r="I178" s="276"/>
      <c r="J178" s="276"/>
      <c r="K178" s="276"/>
      <c r="L178" s="276"/>
      <c r="M178" s="276"/>
      <c r="N178" s="276"/>
      <c r="O178" s="323"/>
      <c r="P178" s="889"/>
      <c r="Q178" s="319"/>
      <c r="R178" s="319"/>
      <c r="S178" s="319"/>
      <c r="T178" s="319"/>
      <c r="U178" s="319"/>
      <c r="V178" s="319"/>
    </row>
    <row r="179" spans="1:22" s="279" customFormat="1" ht="15" customHeight="1">
      <c r="A179" s="270"/>
      <c r="B179" s="274"/>
      <c r="C179" s="275"/>
      <c r="D179" s="313" t="s">
        <v>549</v>
      </c>
      <c r="E179" s="317">
        <v>18000</v>
      </c>
      <c r="F179" s="271">
        <f t="shared" si="2"/>
        <v>0</v>
      </c>
      <c r="G179" s="276"/>
      <c r="H179" s="276"/>
      <c r="I179" s="276"/>
      <c r="J179" s="276"/>
      <c r="K179" s="276"/>
      <c r="L179" s="276"/>
      <c r="M179" s="276"/>
      <c r="N179" s="276"/>
      <c r="O179" s="323"/>
      <c r="P179" s="889"/>
      <c r="Q179" s="319"/>
      <c r="R179" s="319"/>
      <c r="S179" s="319"/>
      <c r="T179" s="319"/>
      <c r="U179" s="319"/>
      <c r="V179" s="319"/>
    </row>
    <row r="180" spans="1:22" s="279" customFormat="1" ht="15" customHeight="1">
      <c r="A180" s="270" t="s">
        <v>195</v>
      </c>
      <c r="B180" s="274">
        <v>882114</v>
      </c>
      <c r="C180" s="275" t="s">
        <v>260</v>
      </c>
      <c r="D180" s="316" t="s">
        <v>522</v>
      </c>
      <c r="E180" s="317"/>
      <c r="F180" s="271">
        <f aca="true" t="shared" si="3" ref="F180:F243">SUM(G180:P180)</f>
        <v>0</v>
      </c>
      <c r="G180" s="276"/>
      <c r="H180" s="276"/>
      <c r="I180" s="276"/>
      <c r="J180" s="276"/>
      <c r="K180" s="276"/>
      <c r="L180" s="276"/>
      <c r="M180" s="276"/>
      <c r="N180" s="276"/>
      <c r="O180" s="323"/>
      <c r="P180" s="889"/>
      <c r="Q180" s="319"/>
      <c r="R180" s="319"/>
      <c r="S180" s="319"/>
      <c r="T180" s="319"/>
      <c r="U180" s="319"/>
      <c r="V180" s="319"/>
    </row>
    <row r="181" spans="1:22" s="279" customFormat="1" ht="15" customHeight="1">
      <c r="A181" s="270"/>
      <c r="B181" s="274"/>
      <c r="C181" s="275"/>
      <c r="D181" s="313" t="s">
        <v>473</v>
      </c>
      <c r="E181" s="317"/>
      <c r="F181" s="271">
        <f t="shared" si="3"/>
        <v>0</v>
      </c>
      <c r="G181" s="276"/>
      <c r="H181" s="276"/>
      <c r="I181" s="276"/>
      <c r="J181" s="276"/>
      <c r="K181" s="276"/>
      <c r="L181" s="276"/>
      <c r="M181" s="276"/>
      <c r="N181" s="276"/>
      <c r="O181" s="323"/>
      <c r="P181" s="889"/>
      <c r="Q181" s="319"/>
      <c r="R181" s="319"/>
      <c r="S181" s="319"/>
      <c r="T181" s="319"/>
      <c r="U181" s="319"/>
      <c r="V181" s="319"/>
    </row>
    <row r="182" spans="1:22" s="279" customFormat="1" ht="15" customHeight="1">
      <c r="A182" s="270"/>
      <c r="B182" s="274"/>
      <c r="C182" s="275"/>
      <c r="D182" s="313" t="s">
        <v>549</v>
      </c>
      <c r="E182" s="317"/>
      <c r="F182" s="271">
        <f t="shared" si="3"/>
        <v>0</v>
      </c>
      <c r="G182" s="276"/>
      <c r="H182" s="276"/>
      <c r="I182" s="276"/>
      <c r="J182" s="276"/>
      <c r="K182" s="276"/>
      <c r="L182" s="276"/>
      <c r="M182" s="276"/>
      <c r="N182" s="276"/>
      <c r="O182" s="323"/>
      <c r="P182" s="889"/>
      <c r="Q182" s="319"/>
      <c r="R182" s="319"/>
      <c r="S182" s="319"/>
      <c r="T182" s="319"/>
      <c r="U182" s="319"/>
      <c r="V182" s="319"/>
    </row>
    <row r="183" spans="1:22" s="279" customFormat="1" ht="15" customHeight="1">
      <c r="A183" s="270" t="s">
        <v>189</v>
      </c>
      <c r="B183" s="274">
        <v>882115</v>
      </c>
      <c r="C183" s="275" t="s">
        <v>261</v>
      </c>
      <c r="D183" s="316" t="s">
        <v>522</v>
      </c>
      <c r="E183" s="317">
        <v>1523</v>
      </c>
      <c r="F183" s="271">
        <f t="shared" si="3"/>
        <v>0</v>
      </c>
      <c r="G183" s="276"/>
      <c r="H183" s="276"/>
      <c r="I183" s="276"/>
      <c r="J183" s="276"/>
      <c r="K183" s="276"/>
      <c r="L183" s="276"/>
      <c r="M183" s="276"/>
      <c r="N183" s="276"/>
      <c r="O183" s="323"/>
      <c r="P183" s="889"/>
      <c r="Q183" s="319"/>
      <c r="R183" s="319"/>
      <c r="S183" s="319"/>
      <c r="T183" s="319"/>
      <c r="U183" s="319"/>
      <c r="V183" s="319"/>
    </row>
    <row r="184" spans="1:22" s="279" customFormat="1" ht="15" customHeight="1">
      <c r="A184" s="270"/>
      <c r="B184" s="274"/>
      <c r="C184" s="275"/>
      <c r="D184" s="313" t="s">
        <v>473</v>
      </c>
      <c r="E184" s="317">
        <v>1523</v>
      </c>
      <c r="F184" s="271">
        <f t="shared" si="3"/>
        <v>0</v>
      </c>
      <c r="G184" s="276"/>
      <c r="H184" s="276"/>
      <c r="I184" s="276"/>
      <c r="J184" s="276"/>
      <c r="K184" s="276"/>
      <c r="L184" s="276"/>
      <c r="M184" s="276"/>
      <c r="N184" s="276"/>
      <c r="O184" s="323"/>
      <c r="P184" s="889"/>
      <c r="Q184" s="319"/>
      <c r="R184" s="319"/>
      <c r="S184" s="319"/>
      <c r="T184" s="319"/>
      <c r="U184" s="319"/>
      <c r="V184" s="319"/>
    </row>
    <row r="185" spans="1:22" s="279" customFormat="1" ht="15" customHeight="1">
      <c r="A185" s="270"/>
      <c r="B185" s="274"/>
      <c r="C185" s="275"/>
      <c r="D185" s="313" t="s">
        <v>549</v>
      </c>
      <c r="E185" s="317">
        <v>1523</v>
      </c>
      <c r="F185" s="271">
        <f t="shared" si="3"/>
        <v>0</v>
      </c>
      <c r="G185" s="276"/>
      <c r="H185" s="276"/>
      <c r="I185" s="276"/>
      <c r="J185" s="276"/>
      <c r="K185" s="276"/>
      <c r="L185" s="276"/>
      <c r="M185" s="276"/>
      <c r="N185" s="276"/>
      <c r="O185" s="323"/>
      <c r="P185" s="889"/>
      <c r="Q185" s="319"/>
      <c r="R185" s="319"/>
      <c r="S185" s="319"/>
      <c r="T185" s="319"/>
      <c r="U185" s="319"/>
      <c r="V185" s="319"/>
    </row>
    <row r="186" spans="1:22" s="279" customFormat="1" ht="15" customHeight="1">
      <c r="A186" s="270" t="s">
        <v>195</v>
      </c>
      <c r="B186" s="274">
        <v>882116</v>
      </c>
      <c r="C186" s="275" t="s">
        <v>262</v>
      </c>
      <c r="D186" s="316" t="s">
        <v>522</v>
      </c>
      <c r="E186" s="317"/>
      <c r="F186" s="271">
        <f t="shared" si="3"/>
        <v>1700</v>
      </c>
      <c r="G186" s="276"/>
      <c r="H186" s="276"/>
      <c r="I186" s="276"/>
      <c r="J186" s="276"/>
      <c r="K186" s="276">
        <v>1700</v>
      </c>
      <c r="L186" s="276"/>
      <c r="M186" s="276"/>
      <c r="N186" s="276"/>
      <c r="O186" s="323"/>
      <c r="P186" s="889"/>
      <c r="Q186" s="319"/>
      <c r="R186" s="319"/>
      <c r="S186" s="319"/>
      <c r="T186" s="319"/>
      <c r="U186" s="319"/>
      <c r="V186" s="319"/>
    </row>
    <row r="187" spans="1:22" s="279" customFormat="1" ht="15" customHeight="1">
      <c r="A187" s="270"/>
      <c r="B187" s="274"/>
      <c r="C187" s="275"/>
      <c r="D187" s="313" t="s">
        <v>473</v>
      </c>
      <c r="E187" s="317"/>
      <c r="F187" s="271">
        <f t="shared" si="3"/>
        <v>1700</v>
      </c>
      <c r="G187" s="276"/>
      <c r="H187" s="276"/>
      <c r="I187" s="276"/>
      <c r="J187" s="276"/>
      <c r="K187" s="276">
        <v>1700</v>
      </c>
      <c r="L187" s="276"/>
      <c r="M187" s="276"/>
      <c r="N187" s="276"/>
      <c r="O187" s="323"/>
      <c r="P187" s="889"/>
      <c r="Q187" s="319"/>
      <c r="R187" s="319"/>
      <c r="S187" s="319"/>
      <c r="T187" s="319"/>
      <c r="U187" s="319"/>
      <c r="V187" s="319"/>
    </row>
    <row r="188" spans="1:22" s="279" customFormat="1" ht="15" customHeight="1">
      <c r="A188" s="270"/>
      <c r="B188" s="274"/>
      <c r="C188" s="275"/>
      <c r="D188" s="313" t="s">
        <v>549</v>
      </c>
      <c r="E188" s="317"/>
      <c r="F188" s="271">
        <f t="shared" si="3"/>
        <v>4200</v>
      </c>
      <c r="G188" s="276"/>
      <c r="H188" s="276"/>
      <c r="I188" s="276"/>
      <c r="J188" s="276"/>
      <c r="K188" s="276">
        <v>4200</v>
      </c>
      <c r="L188" s="276"/>
      <c r="M188" s="276"/>
      <c r="N188" s="276"/>
      <c r="O188" s="323"/>
      <c r="P188" s="889"/>
      <c r="Q188" s="319"/>
      <c r="R188" s="319"/>
      <c r="S188" s="319"/>
      <c r="T188" s="319"/>
      <c r="U188" s="319"/>
      <c r="V188" s="319"/>
    </row>
    <row r="189" spans="1:22" s="279" customFormat="1" ht="15" customHeight="1">
      <c r="A189" s="270" t="s">
        <v>189</v>
      </c>
      <c r="B189" s="274">
        <v>882119</v>
      </c>
      <c r="C189" s="275" t="s">
        <v>34</v>
      </c>
      <c r="D189" s="316" t="s">
        <v>522</v>
      </c>
      <c r="E189" s="317">
        <v>300</v>
      </c>
      <c r="F189" s="271">
        <f t="shared" si="3"/>
        <v>0</v>
      </c>
      <c r="G189" s="276"/>
      <c r="H189" s="276"/>
      <c r="I189" s="276"/>
      <c r="J189" s="276"/>
      <c r="K189" s="276"/>
      <c r="L189" s="276"/>
      <c r="M189" s="276"/>
      <c r="N189" s="276"/>
      <c r="O189" s="323"/>
      <c r="P189" s="889"/>
      <c r="Q189" s="319"/>
      <c r="R189" s="319"/>
      <c r="S189" s="319"/>
      <c r="T189" s="319"/>
      <c r="U189" s="319"/>
      <c r="V189" s="319"/>
    </row>
    <row r="190" spans="1:22" s="279" customFormat="1" ht="15" customHeight="1">
      <c r="A190" s="270"/>
      <c r="B190" s="274"/>
      <c r="C190" s="275"/>
      <c r="D190" s="313" t="s">
        <v>473</v>
      </c>
      <c r="E190" s="317">
        <v>300</v>
      </c>
      <c r="F190" s="271">
        <f t="shared" si="3"/>
        <v>0</v>
      </c>
      <c r="G190" s="276"/>
      <c r="H190" s="276"/>
      <c r="I190" s="276"/>
      <c r="J190" s="276"/>
      <c r="K190" s="276"/>
      <c r="L190" s="276"/>
      <c r="M190" s="276"/>
      <c r="N190" s="276"/>
      <c r="O190" s="323"/>
      <c r="P190" s="889"/>
      <c r="Q190" s="319"/>
      <c r="R190" s="319"/>
      <c r="S190" s="319"/>
      <c r="T190" s="319"/>
      <c r="U190" s="319"/>
      <c r="V190" s="319"/>
    </row>
    <row r="191" spans="1:22" s="279" customFormat="1" ht="15" customHeight="1">
      <c r="A191" s="270"/>
      <c r="B191" s="274"/>
      <c r="C191" s="275"/>
      <c r="D191" s="313" t="s">
        <v>549</v>
      </c>
      <c r="E191" s="317">
        <v>300</v>
      </c>
      <c r="F191" s="271">
        <f t="shared" si="3"/>
        <v>0</v>
      </c>
      <c r="G191" s="276"/>
      <c r="H191" s="276"/>
      <c r="I191" s="276"/>
      <c r="J191" s="276"/>
      <c r="K191" s="276"/>
      <c r="L191" s="276"/>
      <c r="M191" s="276"/>
      <c r="N191" s="276"/>
      <c r="O191" s="323"/>
      <c r="P191" s="889"/>
      <c r="Q191" s="319"/>
      <c r="R191" s="319"/>
      <c r="S191" s="319"/>
      <c r="T191" s="319"/>
      <c r="U191" s="319"/>
      <c r="V191" s="319"/>
    </row>
    <row r="192" spans="1:22" s="279" customFormat="1" ht="15" customHeight="1">
      <c r="A192" s="270" t="s">
        <v>189</v>
      </c>
      <c r="B192" s="274">
        <v>882122</v>
      </c>
      <c r="C192" s="275" t="s">
        <v>29</v>
      </c>
      <c r="D192" s="316" t="s">
        <v>522</v>
      </c>
      <c r="E192" s="317"/>
      <c r="F192" s="271">
        <f t="shared" si="3"/>
        <v>16000</v>
      </c>
      <c r="G192" s="276"/>
      <c r="H192" s="276"/>
      <c r="I192" s="276"/>
      <c r="J192" s="276"/>
      <c r="K192" s="276">
        <v>16000</v>
      </c>
      <c r="L192" s="276"/>
      <c r="M192" s="276"/>
      <c r="N192" s="276"/>
      <c r="O192" s="323"/>
      <c r="P192" s="889"/>
      <c r="Q192" s="319"/>
      <c r="R192" s="319"/>
      <c r="S192" s="319"/>
      <c r="T192" s="319"/>
      <c r="U192" s="319"/>
      <c r="V192" s="319"/>
    </row>
    <row r="193" spans="1:22" s="279" customFormat="1" ht="15" customHeight="1">
      <c r="A193" s="270"/>
      <c r="B193" s="274"/>
      <c r="C193" s="275"/>
      <c r="D193" s="313" t="s">
        <v>473</v>
      </c>
      <c r="E193" s="317"/>
      <c r="F193" s="271">
        <f t="shared" si="3"/>
        <v>16000</v>
      </c>
      <c r="G193" s="276"/>
      <c r="H193" s="276"/>
      <c r="I193" s="276"/>
      <c r="J193" s="276"/>
      <c r="K193" s="276">
        <v>16000</v>
      </c>
      <c r="L193" s="276"/>
      <c r="M193" s="276"/>
      <c r="N193" s="276"/>
      <c r="O193" s="323"/>
      <c r="P193" s="889"/>
      <c r="Q193" s="319"/>
      <c r="R193" s="319"/>
      <c r="S193" s="319"/>
      <c r="T193" s="319"/>
      <c r="U193" s="319"/>
      <c r="V193" s="319"/>
    </row>
    <row r="194" spans="1:22" s="279" customFormat="1" ht="15" customHeight="1">
      <c r="A194" s="270"/>
      <c r="B194" s="274"/>
      <c r="C194" s="275"/>
      <c r="D194" s="313" t="s">
        <v>549</v>
      </c>
      <c r="E194" s="317"/>
      <c r="F194" s="271">
        <f t="shared" si="3"/>
        <v>18500</v>
      </c>
      <c r="G194" s="276"/>
      <c r="H194" s="276"/>
      <c r="I194" s="276"/>
      <c r="J194" s="276"/>
      <c r="K194" s="276">
        <v>18500</v>
      </c>
      <c r="L194" s="276"/>
      <c r="M194" s="276"/>
      <c r="N194" s="276"/>
      <c r="O194" s="323"/>
      <c r="P194" s="889"/>
      <c r="Q194" s="319"/>
      <c r="R194" s="319"/>
      <c r="S194" s="319"/>
      <c r="T194" s="319"/>
      <c r="U194" s="319"/>
      <c r="V194" s="319"/>
    </row>
    <row r="195" spans="1:22" s="279" customFormat="1" ht="15" customHeight="1">
      <c r="A195" s="270" t="s">
        <v>189</v>
      </c>
      <c r="B195" s="274">
        <v>882123</v>
      </c>
      <c r="C195" s="275" t="s">
        <v>30</v>
      </c>
      <c r="D195" s="316" t="s">
        <v>522</v>
      </c>
      <c r="E195" s="317"/>
      <c r="F195" s="271">
        <f t="shared" si="3"/>
        <v>2500</v>
      </c>
      <c r="G195" s="272"/>
      <c r="H195" s="272"/>
      <c r="I195" s="272"/>
      <c r="J195" s="272"/>
      <c r="K195" s="272">
        <v>2500</v>
      </c>
      <c r="L195" s="272"/>
      <c r="M195" s="272"/>
      <c r="N195" s="272"/>
      <c r="O195" s="318"/>
      <c r="P195" s="889"/>
      <c r="Q195" s="319"/>
      <c r="R195" s="319"/>
      <c r="S195" s="319"/>
      <c r="T195" s="319"/>
      <c r="U195" s="319"/>
      <c r="V195" s="319"/>
    </row>
    <row r="196" spans="1:22" s="279" customFormat="1" ht="15" customHeight="1">
      <c r="A196" s="270"/>
      <c r="B196" s="274"/>
      <c r="C196" s="275"/>
      <c r="D196" s="313" t="s">
        <v>473</v>
      </c>
      <c r="E196" s="317"/>
      <c r="F196" s="271">
        <f t="shared" si="3"/>
        <v>2500</v>
      </c>
      <c r="G196" s="272"/>
      <c r="H196" s="272"/>
      <c r="I196" s="272"/>
      <c r="J196" s="272"/>
      <c r="K196" s="272">
        <v>2500</v>
      </c>
      <c r="L196" s="272"/>
      <c r="M196" s="272"/>
      <c r="N196" s="272"/>
      <c r="O196" s="318"/>
      <c r="P196" s="889"/>
      <c r="Q196" s="319"/>
      <c r="R196" s="319"/>
      <c r="S196" s="319"/>
      <c r="T196" s="319"/>
      <c r="U196" s="319"/>
      <c r="V196" s="319"/>
    </row>
    <row r="197" spans="1:22" s="279" customFormat="1" ht="15" customHeight="1">
      <c r="A197" s="270"/>
      <c r="B197" s="274"/>
      <c r="C197" s="275"/>
      <c r="D197" s="313" t="s">
        <v>549</v>
      </c>
      <c r="E197" s="317"/>
      <c r="F197" s="271">
        <f t="shared" si="3"/>
        <v>1500</v>
      </c>
      <c r="G197" s="272"/>
      <c r="H197" s="272"/>
      <c r="I197" s="272"/>
      <c r="J197" s="272"/>
      <c r="K197" s="272">
        <v>1500</v>
      </c>
      <c r="L197" s="272"/>
      <c r="M197" s="272"/>
      <c r="N197" s="272"/>
      <c r="O197" s="318"/>
      <c r="P197" s="889"/>
      <c r="Q197" s="319"/>
      <c r="R197" s="319"/>
      <c r="S197" s="319"/>
      <c r="T197" s="319"/>
      <c r="U197" s="319"/>
      <c r="V197" s="319"/>
    </row>
    <row r="198" spans="1:22" s="279" customFormat="1" ht="15" customHeight="1">
      <c r="A198" s="270" t="s">
        <v>189</v>
      </c>
      <c r="B198" s="274">
        <v>882124</v>
      </c>
      <c r="C198" s="275" t="s">
        <v>263</v>
      </c>
      <c r="D198" s="316" t="s">
        <v>522</v>
      </c>
      <c r="E198" s="317"/>
      <c r="F198" s="271">
        <f t="shared" si="3"/>
        <v>4000</v>
      </c>
      <c r="G198" s="272"/>
      <c r="H198" s="272"/>
      <c r="I198" s="272"/>
      <c r="J198" s="272"/>
      <c r="K198" s="272">
        <v>4000</v>
      </c>
      <c r="L198" s="272"/>
      <c r="M198" s="272"/>
      <c r="N198" s="272"/>
      <c r="O198" s="318"/>
      <c r="P198" s="889"/>
      <c r="Q198" s="319"/>
      <c r="R198" s="319"/>
      <c r="S198" s="319"/>
      <c r="T198" s="319"/>
      <c r="U198" s="319"/>
      <c r="V198" s="319"/>
    </row>
    <row r="199" spans="1:22" s="279" customFormat="1" ht="15" customHeight="1">
      <c r="A199" s="270"/>
      <c r="B199" s="274"/>
      <c r="C199" s="275"/>
      <c r="D199" s="313" t="s">
        <v>473</v>
      </c>
      <c r="E199" s="317"/>
      <c r="F199" s="271">
        <f t="shared" si="3"/>
        <v>4000</v>
      </c>
      <c r="G199" s="272"/>
      <c r="H199" s="272"/>
      <c r="I199" s="272"/>
      <c r="J199" s="272"/>
      <c r="K199" s="272">
        <v>4000</v>
      </c>
      <c r="L199" s="272"/>
      <c r="M199" s="272"/>
      <c r="N199" s="272"/>
      <c r="O199" s="318"/>
      <c r="P199" s="889"/>
      <c r="Q199" s="319"/>
      <c r="R199" s="319"/>
      <c r="S199" s="319"/>
      <c r="T199" s="319"/>
      <c r="U199" s="319"/>
      <c r="V199" s="319"/>
    </row>
    <row r="200" spans="1:22" s="279" customFormat="1" ht="15" customHeight="1">
      <c r="A200" s="270"/>
      <c r="B200" s="274"/>
      <c r="C200" s="275"/>
      <c r="D200" s="313" t="s">
        <v>549</v>
      </c>
      <c r="E200" s="317"/>
      <c r="F200" s="271">
        <f t="shared" si="3"/>
        <v>4000</v>
      </c>
      <c r="G200" s="272"/>
      <c r="H200" s="272"/>
      <c r="I200" s="272"/>
      <c r="J200" s="272"/>
      <c r="K200" s="272">
        <v>4000</v>
      </c>
      <c r="L200" s="272"/>
      <c r="M200" s="272"/>
      <c r="N200" s="272"/>
      <c r="O200" s="318"/>
      <c r="P200" s="889"/>
      <c r="Q200" s="319"/>
      <c r="R200" s="319"/>
      <c r="S200" s="319"/>
      <c r="T200" s="319"/>
      <c r="U200" s="319"/>
      <c r="V200" s="319"/>
    </row>
    <row r="201" spans="1:22" s="279" customFormat="1" ht="15" customHeight="1">
      <c r="A201" s="270" t="s">
        <v>195</v>
      </c>
      <c r="B201" s="274">
        <v>882129</v>
      </c>
      <c r="C201" s="275" t="s">
        <v>264</v>
      </c>
      <c r="D201" s="316" t="s">
        <v>522</v>
      </c>
      <c r="E201" s="317"/>
      <c r="F201" s="271">
        <f t="shared" si="3"/>
        <v>4000</v>
      </c>
      <c r="G201" s="276"/>
      <c r="H201" s="276"/>
      <c r="I201" s="276"/>
      <c r="J201" s="276">
        <v>4000</v>
      </c>
      <c r="K201" s="276"/>
      <c r="L201" s="276"/>
      <c r="M201" s="276"/>
      <c r="N201" s="276"/>
      <c r="O201" s="323"/>
      <c r="P201" s="889"/>
      <c r="Q201" s="319"/>
      <c r="R201" s="319"/>
      <c r="S201" s="319"/>
      <c r="T201" s="319"/>
      <c r="U201" s="319"/>
      <c r="V201" s="319"/>
    </row>
    <row r="202" spans="1:22" s="279" customFormat="1" ht="15" customHeight="1">
      <c r="A202" s="270"/>
      <c r="B202" s="274"/>
      <c r="C202" s="275"/>
      <c r="D202" s="313" t="s">
        <v>473</v>
      </c>
      <c r="E202" s="317"/>
      <c r="F202" s="271">
        <f t="shared" si="3"/>
        <v>4000</v>
      </c>
      <c r="G202" s="276"/>
      <c r="H202" s="276"/>
      <c r="I202" s="276"/>
      <c r="J202" s="276">
        <v>4000</v>
      </c>
      <c r="K202" s="276"/>
      <c r="L202" s="276"/>
      <c r="M202" s="276"/>
      <c r="N202" s="276"/>
      <c r="O202" s="323"/>
      <c r="P202" s="889"/>
      <c r="Q202" s="319"/>
      <c r="R202" s="319"/>
      <c r="S202" s="319"/>
      <c r="T202" s="319"/>
      <c r="U202" s="319"/>
      <c r="V202" s="319"/>
    </row>
    <row r="203" spans="1:22" s="279" customFormat="1" ht="15" customHeight="1">
      <c r="A203" s="270"/>
      <c r="B203" s="274"/>
      <c r="C203" s="275"/>
      <c r="D203" s="313" t="s">
        <v>549</v>
      </c>
      <c r="E203" s="317"/>
      <c r="F203" s="271">
        <f t="shared" si="3"/>
        <v>4000</v>
      </c>
      <c r="G203" s="276"/>
      <c r="H203" s="276"/>
      <c r="I203" s="276"/>
      <c r="J203" s="276">
        <v>4000</v>
      </c>
      <c r="K203" s="276"/>
      <c r="L203" s="276"/>
      <c r="M203" s="276"/>
      <c r="N203" s="276"/>
      <c r="O203" s="323"/>
      <c r="P203" s="889"/>
      <c r="Q203" s="319"/>
      <c r="R203" s="319"/>
      <c r="S203" s="319"/>
      <c r="T203" s="319"/>
      <c r="U203" s="319"/>
      <c r="V203" s="319"/>
    </row>
    <row r="204" spans="1:22" s="279" customFormat="1" ht="15" customHeight="1">
      <c r="A204" s="270" t="s">
        <v>195</v>
      </c>
      <c r="B204" s="274">
        <v>882129</v>
      </c>
      <c r="C204" s="275" t="s">
        <v>265</v>
      </c>
      <c r="D204" s="316" t="s">
        <v>522</v>
      </c>
      <c r="E204" s="317"/>
      <c r="F204" s="271">
        <f t="shared" si="3"/>
        <v>150</v>
      </c>
      <c r="G204" s="276"/>
      <c r="H204" s="276"/>
      <c r="I204" s="276"/>
      <c r="J204" s="276"/>
      <c r="K204" s="276">
        <v>150</v>
      </c>
      <c r="L204" s="276"/>
      <c r="M204" s="276"/>
      <c r="N204" s="276"/>
      <c r="O204" s="323"/>
      <c r="P204" s="889"/>
      <c r="Q204" s="319"/>
      <c r="R204" s="319"/>
      <c r="S204" s="319"/>
      <c r="T204" s="319"/>
      <c r="U204" s="319"/>
      <c r="V204" s="319"/>
    </row>
    <row r="205" spans="1:22" s="279" customFormat="1" ht="15" customHeight="1">
      <c r="A205" s="270"/>
      <c r="B205" s="274"/>
      <c r="C205" s="275"/>
      <c r="D205" s="313" t="s">
        <v>473</v>
      </c>
      <c r="E205" s="317"/>
      <c r="F205" s="271">
        <f t="shared" si="3"/>
        <v>150</v>
      </c>
      <c r="G205" s="276"/>
      <c r="H205" s="276"/>
      <c r="I205" s="276"/>
      <c r="J205" s="276"/>
      <c r="K205" s="276">
        <v>150</v>
      </c>
      <c r="L205" s="276"/>
      <c r="M205" s="276"/>
      <c r="N205" s="276"/>
      <c r="O205" s="323"/>
      <c r="P205" s="889"/>
      <c r="Q205" s="319"/>
      <c r="R205" s="319"/>
      <c r="S205" s="319"/>
      <c r="T205" s="319"/>
      <c r="U205" s="319"/>
      <c r="V205" s="319"/>
    </row>
    <row r="206" spans="1:22" s="279" customFormat="1" ht="15" customHeight="1">
      <c r="A206" s="270"/>
      <c r="B206" s="274"/>
      <c r="C206" s="275"/>
      <c r="D206" s="313" t="s">
        <v>549</v>
      </c>
      <c r="E206" s="317"/>
      <c r="F206" s="271">
        <f t="shared" si="3"/>
        <v>150</v>
      </c>
      <c r="G206" s="276"/>
      <c r="H206" s="276"/>
      <c r="I206" s="276"/>
      <c r="J206" s="276"/>
      <c r="K206" s="276">
        <v>150</v>
      </c>
      <c r="L206" s="276"/>
      <c r="M206" s="276"/>
      <c r="N206" s="276"/>
      <c r="O206" s="323"/>
      <c r="P206" s="889"/>
      <c r="Q206" s="319"/>
      <c r="R206" s="319"/>
      <c r="S206" s="319"/>
      <c r="T206" s="319"/>
      <c r="U206" s="319"/>
      <c r="V206" s="319"/>
    </row>
    <row r="207" spans="1:22" s="279" customFormat="1" ht="15" customHeight="1">
      <c r="A207" s="270" t="s">
        <v>195</v>
      </c>
      <c r="B207" s="274">
        <v>882201</v>
      </c>
      <c r="C207" s="275" t="s">
        <v>26</v>
      </c>
      <c r="D207" s="316" t="s">
        <v>522</v>
      </c>
      <c r="E207" s="317">
        <v>7200</v>
      </c>
      <c r="F207" s="271">
        <f t="shared" si="3"/>
        <v>0</v>
      </c>
      <c r="G207" s="276"/>
      <c r="H207" s="276"/>
      <c r="I207" s="276"/>
      <c r="J207" s="276"/>
      <c r="K207" s="276"/>
      <c r="L207" s="276"/>
      <c r="M207" s="276"/>
      <c r="N207" s="276"/>
      <c r="O207" s="323"/>
      <c r="P207" s="889"/>
      <c r="Q207" s="319"/>
      <c r="R207" s="319"/>
      <c r="S207" s="319"/>
      <c r="T207" s="319"/>
      <c r="U207" s="319"/>
      <c r="V207" s="319"/>
    </row>
    <row r="208" spans="1:22" s="279" customFormat="1" ht="15" customHeight="1">
      <c r="A208" s="270"/>
      <c r="B208" s="274"/>
      <c r="C208" s="275"/>
      <c r="D208" s="313" t="s">
        <v>473</v>
      </c>
      <c r="E208" s="317">
        <v>7200</v>
      </c>
      <c r="F208" s="271">
        <f t="shared" si="3"/>
        <v>0</v>
      </c>
      <c r="G208" s="276"/>
      <c r="H208" s="276"/>
      <c r="I208" s="276"/>
      <c r="J208" s="276"/>
      <c r="K208" s="276"/>
      <c r="L208" s="276"/>
      <c r="M208" s="276"/>
      <c r="N208" s="276"/>
      <c r="O208" s="323"/>
      <c r="P208" s="889"/>
      <c r="Q208" s="319"/>
      <c r="R208" s="319"/>
      <c r="S208" s="319"/>
      <c r="T208" s="319"/>
      <c r="U208" s="319"/>
      <c r="V208" s="319"/>
    </row>
    <row r="209" spans="1:22" s="279" customFormat="1" ht="15" customHeight="1">
      <c r="A209" s="270"/>
      <c r="B209" s="274"/>
      <c r="C209" s="275"/>
      <c r="D209" s="313" t="s">
        <v>549</v>
      </c>
      <c r="E209" s="317">
        <v>7200</v>
      </c>
      <c r="F209" s="271">
        <f t="shared" si="3"/>
        <v>0</v>
      </c>
      <c r="G209" s="276"/>
      <c r="H209" s="276"/>
      <c r="I209" s="276"/>
      <c r="J209" s="276"/>
      <c r="K209" s="276"/>
      <c r="L209" s="276"/>
      <c r="M209" s="276"/>
      <c r="N209" s="276"/>
      <c r="O209" s="323"/>
      <c r="P209" s="889"/>
      <c r="Q209" s="319"/>
      <c r="R209" s="319"/>
      <c r="S209" s="319"/>
      <c r="T209" s="319"/>
      <c r="U209" s="319"/>
      <c r="V209" s="319"/>
    </row>
    <row r="210" spans="1:22" s="279" customFormat="1" ht="15" customHeight="1">
      <c r="A210" s="270" t="s">
        <v>195</v>
      </c>
      <c r="B210" s="274">
        <v>882202</v>
      </c>
      <c r="C210" s="275" t="s">
        <v>38</v>
      </c>
      <c r="D210" s="316" t="s">
        <v>522</v>
      </c>
      <c r="E210" s="317"/>
      <c r="F210" s="271">
        <f t="shared" si="3"/>
        <v>2500</v>
      </c>
      <c r="G210" s="276"/>
      <c r="H210" s="276"/>
      <c r="I210" s="276"/>
      <c r="J210" s="276"/>
      <c r="K210" s="276">
        <v>2500</v>
      </c>
      <c r="L210" s="276"/>
      <c r="M210" s="276"/>
      <c r="N210" s="276"/>
      <c r="O210" s="323"/>
      <c r="P210" s="889"/>
      <c r="Q210" s="319"/>
      <c r="R210" s="319"/>
      <c r="S210" s="319"/>
      <c r="T210" s="319"/>
      <c r="U210" s="319"/>
      <c r="V210" s="319"/>
    </row>
    <row r="211" spans="1:22" s="279" customFormat="1" ht="15" customHeight="1">
      <c r="A211" s="270"/>
      <c r="B211" s="274"/>
      <c r="C211" s="275"/>
      <c r="D211" s="313" t="s">
        <v>473</v>
      </c>
      <c r="E211" s="317"/>
      <c r="F211" s="271">
        <f t="shared" si="3"/>
        <v>2500</v>
      </c>
      <c r="G211" s="276"/>
      <c r="H211" s="276"/>
      <c r="I211" s="276"/>
      <c r="J211" s="276"/>
      <c r="K211" s="276">
        <v>2500</v>
      </c>
      <c r="L211" s="276"/>
      <c r="M211" s="276"/>
      <c r="N211" s="276"/>
      <c r="O211" s="323"/>
      <c r="P211" s="889"/>
      <c r="Q211" s="319"/>
      <c r="R211" s="319"/>
      <c r="S211" s="319"/>
      <c r="T211" s="319"/>
      <c r="U211" s="319"/>
      <c r="V211" s="319"/>
    </row>
    <row r="212" spans="1:22" s="279" customFormat="1" ht="15" customHeight="1">
      <c r="A212" s="270"/>
      <c r="B212" s="274"/>
      <c r="C212" s="275"/>
      <c r="D212" s="313" t="s">
        <v>549</v>
      </c>
      <c r="E212" s="317"/>
      <c r="F212" s="271">
        <f t="shared" si="3"/>
        <v>2500</v>
      </c>
      <c r="G212" s="276"/>
      <c r="H212" s="276"/>
      <c r="I212" s="276"/>
      <c r="J212" s="276"/>
      <c r="K212" s="276">
        <v>2500</v>
      </c>
      <c r="L212" s="276"/>
      <c r="M212" s="276"/>
      <c r="N212" s="276"/>
      <c r="O212" s="323"/>
      <c r="P212" s="889"/>
      <c r="Q212" s="319"/>
      <c r="R212" s="319"/>
      <c r="S212" s="319"/>
      <c r="T212" s="319"/>
      <c r="U212" s="319"/>
      <c r="V212" s="319"/>
    </row>
    <row r="213" spans="1:22" s="279" customFormat="1" ht="15" customHeight="1">
      <c r="A213" s="270" t="s">
        <v>189</v>
      </c>
      <c r="B213" s="274">
        <v>882203</v>
      </c>
      <c r="C213" s="275" t="s">
        <v>37</v>
      </c>
      <c r="D213" s="316" t="s">
        <v>522</v>
      </c>
      <c r="E213" s="317"/>
      <c r="F213" s="271">
        <f t="shared" si="3"/>
        <v>2500</v>
      </c>
      <c r="G213" s="276"/>
      <c r="H213" s="276"/>
      <c r="I213" s="276"/>
      <c r="J213" s="276"/>
      <c r="K213" s="276">
        <v>2500</v>
      </c>
      <c r="L213" s="276"/>
      <c r="M213" s="276"/>
      <c r="N213" s="276"/>
      <c r="O213" s="323"/>
      <c r="P213" s="889"/>
      <c r="Q213" s="319"/>
      <c r="R213" s="319"/>
      <c r="S213" s="319"/>
      <c r="T213" s="319"/>
      <c r="U213" s="319"/>
      <c r="V213" s="319"/>
    </row>
    <row r="214" spans="1:22" s="279" customFormat="1" ht="15" customHeight="1">
      <c r="A214" s="270"/>
      <c r="B214" s="274"/>
      <c r="C214" s="275"/>
      <c r="D214" s="313" t="s">
        <v>473</v>
      </c>
      <c r="E214" s="317"/>
      <c r="F214" s="271">
        <f t="shared" si="3"/>
        <v>2500</v>
      </c>
      <c r="G214" s="276"/>
      <c r="H214" s="276"/>
      <c r="I214" s="276"/>
      <c r="J214" s="276"/>
      <c r="K214" s="276">
        <v>2500</v>
      </c>
      <c r="L214" s="276"/>
      <c r="M214" s="276"/>
      <c r="N214" s="276"/>
      <c r="O214" s="323"/>
      <c r="P214" s="889"/>
      <c r="Q214" s="319"/>
      <c r="R214" s="319"/>
      <c r="S214" s="319"/>
      <c r="T214" s="319"/>
      <c r="U214" s="319"/>
      <c r="V214" s="319"/>
    </row>
    <row r="215" spans="1:22" s="279" customFormat="1" ht="15" customHeight="1">
      <c r="A215" s="270"/>
      <c r="B215" s="274"/>
      <c r="C215" s="275"/>
      <c r="D215" s="313" t="s">
        <v>549</v>
      </c>
      <c r="E215" s="317"/>
      <c r="F215" s="271">
        <f t="shared" si="3"/>
        <v>1000</v>
      </c>
      <c r="G215" s="276"/>
      <c r="H215" s="276"/>
      <c r="I215" s="276"/>
      <c r="J215" s="276"/>
      <c r="K215" s="276">
        <v>1000</v>
      </c>
      <c r="L215" s="276"/>
      <c r="M215" s="276"/>
      <c r="N215" s="276"/>
      <c r="O215" s="323"/>
      <c r="P215" s="889"/>
      <c r="Q215" s="319"/>
      <c r="R215" s="319"/>
      <c r="S215" s="319"/>
      <c r="T215" s="319"/>
      <c r="U215" s="319"/>
      <c r="V215" s="319"/>
    </row>
    <row r="216" spans="1:22" s="279" customFormat="1" ht="15" customHeight="1">
      <c r="A216" s="270" t="s">
        <v>189</v>
      </c>
      <c r="B216" s="274">
        <v>889101</v>
      </c>
      <c r="C216" s="275" t="s">
        <v>266</v>
      </c>
      <c r="D216" s="316" t="s">
        <v>522</v>
      </c>
      <c r="E216" s="317"/>
      <c r="F216" s="271">
        <f t="shared" si="3"/>
        <v>7000</v>
      </c>
      <c r="G216" s="276"/>
      <c r="H216" s="276"/>
      <c r="I216" s="276"/>
      <c r="J216" s="276">
        <v>7000</v>
      </c>
      <c r="K216" s="276"/>
      <c r="L216" s="276"/>
      <c r="M216" s="276"/>
      <c r="N216" s="276"/>
      <c r="O216" s="323"/>
      <c r="P216" s="889"/>
      <c r="Q216" s="319"/>
      <c r="R216" s="319"/>
      <c r="S216" s="319"/>
      <c r="T216" s="319"/>
      <c r="U216" s="319"/>
      <c r="V216" s="319"/>
    </row>
    <row r="217" spans="1:22" s="279" customFormat="1" ht="15" customHeight="1">
      <c r="A217" s="270"/>
      <c r="B217" s="274"/>
      <c r="C217" s="275"/>
      <c r="D217" s="313" t="s">
        <v>473</v>
      </c>
      <c r="E217" s="317"/>
      <c r="F217" s="271">
        <f t="shared" si="3"/>
        <v>7000</v>
      </c>
      <c r="G217" s="276"/>
      <c r="H217" s="276"/>
      <c r="I217" s="276"/>
      <c r="J217" s="276">
        <v>7000</v>
      </c>
      <c r="K217" s="276"/>
      <c r="L217" s="276"/>
      <c r="M217" s="276"/>
      <c r="N217" s="276"/>
      <c r="O217" s="323"/>
      <c r="P217" s="889"/>
      <c r="Q217" s="319"/>
      <c r="R217" s="319"/>
      <c r="S217" s="319"/>
      <c r="T217" s="319"/>
      <c r="U217" s="319"/>
      <c r="V217" s="319"/>
    </row>
    <row r="218" spans="1:22" s="279" customFormat="1" ht="15" customHeight="1" thickBot="1">
      <c r="A218" s="890"/>
      <c r="B218" s="891"/>
      <c r="C218" s="892"/>
      <c r="D218" s="920" t="s">
        <v>549</v>
      </c>
      <c r="E218" s="893"/>
      <c r="F218" s="864">
        <f t="shared" si="3"/>
        <v>7000</v>
      </c>
      <c r="G218" s="900"/>
      <c r="H218" s="900"/>
      <c r="I218" s="900"/>
      <c r="J218" s="900">
        <v>7000</v>
      </c>
      <c r="K218" s="900"/>
      <c r="L218" s="900"/>
      <c r="M218" s="900"/>
      <c r="N218" s="900"/>
      <c r="O218" s="901"/>
      <c r="P218" s="896"/>
      <c r="Q218" s="319"/>
      <c r="R218" s="319"/>
      <c r="S218" s="319"/>
      <c r="T218" s="319"/>
      <c r="U218" s="319"/>
      <c r="V218" s="319"/>
    </row>
    <row r="219" spans="1:22" s="279" customFormat="1" ht="15" customHeight="1">
      <c r="A219" s="330" t="s">
        <v>195</v>
      </c>
      <c r="B219" s="897">
        <v>889923</v>
      </c>
      <c r="C219" s="307" t="s">
        <v>267</v>
      </c>
      <c r="D219" s="308" t="s">
        <v>522</v>
      </c>
      <c r="E219" s="309">
        <v>2470</v>
      </c>
      <c r="F219" s="310">
        <f t="shared" si="3"/>
        <v>0</v>
      </c>
      <c r="G219" s="903"/>
      <c r="H219" s="903"/>
      <c r="I219" s="903"/>
      <c r="J219" s="903"/>
      <c r="K219" s="903"/>
      <c r="L219" s="903"/>
      <c r="M219" s="903"/>
      <c r="N219" s="903"/>
      <c r="O219" s="904"/>
      <c r="P219" s="898"/>
      <c r="Q219" s="319"/>
      <c r="R219" s="319"/>
      <c r="S219" s="319"/>
      <c r="T219" s="319"/>
      <c r="U219" s="319"/>
      <c r="V219" s="319"/>
    </row>
    <row r="220" spans="1:22" s="279" customFormat="1" ht="15" customHeight="1">
      <c r="A220" s="270"/>
      <c r="B220" s="274"/>
      <c r="C220" s="275"/>
      <c r="D220" s="313" t="s">
        <v>473</v>
      </c>
      <c r="E220" s="317">
        <v>2470</v>
      </c>
      <c r="F220" s="271">
        <f t="shared" si="3"/>
        <v>0</v>
      </c>
      <c r="G220" s="276"/>
      <c r="H220" s="276"/>
      <c r="I220" s="276"/>
      <c r="J220" s="276"/>
      <c r="K220" s="276"/>
      <c r="L220" s="276"/>
      <c r="M220" s="276"/>
      <c r="N220" s="276"/>
      <c r="O220" s="323"/>
      <c r="P220" s="889"/>
      <c r="Q220" s="319"/>
      <c r="R220" s="319"/>
      <c r="S220" s="319"/>
      <c r="T220" s="319"/>
      <c r="U220" s="319"/>
      <c r="V220" s="319"/>
    </row>
    <row r="221" spans="1:22" s="279" customFormat="1" ht="15" customHeight="1">
      <c r="A221" s="270"/>
      <c r="B221" s="274"/>
      <c r="C221" s="275"/>
      <c r="D221" s="313" t="s">
        <v>549</v>
      </c>
      <c r="E221" s="317">
        <v>2470</v>
      </c>
      <c r="F221" s="271">
        <f t="shared" si="3"/>
        <v>0</v>
      </c>
      <c r="G221" s="276"/>
      <c r="H221" s="276"/>
      <c r="I221" s="276"/>
      <c r="J221" s="276"/>
      <c r="K221" s="276"/>
      <c r="L221" s="276"/>
      <c r="M221" s="276"/>
      <c r="N221" s="276"/>
      <c r="O221" s="323"/>
      <c r="P221" s="889"/>
      <c r="Q221" s="319"/>
      <c r="R221" s="319"/>
      <c r="S221" s="319"/>
      <c r="T221" s="319"/>
      <c r="U221" s="319"/>
      <c r="V221" s="319"/>
    </row>
    <row r="222" spans="1:22" s="279" customFormat="1" ht="15" customHeight="1">
      <c r="A222" s="270" t="s">
        <v>195</v>
      </c>
      <c r="B222" s="274">
        <v>889925</v>
      </c>
      <c r="C222" s="275" t="s">
        <v>268</v>
      </c>
      <c r="D222" s="316" t="s">
        <v>522</v>
      </c>
      <c r="E222" s="317">
        <v>14560</v>
      </c>
      <c r="F222" s="271">
        <f t="shared" si="3"/>
        <v>0</v>
      </c>
      <c r="G222" s="276"/>
      <c r="H222" s="276"/>
      <c r="I222" s="276"/>
      <c r="J222" s="276"/>
      <c r="K222" s="276"/>
      <c r="L222" s="276"/>
      <c r="M222" s="276"/>
      <c r="N222" s="276"/>
      <c r="O222" s="323"/>
      <c r="P222" s="889"/>
      <c r="Q222" s="319"/>
      <c r="R222" s="319"/>
      <c r="S222" s="319"/>
      <c r="T222" s="319"/>
      <c r="U222" s="319"/>
      <c r="V222" s="319"/>
    </row>
    <row r="223" spans="1:22" s="279" customFormat="1" ht="15" customHeight="1">
      <c r="A223" s="270"/>
      <c r="B223" s="274"/>
      <c r="C223" s="275"/>
      <c r="D223" s="313" t="s">
        <v>473</v>
      </c>
      <c r="E223" s="317">
        <v>14560</v>
      </c>
      <c r="F223" s="271">
        <f t="shared" si="3"/>
        <v>0</v>
      </c>
      <c r="G223" s="276"/>
      <c r="H223" s="276"/>
      <c r="I223" s="276"/>
      <c r="J223" s="276"/>
      <c r="K223" s="276"/>
      <c r="L223" s="276"/>
      <c r="M223" s="276"/>
      <c r="N223" s="276"/>
      <c r="O223" s="323"/>
      <c r="P223" s="889"/>
      <c r="Q223" s="319"/>
      <c r="R223" s="319"/>
      <c r="S223" s="319"/>
      <c r="T223" s="319"/>
      <c r="U223" s="319"/>
      <c r="V223" s="319"/>
    </row>
    <row r="224" spans="1:22" s="279" customFormat="1" ht="15" customHeight="1">
      <c r="A224" s="270"/>
      <c r="B224" s="274"/>
      <c r="C224" s="275"/>
      <c r="D224" s="313" t="s">
        <v>549</v>
      </c>
      <c r="E224" s="317">
        <v>14560</v>
      </c>
      <c r="F224" s="271">
        <f t="shared" si="3"/>
        <v>0</v>
      </c>
      <c r="G224" s="276"/>
      <c r="H224" s="276"/>
      <c r="I224" s="276"/>
      <c r="J224" s="276"/>
      <c r="K224" s="276"/>
      <c r="L224" s="276"/>
      <c r="M224" s="276"/>
      <c r="N224" s="276"/>
      <c r="O224" s="323"/>
      <c r="P224" s="889"/>
      <c r="Q224" s="319"/>
      <c r="R224" s="319"/>
      <c r="S224" s="319"/>
      <c r="T224" s="319"/>
      <c r="U224" s="319"/>
      <c r="V224" s="319"/>
    </row>
    <row r="225" spans="1:27" s="324" customFormat="1" ht="15" customHeight="1">
      <c r="A225" s="270" t="s">
        <v>195</v>
      </c>
      <c r="B225" s="274">
        <v>889926</v>
      </c>
      <c r="C225" s="275" t="s">
        <v>294</v>
      </c>
      <c r="D225" s="316" t="s">
        <v>522</v>
      </c>
      <c r="E225" s="317">
        <v>8000</v>
      </c>
      <c r="F225" s="271">
        <f t="shared" si="3"/>
        <v>0</v>
      </c>
      <c r="G225" s="276"/>
      <c r="H225" s="276"/>
      <c r="I225" s="276"/>
      <c r="J225" s="276"/>
      <c r="K225" s="276"/>
      <c r="L225" s="276"/>
      <c r="M225" s="276"/>
      <c r="N225" s="277"/>
      <c r="O225" s="323"/>
      <c r="P225" s="889"/>
      <c r="Q225" s="319"/>
      <c r="R225" s="319"/>
      <c r="S225" s="319"/>
      <c r="T225" s="319"/>
      <c r="U225" s="319"/>
      <c r="V225" s="319"/>
      <c r="W225" s="319"/>
      <c r="X225" s="319"/>
      <c r="Y225" s="319"/>
      <c r="Z225" s="319"/>
      <c r="AA225" s="319"/>
    </row>
    <row r="226" spans="1:16" s="319" customFormat="1" ht="15" customHeight="1">
      <c r="A226" s="270"/>
      <c r="B226" s="274"/>
      <c r="C226" s="275"/>
      <c r="D226" s="313" t="s">
        <v>473</v>
      </c>
      <c r="E226" s="317">
        <v>8000</v>
      </c>
      <c r="F226" s="271">
        <f t="shared" si="3"/>
        <v>0</v>
      </c>
      <c r="G226" s="276"/>
      <c r="H226" s="276"/>
      <c r="I226" s="276"/>
      <c r="J226" s="276"/>
      <c r="K226" s="276"/>
      <c r="L226" s="276"/>
      <c r="M226" s="276"/>
      <c r="N226" s="277"/>
      <c r="O226" s="323"/>
      <c r="P226" s="889"/>
    </row>
    <row r="227" spans="1:16" s="319" customFormat="1" ht="15" customHeight="1">
      <c r="A227" s="270"/>
      <c r="B227" s="274"/>
      <c r="C227" s="275"/>
      <c r="D227" s="313" t="s">
        <v>549</v>
      </c>
      <c r="E227" s="317">
        <v>8000</v>
      </c>
      <c r="F227" s="271">
        <f t="shared" si="3"/>
        <v>0</v>
      </c>
      <c r="G227" s="276"/>
      <c r="H227" s="276"/>
      <c r="I227" s="276"/>
      <c r="J227" s="276"/>
      <c r="K227" s="276"/>
      <c r="L227" s="276"/>
      <c r="M227" s="276"/>
      <c r="N227" s="277"/>
      <c r="O227" s="323"/>
      <c r="P227" s="889"/>
    </row>
    <row r="228" spans="1:16" s="319" customFormat="1" ht="15" customHeight="1">
      <c r="A228" s="270" t="s">
        <v>189</v>
      </c>
      <c r="B228" s="274">
        <v>889935</v>
      </c>
      <c r="C228" s="275" t="s">
        <v>271</v>
      </c>
      <c r="D228" s="316" t="s">
        <v>522</v>
      </c>
      <c r="E228" s="317"/>
      <c r="F228" s="271">
        <f t="shared" si="3"/>
        <v>0</v>
      </c>
      <c r="G228" s="276"/>
      <c r="H228" s="276"/>
      <c r="I228" s="276"/>
      <c r="J228" s="276"/>
      <c r="K228" s="276"/>
      <c r="L228" s="276"/>
      <c r="M228" s="276"/>
      <c r="N228" s="277"/>
      <c r="O228" s="323"/>
      <c r="P228" s="889"/>
    </row>
    <row r="229" spans="1:16" s="319" customFormat="1" ht="15" customHeight="1">
      <c r="A229" s="270"/>
      <c r="B229" s="274"/>
      <c r="C229" s="275"/>
      <c r="D229" s="313" t="s">
        <v>473</v>
      </c>
      <c r="E229" s="317">
        <v>998</v>
      </c>
      <c r="F229" s="271">
        <f t="shared" si="3"/>
        <v>0</v>
      </c>
      <c r="G229" s="276"/>
      <c r="H229" s="276"/>
      <c r="I229" s="276"/>
      <c r="J229" s="276"/>
      <c r="K229" s="276"/>
      <c r="L229" s="276"/>
      <c r="M229" s="276"/>
      <c r="N229" s="277"/>
      <c r="O229" s="323"/>
      <c r="P229" s="889"/>
    </row>
    <row r="230" spans="1:16" s="319" customFormat="1" ht="15" customHeight="1">
      <c r="A230" s="270"/>
      <c r="B230" s="274"/>
      <c r="C230" s="275"/>
      <c r="D230" s="313" t="s">
        <v>549</v>
      </c>
      <c r="E230" s="317">
        <v>998</v>
      </c>
      <c r="F230" s="271">
        <f t="shared" si="3"/>
        <v>0</v>
      </c>
      <c r="G230" s="276"/>
      <c r="H230" s="276"/>
      <c r="I230" s="276"/>
      <c r="J230" s="276"/>
      <c r="K230" s="276"/>
      <c r="L230" s="276"/>
      <c r="M230" s="276"/>
      <c r="N230" s="277"/>
      <c r="O230" s="323"/>
      <c r="P230" s="889"/>
    </row>
    <row r="231" spans="1:22" s="279" customFormat="1" ht="15" customHeight="1">
      <c r="A231" s="270" t="s">
        <v>195</v>
      </c>
      <c r="B231" s="274">
        <v>889942</v>
      </c>
      <c r="C231" s="275" t="s">
        <v>295</v>
      </c>
      <c r="D231" s="316" t="s">
        <v>522</v>
      </c>
      <c r="E231" s="317">
        <v>2500</v>
      </c>
      <c r="F231" s="271">
        <f t="shared" si="3"/>
        <v>3500</v>
      </c>
      <c r="G231" s="276"/>
      <c r="H231" s="276"/>
      <c r="I231" s="276"/>
      <c r="J231" s="276"/>
      <c r="K231" s="276"/>
      <c r="L231" s="276"/>
      <c r="M231" s="276"/>
      <c r="N231" s="276">
        <v>3500</v>
      </c>
      <c r="O231" s="323"/>
      <c r="P231" s="889"/>
      <c r="Q231" s="319"/>
      <c r="R231" s="319"/>
      <c r="S231" s="319"/>
      <c r="T231" s="319"/>
      <c r="U231" s="319"/>
      <c r="V231" s="319"/>
    </row>
    <row r="232" spans="1:22" s="279" customFormat="1" ht="15" customHeight="1">
      <c r="A232" s="270"/>
      <c r="B232" s="274"/>
      <c r="C232" s="275"/>
      <c r="D232" s="313" t="s">
        <v>473</v>
      </c>
      <c r="E232" s="317">
        <v>2500</v>
      </c>
      <c r="F232" s="271">
        <f t="shared" si="3"/>
        <v>3500</v>
      </c>
      <c r="G232" s="276"/>
      <c r="H232" s="276"/>
      <c r="I232" s="276"/>
      <c r="J232" s="276"/>
      <c r="K232" s="276"/>
      <c r="L232" s="276"/>
      <c r="M232" s="276"/>
      <c r="N232" s="276">
        <v>3500</v>
      </c>
      <c r="O232" s="323"/>
      <c r="P232" s="889"/>
      <c r="Q232" s="319"/>
      <c r="R232" s="319"/>
      <c r="S232" s="319"/>
      <c r="T232" s="319"/>
      <c r="U232" s="319"/>
      <c r="V232" s="319"/>
    </row>
    <row r="233" spans="1:22" s="279" customFormat="1" ht="15" customHeight="1">
      <c r="A233" s="270"/>
      <c r="B233" s="274"/>
      <c r="C233" s="275"/>
      <c r="D233" s="313" t="s">
        <v>549</v>
      </c>
      <c r="E233" s="317">
        <v>2500</v>
      </c>
      <c r="F233" s="271">
        <f t="shared" si="3"/>
        <v>3500</v>
      </c>
      <c r="G233" s="276"/>
      <c r="H233" s="276"/>
      <c r="I233" s="276"/>
      <c r="J233" s="276"/>
      <c r="K233" s="276"/>
      <c r="L233" s="276"/>
      <c r="M233" s="276"/>
      <c r="N233" s="276">
        <v>3500</v>
      </c>
      <c r="O233" s="323"/>
      <c r="P233" s="889"/>
      <c r="Q233" s="319"/>
      <c r="R233" s="319"/>
      <c r="S233" s="319"/>
      <c r="T233" s="319"/>
      <c r="U233" s="319"/>
      <c r="V233" s="319"/>
    </row>
    <row r="234" spans="1:22" s="279" customFormat="1" ht="24.75" customHeight="1">
      <c r="A234" s="270" t="s">
        <v>195</v>
      </c>
      <c r="B234" s="274">
        <v>890216</v>
      </c>
      <c r="C234" s="325" t="s">
        <v>296</v>
      </c>
      <c r="D234" s="316" t="s">
        <v>522</v>
      </c>
      <c r="E234" s="317"/>
      <c r="F234" s="271">
        <f t="shared" si="3"/>
        <v>12108</v>
      </c>
      <c r="G234" s="276"/>
      <c r="H234" s="276">
        <v>884</v>
      </c>
      <c r="I234" s="276">
        <v>6524</v>
      </c>
      <c r="J234" s="276">
        <v>700</v>
      </c>
      <c r="K234" s="276">
        <v>4000</v>
      </c>
      <c r="L234" s="276"/>
      <c r="M234" s="276"/>
      <c r="N234" s="276"/>
      <c r="O234" s="323"/>
      <c r="P234" s="889"/>
      <c r="Q234" s="319"/>
      <c r="R234" s="319"/>
      <c r="S234" s="319"/>
      <c r="T234" s="319"/>
      <c r="U234" s="319"/>
      <c r="V234" s="319"/>
    </row>
    <row r="235" spans="1:22" s="279" customFormat="1" ht="16.5" customHeight="1">
      <c r="A235" s="270"/>
      <c r="B235" s="274"/>
      <c r="C235" s="325"/>
      <c r="D235" s="313" t="s">
        <v>473</v>
      </c>
      <c r="E235" s="317"/>
      <c r="F235" s="271">
        <f t="shared" si="3"/>
        <v>12108</v>
      </c>
      <c r="G235" s="276"/>
      <c r="H235" s="276">
        <v>884</v>
      </c>
      <c r="I235" s="276">
        <v>6524</v>
      </c>
      <c r="J235" s="276">
        <v>700</v>
      </c>
      <c r="K235" s="276">
        <v>4000</v>
      </c>
      <c r="L235" s="276"/>
      <c r="M235" s="276"/>
      <c r="N235" s="276"/>
      <c r="O235" s="323"/>
      <c r="P235" s="889"/>
      <c r="Q235" s="319"/>
      <c r="R235" s="319"/>
      <c r="S235" s="319"/>
      <c r="T235" s="319"/>
      <c r="U235" s="319"/>
      <c r="V235" s="319"/>
    </row>
    <row r="236" spans="1:22" s="279" customFormat="1" ht="16.5" customHeight="1">
      <c r="A236" s="270"/>
      <c r="B236" s="274"/>
      <c r="C236" s="325"/>
      <c r="D236" s="313" t="s">
        <v>549</v>
      </c>
      <c r="E236" s="317"/>
      <c r="F236" s="271">
        <f t="shared" si="3"/>
        <v>12108</v>
      </c>
      <c r="G236" s="276"/>
      <c r="H236" s="276">
        <v>884</v>
      </c>
      <c r="I236" s="276">
        <v>6524</v>
      </c>
      <c r="J236" s="276">
        <v>700</v>
      </c>
      <c r="K236" s="276">
        <v>4000</v>
      </c>
      <c r="L236" s="276"/>
      <c r="M236" s="276"/>
      <c r="N236" s="276"/>
      <c r="O236" s="323"/>
      <c r="P236" s="889"/>
      <c r="Q236" s="319"/>
      <c r="R236" s="319"/>
      <c r="S236" s="319"/>
      <c r="T236" s="319"/>
      <c r="U236" s="319"/>
      <c r="V236" s="319"/>
    </row>
    <row r="237" spans="1:22" ht="15" customHeight="1">
      <c r="A237" s="267" t="s">
        <v>189</v>
      </c>
      <c r="B237" s="274">
        <v>890441</v>
      </c>
      <c r="C237" s="275" t="s">
        <v>173</v>
      </c>
      <c r="D237" s="316" t="s">
        <v>522</v>
      </c>
      <c r="E237" s="317"/>
      <c r="F237" s="271">
        <f t="shared" si="3"/>
        <v>0</v>
      </c>
      <c r="G237" s="272"/>
      <c r="H237" s="272"/>
      <c r="I237" s="272"/>
      <c r="J237" s="272"/>
      <c r="K237" s="272"/>
      <c r="L237" s="272"/>
      <c r="M237" s="272"/>
      <c r="N237" s="272"/>
      <c r="O237" s="318"/>
      <c r="P237" s="905"/>
      <c r="Q237" s="326"/>
      <c r="R237" s="326"/>
      <c r="S237" s="326"/>
      <c r="T237" s="326"/>
      <c r="U237" s="326"/>
      <c r="V237" s="326"/>
    </row>
    <row r="238" spans="1:22" ht="15" customHeight="1">
      <c r="A238" s="267"/>
      <c r="B238" s="274"/>
      <c r="C238" s="275"/>
      <c r="D238" s="313" t="s">
        <v>473</v>
      </c>
      <c r="E238" s="317"/>
      <c r="F238" s="271">
        <f t="shared" si="3"/>
        <v>0</v>
      </c>
      <c r="G238" s="272"/>
      <c r="H238" s="272"/>
      <c r="I238" s="272"/>
      <c r="J238" s="272"/>
      <c r="K238" s="272"/>
      <c r="L238" s="272"/>
      <c r="M238" s="272"/>
      <c r="N238" s="272"/>
      <c r="O238" s="318"/>
      <c r="P238" s="905"/>
      <c r="Q238" s="326"/>
      <c r="R238" s="326"/>
      <c r="S238" s="326"/>
      <c r="T238" s="326"/>
      <c r="U238" s="326"/>
      <c r="V238" s="326"/>
    </row>
    <row r="239" spans="1:22" ht="15" customHeight="1">
      <c r="A239" s="267"/>
      <c r="B239" s="274"/>
      <c r="C239" s="275"/>
      <c r="D239" s="313" t="s">
        <v>549</v>
      </c>
      <c r="E239" s="317"/>
      <c r="F239" s="271">
        <f t="shared" si="3"/>
        <v>0</v>
      </c>
      <c r="G239" s="272"/>
      <c r="H239" s="272"/>
      <c r="I239" s="272"/>
      <c r="J239" s="272"/>
      <c r="K239" s="272"/>
      <c r="L239" s="272"/>
      <c r="M239" s="272"/>
      <c r="N239" s="272"/>
      <c r="O239" s="318"/>
      <c r="P239" s="905"/>
      <c r="Q239" s="326"/>
      <c r="R239" s="326"/>
      <c r="S239" s="326"/>
      <c r="T239" s="326"/>
      <c r="U239" s="326"/>
      <c r="V239" s="326"/>
    </row>
    <row r="240" spans="1:22" ht="15" customHeight="1">
      <c r="A240" s="267" t="s">
        <v>189</v>
      </c>
      <c r="B240" s="274">
        <v>890442</v>
      </c>
      <c r="C240" s="275" t="s">
        <v>297</v>
      </c>
      <c r="D240" s="316" t="s">
        <v>522</v>
      </c>
      <c r="E240" s="317">
        <v>40380</v>
      </c>
      <c r="F240" s="271">
        <f t="shared" si="3"/>
        <v>44700</v>
      </c>
      <c r="G240" s="272">
        <v>38062</v>
      </c>
      <c r="H240" s="272">
        <v>5138</v>
      </c>
      <c r="I240" s="272">
        <v>1500</v>
      </c>
      <c r="J240" s="272"/>
      <c r="K240" s="272"/>
      <c r="L240" s="272"/>
      <c r="M240" s="272"/>
      <c r="N240" s="272"/>
      <c r="O240" s="318"/>
      <c r="P240" s="905"/>
      <c r="Q240" s="326"/>
      <c r="R240" s="326"/>
      <c r="S240" s="326"/>
      <c r="T240" s="326"/>
      <c r="U240" s="326"/>
      <c r="V240" s="326"/>
    </row>
    <row r="241" spans="1:22" ht="15" customHeight="1">
      <c r="A241" s="267"/>
      <c r="B241" s="274"/>
      <c r="C241" s="275"/>
      <c r="D241" s="313" t="s">
        <v>473</v>
      </c>
      <c r="E241" s="317">
        <v>40380</v>
      </c>
      <c r="F241" s="271">
        <f t="shared" si="3"/>
        <v>44700</v>
      </c>
      <c r="G241" s="272">
        <v>38062</v>
      </c>
      <c r="H241" s="272">
        <v>5138</v>
      </c>
      <c r="I241" s="272">
        <v>1500</v>
      </c>
      <c r="J241" s="272"/>
      <c r="K241" s="272"/>
      <c r="L241" s="272"/>
      <c r="M241" s="272"/>
      <c r="N241" s="272"/>
      <c r="O241" s="318"/>
      <c r="P241" s="905"/>
      <c r="Q241" s="326"/>
      <c r="R241" s="326"/>
      <c r="S241" s="326"/>
      <c r="T241" s="326"/>
      <c r="U241" s="326"/>
      <c r="V241" s="326"/>
    </row>
    <row r="242" spans="1:22" ht="15" customHeight="1">
      <c r="A242" s="267"/>
      <c r="B242" s="274"/>
      <c r="C242" s="275"/>
      <c r="D242" s="313" t="s">
        <v>549</v>
      </c>
      <c r="E242" s="317">
        <v>40380</v>
      </c>
      <c r="F242" s="271">
        <f t="shared" si="3"/>
        <v>44700</v>
      </c>
      <c r="G242" s="272">
        <v>38062</v>
      </c>
      <c r="H242" s="272">
        <v>5138</v>
      </c>
      <c r="I242" s="272">
        <v>1500</v>
      </c>
      <c r="J242" s="272"/>
      <c r="K242" s="272"/>
      <c r="L242" s="272"/>
      <c r="M242" s="272"/>
      <c r="N242" s="272"/>
      <c r="O242" s="318"/>
      <c r="P242" s="905"/>
      <c r="Q242" s="326"/>
      <c r="R242" s="326"/>
      <c r="S242" s="326"/>
      <c r="T242" s="326"/>
      <c r="U242" s="326"/>
      <c r="V242" s="326"/>
    </row>
    <row r="243" spans="1:22" s="279" customFormat="1" ht="15" customHeight="1">
      <c r="A243" s="270" t="s">
        <v>189</v>
      </c>
      <c r="B243" s="274">
        <v>910501</v>
      </c>
      <c r="C243" s="275" t="s">
        <v>298</v>
      </c>
      <c r="D243" s="316" t="s">
        <v>522</v>
      </c>
      <c r="E243" s="317">
        <v>2000</v>
      </c>
      <c r="F243" s="271">
        <f t="shared" si="3"/>
        <v>131604</v>
      </c>
      <c r="G243" s="276"/>
      <c r="H243" s="276"/>
      <c r="I243" s="276"/>
      <c r="J243" s="276">
        <v>129604</v>
      </c>
      <c r="K243" s="276"/>
      <c r="L243" s="276"/>
      <c r="M243" s="276"/>
      <c r="N243" s="276">
        <v>2000</v>
      </c>
      <c r="O243" s="323"/>
      <c r="P243" s="889"/>
      <c r="Q243" s="319"/>
      <c r="R243" s="319"/>
      <c r="S243" s="319"/>
      <c r="T243" s="319"/>
      <c r="U243" s="319"/>
      <c r="V243" s="319"/>
    </row>
    <row r="244" spans="1:22" s="279" customFormat="1" ht="15" customHeight="1">
      <c r="A244" s="270"/>
      <c r="B244" s="274"/>
      <c r="C244" s="275"/>
      <c r="D244" s="313" t="s">
        <v>473</v>
      </c>
      <c r="E244" s="317">
        <v>2000</v>
      </c>
      <c r="F244" s="271">
        <f aca="true" t="shared" si="4" ref="F244:F260">SUM(G244:P244)</f>
        <v>131824</v>
      </c>
      <c r="G244" s="276"/>
      <c r="H244" s="276"/>
      <c r="I244" s="276">
        <v>170</v>
      </c>
      <c r="J244" s="276">
        <v>129654</v>
      </c>
      <c r="K244" s="276"/>
      <c r="L244" s="276"/>
      <c r="M244" s="276"/>
      <c r="N244" s="276">
        <v>2000</v>
      </c>
      <c r="O244" s="323"/>
      <c r="P244" s="889"/>
      <c r="Q244" s="319"/>
      <c r="R244" s="319"/>
      <c r="S244" s="319"/>
      <c r="T244" s="319"/>
      <c r="U244" s="319"/>
      <c r="V244" s="319"/>
    </row>
    <row r="245" spans="1:22" s="279" customFormat="1" ht="15" customHeight="1">
      <c r="A245" s="270"/>
      <c r="B245" s="274"/>
      <c r="C245" s="275"/>
      <c r="D245" s="313" t="s">
        <v>549</v>
      </c>
      <c r="E245" s="317">
        <v>2000</v>
      </c>
      <c r="F245" s="271">
        <f t="shared" si="4"/>
        <v>147008</v>
      </c>
      <c r="G245" s="276">
        <v>60</v>
      </c>
      <c r="H245" s="276">
        <v>31</v>
      </c>
      <c r="I245" s="276">
        <v>1163</v>
      </c>
      <c r="J245" s="276">
        <v>143754</v>
      </c>
      <c r="K245" s="276"/>
      <c r="L245" s="276"/>
      <c r="M245" s="276"/>
      <c r="N245" s="276">
        <v>2000</v>
      </c>
      <c r="O245" s="323"/>
      <c r="P245" s="889"/>
      <c r="Q245" s="319"/>
      <c r="R245" s="319"/>
      <c r="S245" s="319"/>
      <c r="T245" s="319"/>
      <c r="U245" s="319"/>
      <c r="V245" s="319"/>
    </row>
    <row r="246" spans="1:22" s="279" customFormat="1" ht="15" customHeight="1">
      <c r="A246" s="270" t="s">
        <v>195</v>
      </c>
      <c r="B246" s="274">
        <v>931202</v>
      </c>
      <c r="C246" s="275" t="s">
        <v>299</v>
      </c>
      <c r="D246" s="316" t="s">
        <v>522</v>
      </c>
      <c r="E246" s="317"/>
      <c r="F246" s="271">
        <f t="shared" si="4"/>
        <v>1000</v>
      </c>
      <c r="G246" s="276"/>
      <c r="H246" s="276"/>
      <c r="I246" s="276"/>
      <c r="J246" s="276">
        <v>1000</v>
      </c>
      <c r="K246" s="276"/>
      <c r="L246" s="276"/>
      <c r="M246" s="276"/>
      <c r="N246" s="276"/>
      <c r="O246" s="323"/>
      <c r="P246" s="889"/>
      <c r="Q246" s="319"/>
      <c r="R246" s="319"/>
      <c r="S246" s="319"/>
      <c r="T246" s="319"/>
      <c r="U246" s="319"/>
      <c r="V246" s="319"/>
    </row>
    <row r="247" spans="1:22" s="279" customFormat="1" ht="15" customHeight="1">
      <c r="A247" s="270"/>
      <c r="B247" s="274"/>
      <c r="C247" s="275"/>
      <c r="D247" s="313" t="s">
        <v>473</v>
      </c>
      <c r="E247" s="317"/>
      <c r="F247" s="271">
        <f t="shared" si="4"/>
        <v>1000</v>
      </c>
      <c r="G247" s="276"/>
      <c r="H247" s="276"/>
      <c r="I247" s="276"/>
      <c r="J247" s="276">
        <v>1000</v>
      </c>
      <c r="K247" s="276"/>
      <c r="L247" s="276"/>
      <c r="M247" s="276"/>
      <c r="N247" s="276"/>
      <c r="O247" s="323"/>
      <c r="P247" s="889"/>
      <c r="Q247" s="319"/>
      <c r="R247" s="319"/>
      <c r="S247" s="319"/>
      <c r="T247" s="319"/>
      <c r="U247" s="319"/>
      <c r="V247" s="319"/>
    </row>
    <row r="248" spans="1:22" s="279" customFormat="1" ht="15" customHeight="1">
      <c r="A248" s="270"/>
      <c r="B248" s="274"/>
      <c r="C248" s="275"/>
      <c r="D248" s="313" t="s">
        <v>549</v>
      </c>
      <c r="E248" s="317"/>
      <c r="F248" s="271">
        <f t="shared" si="4"/>
        <v>4500</v>
      </c>
      <c r="G248" s="276"/>
      <c r="H248" s="276"/>
      <c r="I248" s="276"/>
      <c r="J248" s="276">
        <v>4500</v>
      </c>
      <c r="K248" s="276"/>
      <c r="L248" s="276"/>
      <c r="M248" s="276"/>
      <c r="N248" s="276"/>
      <c r="O248" s="323"/>
      <c r="P248" s="889"/>
      <c r="Q248" s="319"/>
      <c r="R248" s="319"/>
      <c r="S248" s="319"/>
      <c r="T248" s="319"/>
      <c r="U248" s="319"/>
      <c r="V248" s="319"/>
    </row>
    <row r="249" spans="1:22" s="279" customFormat="1" ht="15" customHeight="1">
      <c r="A249" s="270" t="s">
        <v>195</v>
      </c>
      <c r="B249" s="274">
        <v>931903</v>
      </c>
      <c r="C249" s="275" t="s">
        <v>300</v>
      </c>
      <c r="D249" s="316" t="s">
        <v>522</v>
      </c>
      <c r="E249" s="317">
        <v>1000</v>
      </c>
      <c r="F249" s="271">
        <f t="shared" si="4"/>
        <v>50945</v>
      </c>
      <c r="G249" s="276"/>
      <c r="H249" s="276">
        <v>1285</v>
      </c>
      <c r="I249" s="276">
        <v>6260</v>
      </c>
      <c r="J249" s="276">
        <v>43400</v>
      </c>
      <c r="K249" s="276"/>
      <c r="L249" s="276"/>
      <c r="M249" s="276"/>
      <c r="N249" s="276"/>
      <c r="O249" s="323"/>
      <c r="P249" s="889"/>
      <c r="Q249" s="319"/>
      <c r="R249" s="319"/>
      <c r="S249" s="319"/>
      <c r="T249" s="319"/>
      <c r="U249" s="319"/>
      <c r="V249" s="319"/>
    </row>
    <row r="250" spans="1:22" s="279" customFormat="1" ht="15" customHeight="1">
      <c r="A250" s="270"/>
      <c r="B250" s="274"/>
      <c r="C250" s="275"/>
      <c r="D250" s="313" t="s">
        <v>473</v>
      </c>
      <c r="E250" s="317">
        <v>1000</v>
      </c>
      <c r="F250" s="271">
        <f t="shared" si="4"/>
        <v>53490</v>
      </c>
      <c r="G250" s="276"/>
      <c r="H250" s="276">
        <v>1285</v>
      </c>
      <c r="I250" s="276">
        <v>7305</v>
      </c>
      <c r="J250" s="276">
        <v>44900</v>
      </c>
      <c r="K250" s="276"/>
      <c r="L250" s="276"/>
      <c r="M250" s="276"/>
      <c r="N250" s="276"/>
      <c r="O250" s="323"/>
      <c r="P250" s="889"/>
      <c r="Q250" s="319"/>
      <c r="R250" s="319"/>
      <c r="S250" s="319"/>
      <c r="T250" s="319"/>
      <c r="U250" s="319"/>
      <c r="V250" s="319"/>
    </row>
    <row r="251" spans="1:22" s="279" customFormat="1" ht="15" customHeight="1">
      <c r="A251" s="270"/>
      <c r="B251" s="274"/>
      <c r="C251" s="275"/>
      <c r="D251" s="313" t="s">
        <v>549</v>
      </c>
      <c r="E251" s="317">
        <v>1000</v>
      </c>
      <c r="F251" s="271">
        <f t="shared" si="4"/>
        <v>54304</v>
      </c>
      <c r="G251" s="276"/>
      <c r="H251" s="276">
        <v>1285</v>
      </c>
      <c r="I251" s="276">
        <v>8019</v>
      </c>
      <c r="J251" s="276">
        <v>45000</v>
      </c>
      <c r="K251" s="276"/>
      <c r="L251" s="276"/>
      <c r="M251" s="276"/>
      <c r="N251" s="276"/>
      <c r="O251" s="323"/>
      <c r="P251" s="889"/>
      <c r="Q251" s="319"/>
      <c r="R251" s="319"/>
      <c r="S251" s="319"/>
      <c r="T251" s="319"/>
      <c r="U251" s="319"/>
      <c r="V251" s="319"/>
    </row>
    <row r="252" spans="1:22" s="279" customFormat="1" ht="15" customHeight="1">
      <c r="A252" s="270" t="s">
        <v>195</v>
      </c>
      <c r="B252" s="274">
        <v>932911</v>
      </c>
      <c r="C252" s="275" t="s">
        <v>301</v>
      </c>
      <c r="D252" s="316" t="s">
        <v>522</v>
      </c>
      <c r="E252" s="317"/>
      <c r="F252" s="271">
        <f t="shared" si="4"/>
        <v>27291</v>
      </c>
      <c r="G252" s="276"/>
      <c r="H252" s="276"/>
      <c r="I252" s="276">
        <v>20300</v>
      </c>
      <c r="J252" s="276"/>
      <c r="K252" s="276"/>
      <c r="L252" s="276"/>
      <c r="M252" s="276">
        <v>4191</v>
      </c>
      <c r="N252" s="277">
        <v>2800</v>
      </c>
      <c r="O252" s="323"/>
      <c r="P252" s="889"/>
      <c r="Q252" s="319"/>
      <c r="R252" s="319"/>
      <c r="S252" s="319"/>
      <c r="T252" s="319"/>
      <c r="U252" s="319"/>
      <c r="V252" s="319"/>
    </row>
    <row r="253" spans="1:22" s="279" customFormat="1" ht="15" customHeight="1">
      <c r="A253" s="270"/>
      <c r="B253" s="274"/>
      <c r="C253" s="275"/>
      <c r="D253" s="313" t="s">
        <v>473</v>
      </c>
      <c r="E253" s="317"/>
      <c r="F253" s="271">
        <f t="shared" si="4"/>
        <v>48599</v>
      </c>
      <c r="G253" s="276"/>
      <c r="H253" s="276"/>
      <c r="I253" s="276">
        <v>20300</v>
      </c>
      <c r="J253" s="276"/>
      <c r="K253" s="276"/>
      <c r="L253" s="276"/>
      <c r="M253" s="276">
        <v>18191</v>
      </c>
      <c r="N253" s="277">
        <v>10108</v>
      </c>
      <c r="O253" s="323"/>
      <c r="P253" s="889"/>
      <c r="Q253" s="319"/>
      <c r="R253" s="319"/>
      <c r="S253" s="319"/>
      <c r="T253" s="319"/>
      <c r="U253" s="319"/>
      <c r="V253" s="319"/>
    </row>
    <row r="254" spans="1:22" s="279" customFormat="1" ht="15" customHeight="1">
      <c r="A254" s="270"/>
      <c r="B254" s="274"/>
      <c r="C254" s="275"/>
      <c r="D254" s="313" t="s">
        <v>549</v>
      </c>
      <c r="E254" s="317"/>
      <c r="F254" s="271">
        <f t="shared" si="4"/>
        <v>48599</v>
      </c>
      <c r="G254" s="276"/>
      <c r="H254" s="276"/>
      <c r="I254" s="276">
        <v>20300</v>
      </c>
      <c r="J254" s="276"/>
      <c r="K254" s="276"/>
      <c r="L254" s="276"/>
      <c r="M254" s="276">
        <v>18191</v>
      </c>
      <c r="N254" s="277">
        <v>10108</v>
      </c>
      <c r="O254" s="323"/>
      <c r="P254" s="889"/>
      <c r="Q254" s="319"/>
      <c r="R254" s="319"/>
      <c r="S254" s="319"/>
      <c r="T254" s="319"/>
      <c r="U254" s="319"/>
      <c r="V254" s="319"/>
    </row>
    <row r="255" spans="1:22" s="279" customFormat="1" ht="15" customHeight="1">
      <c r="A255" s="270" t="s">
        <v>195</v>
      </c>
      <c r="B255" s="274">
        <v>940000</v>
      </c>
      <c r="C255" s="275" t="s">
        <v>302</v>
      </c>
      <c r="D255" s="316" t="s">
        <v>522</v>
      </c>
      <c r="E255" s="317"/>
      <c r="F255" s="271">
        <f t="shared" si="4"/>
        <v>31376</v>
      </c>
      <c r="G255" s="276"/>
      <c r="H255" s="276"/>
      <c r="I255" s="276"/>
      <c r="J255" s="276">
        <v>31376</v>
      </c>
      <c r="K255" s="276"/>
      <c r="L255" s="276"/>
      <c r="M255" s="276"/>
      <c r="N255" s="277"/>
      <c r="O255" s="323"/>
      <c r="P255" s="889"/>
      <c r="Q255" s="319"/>
      <c r="R255" s="319"/>
      <c r="S255" s="319"/>
      <c r="T255" s="319"/>
      <c r="U255" s="319"/>
      <c r="V255" s="319"/>
    </row>
    <row r="256" spans="1:22" s="279" customFormat="1" ht="15" customHeight="1">
      <c r="A256" s="270"/>
      <c r="B256" s="274"/>
      <c r="C256" s="275"/>
      <c r="D256" s="313" t="s">
        <v>473</v>
      </c>
      <c r="E256" s="317"/>
      <c r="F256" s="271">
        <f t="shared" si="4"/>
        <v>30128</v>
      </c>
      <c r="G256" s="276"/>
      <c r="H256" s="276"/>
      <c r="I256" s="276"/>
      <c r="J256" s="276">
        <v>30128</v>
      </c>
      <c r="K256" s="276"/>
      <c r="L256" s="276"/>
      <c r="M256" s="276"/>
      <c r="N256" s="277"/>
      <c r="O256" s="323"/>
      <c r="P256" s="889"/>
      <c r="Q256" s="319"/>
      <c r="R256" s="319"/>
      <c r="S256" s="319"/>
      <c r="T256" s="319"/>
      <c r="U256" s="319"/>
      <c r="V256" s="319"/>
    </row>
    <row r="257" spans="1:22" s="279" customFormat="1" ht="15" customHeight="1">
      <c r="A257" s="270"/>
      <c r="B257" s="274"/>
      <c r="C257" s="275"/>
      <c r="D257" s="313" t="s">
        <v>549</v>
      </c>
      <c r="E257" s="317">
        <v>2291</v>
      </c>
      <c r="F257" s="271">
        <f t="shared" si="4"/>
        <v>30128</v>
      </c>
      <c r="G257" s="276"/>
      <c r="H257" s="276"/>
      <c r="I257" s="276"/>
      <c r="J257" s="276">
        <v>30128</v>
      </c>
      <c r="K257" s="276"/>
      <c r="L257" s="276"/>
      <c r="M257" s="276"/>
      <c r="N257" s="277"/>
      <c r="O257" s="323"/>
      <c r="P257" s="889"/>
      <c r="Q257" s="319"/>
      <c r="R257" s="319"/>
      <c r="S257" s="319"/>
      <c r="T257" s="319"/>
      <c r="U257" s="319"/>
      <c r="V257" s="319"/>
    </row>
    <row r="258" spans="1:22" s="279" customFormat="1" ht="15" customHeight="1">
      <c r="A258" s="270" t="s">
        <v>189</v>
      </c>
      <c r="B258" s="274">
        <v>960302</v>
      </c>
      <c r="C258" s="275" t="s">
        <v>303</v>
      </c>
      <c r="D258" s="316" t="s">
        <v>522</v>
      </c>
      <c r="E258" s="317">
        <v>6961</v>
      </c>
      <c r="F258" s="271">
        <f t="shared" si="4"/>
        <v>14541</v>
      </c>
      <c r="G258" s="272"/>
      <c r="H258" s="272"/>
      <c r="I258" s="272">
        <v>14541</v>
      </c>
      <c r="J258" s="272"/>
      <c r="K258" s="272"/>
      <c r="L258" s="272"/>
      <c r="M258" s="272"/>
      <c r="N258" s="272"/>
      <c r="O258" s="318"/>
      <c r="P258" s="889"/>
      <c r="Q258" s="319"/>
      <c r="R258" s="319"/>
      <c r="S258" s="319"/>
      <c r="T258" s="319"/>
      <c r="U258" s="319"/>
      <c r="V258" s="319"/>
    </row>
    <row r="259" spans="1:22" s="279" customFormat="1" ht="15" customHeight="1">
      <c r="A259" s="270"/>
      <c r="B259" s="280"/>
      <c r="C259" s="281"/>
      <c r="D259" s="313" t="s">
        <v>473</v>
      </c>
      <c r="E259" s="327">
        <v>6961</v>
      </c>
      <c r="F259" s="271">
        <f t="shared" si="4"/>
        <v>14541</v>
      </c>
      <c r="G259" s="283"/>
      <c r="H259" s="283"/>
      <c r="I259" s="283">
        <v>14541</v>
      </c>
      <c r="J259" s="283"/>
      <c r="K259" s="283"/>
      <c r="L259" s="283"/>
      <c r="M259" s="283"/>
      <c r="N259" s="283"/>
      <c r="O259" s="283"/>
      <c r="P259" s="906"/>
      <c r="Q259" s="319"/>
      <c r="R259" s="319"/>
      <c r="S259" s="319"/>
      <c r="T259" s="319"/>
      <c r="U259" s="319"/>
      <c r="V259" s="319"/>
    </row>
    <row r="260" spans="1:22" s="279" customFormat="1" ht="15" customHeight="1">
      <c r="A260" s="270"/>
      <c r="B260" s="280"/>
      <c r="C260" s="865"/>
      <c r="D260" s="313" t="s">
        <v>549</v>
      </c>
      <c r="E260" s="327">
        <v>6961</v>
      </c>
      <c r="F260" s="271">
        <f t="shared" si="4"/>
        <v>14541</v>
      </c>
      <c r="G260" s="283"/>
      <c r="H260" s="283"/>
      <c r="I260" s="283">
        <v>14541</v>
      </c>
      <c r="J260" s="283"/>
      <c r="K260" s="283"/>
      <c r="L260" s="283"/>
      <c r="M260" s="283"/>
      <c r="N260" s="283"/>
      <c r="O260" s="283"/>
      <c r="P260" s="907"/>
      <c r="Q260" s="319"/>
      <c r="R260" s="319"/>
      <c r="S260" s="319"/>
      <c r="T260" s="319"/>
      <c r="U260" s="319"/>
      <c r="V260" s="319"/>
    </row>
    <row r="261" spans="1:22" ht="15" customHeight="1">
      <c r="A261" s="267"/>
      <c r="B261" s="1124" t="s">
        <v>678</v>
      </c>
      <c r="C261" s="1121"/>
      <c r="D261" s="541" t="s">
        <v>521</v>
      </c>
      <c r="E261" s="518">
        <f>SUM(E15+E21+E24+E39+E42+E54+E57+E60+E63+E69+E78+E84+E96+E102+E120+E129+E132+E141+E153+E162+E171+E174+E177+E183+E189+E207+E219+E222+E225+E231+E240+E243+E249+E258)</f>
        <v>7814353</v>
      </c>
      <c r="F261" s="518">
        <f>SUM(F9+F12+F15+F18+F21+F24+F27+F30+F33+F36+F39+F42+F45+F48+F51+F54+F60+F63+F66+F69+F72+F75+F78+F81+F84+F87+F90+F93+F99+F102+F105+F108+F111+F114+F117+F129+F132+F135+F138+F141+F144+F147+F153+F156+F162+F168+F186+F192+F195+F198+F201+F204+F210+F213+F216+F231+F234+F240+F243+F246+F249+F252+F255+F258)</f>
        <v>7814353</v>
      </c>
      <c r="G261" s="518">
        <f>SUM(G36+G54+G72+G93+G147+G240)</f>
        <v>88155</v>
      </c>
      <c r="H261" s="518">
        <f>SUM(H36+H54+H66+H69+H72+H75+H93+H117+H234+H240+H249)</f>
        <v>28033</v>
      </c>
      <c r="I261" s="518">
        <f>SUM(I9+I12+I15+I18+I21+I24+I27+I30+I33+I36+I39+I42+I45+I48+I51+I54+I63+I66+I69+I72+I75+I78+I84+I87+I90+I93+I99+I102+I117+I129+I132+I135+I138+I144+I153+I156+I234+I240+I249+I252+I258)</f>
        <v>690648</v>
      </c>
      <c r="J261" s="518">
        <f>SUM(J21+J24+J27+J78+J81+J90+J93+J102+J114+J132+J141+J144+J162+J168+J201+J216+J234+J243+J246+J249+J255)</f>
        <v>569019</v>
      </c>
      <c r="K261" s="518">
        <f>SUM(K168+K186+K192+K195+K198+K204+K210+K213+K234)</f>
        <v>61350</v>
      </c>
      <c r="L261" s="518">
        <f>SUM(L15+L21+L24+L51+L78+L84)</f>
        <v>118226</v>
      </c>
      <c r="M261" s="518">
        <f>SUM(M15+M21+M24+M54+M60+M63+M78+M84+M90+M93+M132+M252)</f>
        <v>2129489</v>
      </c>
      <c r="N261" s="518">
        <f>SUM(N102+N231+N243+N252)</f>
        <v>131839</v>
      </c>
      <c r="O261" s="518">
        <f>SUM(O15+O21+O24+O54+O63+O84+O108+O111+O141)</f>
        <v>2489934</v>
      </c>
      <c r="P261" s="867">
        <v>1507660</v>
      </c>
      <c r="Q261" s="326"/>
      <c r="R261" s="326"/>
      <c r="S261" s="326"/>
      <c r="T261" s="326"/>
      <c r="U261" s="326"/>
      <c r="V261" s="326"/>
    </row>
    <row r="262" spans="1:22" ht="12.75">
      <c r="A262" s="267"/>
      <c r="B262" s="1124"/>
      <c r="C262" s="1121"/>
      <c r="D262" s="542" t="s">
        <v>473</v>
      </c>
      <c r="E262" s="518">
        <f>SUM(E16+E22+E25+E40+E43+E55+E58+E61+E64+E70+E79+E85+E97+E103+E121+E130+E133+E142+E154+E163+E172+E175+E178+E184+E190+E208+E220+E223+E226+E232+E241+E244+E250+E259+E229)</f>
        <v>8231828</v>
      </c>
      <c r="F262" s="518">
        <f aca="true" t="shared" si="5" ref="F262:P262">SUM(F10+F13+F16+F19+F22+F25+F28+F31+F34+F37+F40+F43+F46+F49+F52+F55+F58+F61+F64+F67+F70+F73+F76+F79+F82+F85+F88+F91+F94+F97+F100+F103+F106+F109+F112+F115+F118+F121+F130+F133+F136+F139+F142+F145+F148+F151+F154+F157+F160+F163+F166+F169+F172+F175+F178+F181+F184+F187+F190+F193+F196+F199+F202+F205+F208+F211+F214+F217+F220+F223+F226+F229+F232+F235+F238+F241+F244+F247+F250+F253+F256+F259)</f>
        <v>8231828</v>
      </c>
      <c r="G262" s="518">
        <f t="shared" si="5"/>
        <v>88657</v>
      </c>
      <c r="H262" s="518">
        <f t="shared" si="5"/>
        <v>31605</v>
      </c>
      <c r="I262" s="518">
        <f t="shared" si="5"/>
        <v>721270</v>
      </c>
      <c r="J262" s="518">
        <f t="shared" si="5"/>
        <v>662341</v>
      </c>
      <c r="K262" s="518">
        <f t="shared" si="5"/>
        <v>61350</v>
      </c>
      <c r="L262" s="518">
        <f t="shared" si="5"/>
        <v>160226</v>
      </c>
      <c r="M262" s="518">
        <f t="shared" si="5"/>
        <v>2660561</v>
      </c>
      <c r="N262" s="518">
        <f t="shared" si="5"/>
        <v>141052</v>
      </c>
      <c r="O262" s="518">
        <f t="shared" si="5"/>
        <v>2127045</v>
      </c>
      <c r="P262" s="867">
        <f t="shared" si="5"/>
        <v>1577721</v>
      </c>
      <c r="Q262" s="326"/>
      <c r="R262" s="326"/>
      <c r="S262" s="326"/>
      <c r="T262" s="326"/>
      <c r="U262" s="326"/>
      <c r="V262" s="326"/>
    </row>
    <row r="263" spans="1:22" ht="12.75">
      <c r="A263" s="267"/>
      <c r="B263" s="721"/>
      <c r="C263" s="722"/>
      <c r="D263" s="921" t="s">
        <v>549</v>
      </c>
      <c r="E263" s="518">
        <f>SUM(E17+E23+E26+E29+E41+E44+E56+E59+E62+E65+E71+E80+E86+E92+E98+E104+E122+E128+E131+E134+E143+E155+E158+E164+E173+E176+E179+E185+E191+E209+E221+E224+E227+E230+E233+E242+E245+E251+E257+E260)</f>
        <v>8353318</v>
      </c>
      <c r="F263" s="518">
        <f>SUM(F11+F14+F17+F20+F23+F26+F29+F32+F35+F38+F41+F44+F47+F50+F53+F56+F59+F62+F65+F68+F71+F74+F77+F80+F83+F86+F89+F92+F95+F98+F101+F104+F107+F110+F113+F116+F119+F122+F131+F134+F137+F140+F143+F146+F149+F152+F155+F158+F161+F164+F167+F170+F173+F176+F179+F182+F185+F188+F191+F194+F197+F200+F203+F206+F209+F212+F215+F218+F221+F224+F227+F230+F233+F236+F239+F242+F245+F248+F251+F254+F257+F260+F125+F128)</f>
        <v>8353318</v>
      </c>
      <c r="G263" s="518">
        <f>SUM(G11+G14+G17+G20+G23+G26+G29+G32+G35+G38+G41+G44+G47+G50+G53+G56+G59+G62+G65+G68+G71+G74+G77+G80+G83+G86+G89+G92+G95+G98+G101+G104+G107+G110+G113+G116+G119+G122+G131+G134+G137+G140+G143+G146+G149+G152+G155+G158+G161+G164+G167+G170+G173+G176+G179+G182+G185+G188+G191+G194+G197+G200+G203+G206+G209+G212+G215+G218+G221+G224+G227+G230+G233+G236+G239+G242+G245+G248+G251+G254+G257+G260)</f>
        <v>88933</v>
      </c>
      <c r="H263" s="518">
        <f>SUM(H11+H14+H17+H20+H23+H26+H29+H32+H35+H38+H41+H44+H47+H50+H53+H56+H59+H62+H65+H68+H71+H74+H77+H80+H83+H86+H89+H92+H95+H98+H101+H104+H107+H110+H113+H116+H119+H122+H131+H134+H137+H140+H143+H146+H149+H152+H155+H158+H161+H164+H167+H170+H173+H176+H179+H182+H185+H188+H191+H194+H197+H200+H203+H206+H209+H212+H215+H218+H221+H224+H227+H230+H233+H236+H239+H242+H245+H248+H251+H254+H257+H260)</f>
        <v>31688</v>
      </c>
      <c r="I263" s="518">
        <f>SUM(I11+I14+I17+I20+I23+I26+I29+I32+I35+I38+I41+I44+I47+I50+I53+I56+I59+I62+I65+I68+I71+I74+I77+I80+I83+I86+I89+I92+I95+I98+I101+I104+I107+I110+I113+I116+I119+I122+I131+I134+I137+I140+I143+I146+I149+I152+I155+I158+I161+I164+I167+I170+I173+I176+I179+I182+I185+I188+I191+I194+I197+I200+I203+I206+I209+I212+I215+I218+I221+I224+I227+I230+I233+I236+I239+I242+I245+I248+I251+I254+I257+I260+I128)</f>
        <v>731841</v>
      </c>
      <c r="J263" s="518">
        <f>SUM(J11+J14+J17+J20+J23+J26+J29+J32+J35+J38+J41+J44+J47+J50+J53+J56+J59+J62+J65+J68+J71+J74+J77+J80+J83+J86+J89+J92+J95+J98+J101+J104+J107+J110+J113+J116+J119+J122+J131+J134+J137+J140+J143+J146+J149+J152+J155+J158+J161+J164+J167+J170+J173+J176+J179+J182+J185+J188+J191+J194+J197+J200+J203+J206+J209+J212+J215+J218+J221+J224+J227+J230+J233+J236+J239+J242+J245+J248+J251+J254+J257+J260)</f>
        <v>707228</v>
      </c>
      <c r="K263" s="518">
        <f>SUM(K11+K14+K17+K20+K23+K26+K29+K32+K35+K38+K41+K44+K47+K50+K53+K56+K59+K62+K65+K68+K71+K74+K77+K80+K83+K86+K89+K92+K95+K98+K101+K104+K107+K110+K113+K116+K119+K122+K131+K134+K137+K140+K143+K146+K149+K152+K155+K158+K161+K164+K167+K170+K173+K176+K179+K182+K185+K188+K191+K194+K197+K200+K203+K206+K209+K212+K215+K218+K221+K224+K227+K230+K233+K236+K239+K242+K245+K248+K251+K254+K257+K260)</f>
        <v>63850</v>
      </c>
      <c r="L263" s="518">
        <f>SUM(L11+L14+L17+L20+L23+L26+L29+L32+L35+L38+L41+L44+L47+L50+L53+L56+L59+L62+L65+L68+L71+L74+L77+L80+L83+L86+L89+L92+L95+L98+L101+L104+L107+L110+L113+L116+L119+L122+L131+L134+L137+L140+L143+L146+L149+L152+L155+L158+L161+L164+L167+L170+L173+L176+L179+L182+L185+L188+L191+L194+L197+L200+L203+L206+L209+L212+L215+L218+L221+L224+L227+L230+L233+L236+L239+L242+L245+L248+L251+L254+L257+L260)</f>
        <v>164174</v>
      </c>
      <c r="M263" s="518">
        <f>SUM(M11+M14+M17+M20+M23+M26+M29+M32+M35+M38+M41+M44+M47+M50+M53+M56+M59+M62+M65+M68+M71+M74+M77+M80+M83+M86+M89+M92+M95+M98+M101+M104+M107+M110+M113+M116+M119+M122+M131+M134+M137+M140+M143+M146+M149+M152+M155+M158+M161+M164+M167+M170+M173+M176+M179+M182+M185+M188+M191+M194+M197+M200+M203+M206+M209+M212+M215+M218+M221+M224+M227+M230+M233+M236+M239+M242+M245+M248+M251+M254+M257+M260+M125)</f>
        <v>2700594</v>
      </c>
      <c r="N263" s="518">
        <f>SUM(N11+N14+N17+N20+N23+N26+N29+N32+N35+N38+N41+N44+N47+N50+N53+N56+N59+N62+N65+N68+N71+N74+N77+N80+N83+N86+N89+N92+N95+N98+N101+N104+N107+N110+N113+N116+N119+N122+N131+N134+N137+N140+N143+N146+N149+N152+N155+N158+N161+N164+N167+N170+N173+N176+N179+N182+N185+N188+N191+N194+N197+N200+N203+N206+N209+N212+N215+N218+N221+N224+N227+N230+N233+N236+N239+N242+N245+N248+N251+N254+N257+N260)</f>
        <v>341380</v>
      </c>
      <c r="O263" s="518">
        <f>SUM(O11+O14+O17+O20+O23+O26+O29+O32+O35+O38+O41+O44+O47+O50+O53+O56+O59+O62+O65+O68+O71+O74+O77+O80+O83+O86+O89+O92+O95+O98+O101+O104+O107+O110+O113+O116+O119+O122+O131+O134+O137+O140+O143+O146+O149+O152+O155+O158+O161+O164+O167+O170+O173+O176+O179+O182+O185+O188+O191+O194+O197+O200+O203+O206+O209+O212+O215+O218+O221+O224+O227+O230+O233+O236+O239+O242+O245+O248+O251+O254+O257+O260)</f>
        <v>2037272</v>
      </c>
      <c r="P263" s="867">
        <f>SUM(P11+P14+P17+P20+P23+P26+P29+P32+P35+P38+P41+P44+P47+P50+P53+P56+P59+P62+P65+P68+P71+P74+P77+P80+P83+P86+P89+P92+P95+P98+P101+P104+P107+P110+P113+P116+P119+P122+P131+P134+P137+P140+P143+P146+P149+P152+P155+P158+P161+P164+P167+P170+P173+P176+P179+P182+P185+P188+P191+P194+P197+P200+P203+P206+P209+P212+P215+P218+P221+P224+P227+P230+P233+P236+P239+P242+P245+P248+P251+P254+P257+P260)</f>
        <v>1486358</v>
      </c>
      <c r="Q263" s="326"/>
      <c r="R263" s="326"/>
      <c r="S263" s="326"/>
      <c r="T263" s="326"/>
      <c r="U263" s="326"/>
      <c r="V263" s="326"/>
    </row>
    <row r="264" spans="1:22" ht="12.75">
      <c r="A264" s="267"/>
      <c r="B264" s="721"/>
      <c r="C264" s="722"/>
      <c r="D264" s="1083"/>
      <c r="E264" s="518"/>
      <c r="F264" s="518"/>
      <c r="G264" s="518"/>
      <c r="H264" s="518"/>
      <c r="I264" s="518"/>
      <c r="J264" s="518"/>
      <c r="K264" s="518"/>
      <c r="L264" s="518"/>
      <c r="M264" s="518"/>
      <c r="N264" s="518"/>
      <c r="O264" s="518"/>
      <c r="P264" s="867"/>
      <c r="Q264" s="326"/>
      <c r="R264" s="326"/>
      <c r="S264" s="326"/>
      <c r="T264" s="326"/>
      <c r="U264" s="326"/>
      <c r="V264" s="326"/>
    </row>
    <row r="265" spans="1:22" ht="12.75">
      <c r="A265" s="267"/>
      <c r="B265" s="1184" t="s">
        <v>304</v>
      </c>
      <c r="C265" s="1185"/>
      <c r="D265" s="542" t="s">
        <v>521</v>
      </c>
      <c r="E265" s="294">
        <f aca="true" t="shared" si="6" ref="E265:P265">SUM(E9+E12+E15+E18+E24+E27+E30+E39+E42+E45+E48+E51+E60+E63+E78+E84+E87+E90+E93+E132+E135+E138+E141+E162+E168+E171+E174+E177+E183+E189+E192+E195+E198+E213+E216+E237+E240+E258+E243)</f>
        <v>3313559</v>
      </c>
      <c r="F265" s="294">
        <f t="shared" si="6"/>
        <v>2185410</v>
      </c>
      <c r="G265" s="294">
        <f t="shared" si="6"/>
        <v>39406</v>
      </c>
      <c r="H265" s="294">
        <f t="shared" si="6"/>
        <v>5501</v>
      </c>
      <c r="I265" s="294">
        <f t="shared" si="6"/>
        <v>460336</v>
      </c>
      <c r="J265" s="294">
        <f t="shared" si="6"/>
        <v>373429</v>
      </c>
      <c r="K265" s="294">
        <f t="shared" si="6"/>
        <v>53000</v>
      </c>
      <c r="L265" s="294">
        <f t="shared" si="6"/>
        <v>49102</v>
      </c>
      <c r="M265" s="294">
        <f t="shared" si="6"/>
        <v>676471</v>
      </c>
      <c r="N265" s="294">
        <f t="shared" si="6"/>
        <v>2000</v>
      </c>
      <c r="O265" s="294">
        <f t="shared" si="6"/>
        <v>526165</v>
      </c>
      <c r="P265" s="355">
        <f t="shared" si="6"/>
        <v>0</v>
      </c>
      <c r="Q265" s="326"/>
      <c r="R265" s="326"/>
      <c r="S265" s="326"/>
      <c r="T265" s="326"/>
      <c r="U265" s="326"/>
      <c r="V265" s="326"/>
    </row>
    <row r="266" spans="1:22" ht="12.75">
      <c r="A266" s="267"/>
      <c r="B266" s="1184"/>
      <c r="C266" s="1185"/>
      <c r="D266" s="542" t="s">
        <v>473</v>
      </c>
      <c r="E266" s="294">
        <f aca="true" t="shared" si="7" ref="E266:P266">SUM(E10+E13+E16+E19+E25+E28+E31+E40+E43+E46+E49+E52+E61+E64+E79+E85+E88+E91+E94+E133+E136+E139+E142+E163+E169+E172+E175+E178+E184+E190+E193+E196+E199+E214+E217+E238+E241+E244+E259+E229)</f>
        <v>3358610</v>
      </c>
      <c r="F266" s="294">
        <f t="shared" si="7"/>
        <v>2308032</v>
      </c>
      <c r="G266" s="294">
        <f t="shared" si="7"/>
        <v>39796</v>
      </c>
      <c r="H266" s="294">
        <f t="shared" si="7"/>
        <v>5596</v>
      </c>
      <c r="I266" s="294">
        <f t="shared" si="7"/>
        <v>481833</v>
      </c>
      <c r="J266" s="294">
        <f t="shared" si="7"/>
        <v>378233</v>
      </c>
      <c r="K266" s="294">
        <f t="shared" si="7"/>
        <v>53000</v>
      </c>
      <c r="L266" s="294">
        <f t="shared" si="7"/>
        <v>50002</v>
      </c>
      <c r="M266" s="294">
        <f t="shared" si="7"/>
        <v>957308</v>
      </c>
      <c r="N266" s="294">
        <f t="shared" si="7"/>
        <v>3905</v>
      </c>
      <c r="O266" s="294">
        <f t="shared" si="7"/>
        <v>338359</v>
      </c>
      <c r="P266" s="355">
        <f t="shared" si="7"/>
        <v>0</v>
      </c>
      <c r="Q266" s="326"/>
      <c r="R266" s="326"/>
      <c r="S266" s="326"/>
      <c r="T266" s="326"/>
      <c r="U266" s="326"/>
      <c r="V266" s="326"/>
    </row>
    <row r="267" spans="1:22" ht="12.75">
      <c r="A267" s="267"/>
      <c r="B267" s="719"/>
      <c r="C267" s="720"/>
      <c r="D267" s="921" t="s">
        <v>549</v>
      </c>
      <c r="E267" s="294">
        <f>SUM(E11+E14+E17+E20+E26+E29+E32+E41+E44+E47+E50+E53+E62+E65+E80+E86+E89+E92+E95+E134+E137+E140+E143+E164+E170+E173+E176+E179+E185+E191+E194+E197+E200+E215+E218+E230+E239+E242+E245+E260)</f>
        <v>3507246</v>
      </c>
      <c r="F267" s="294">
        <f>SUM(F11+F14+F17+F20+F26+F29+F32+F41+F44+F47+F50+F53+F62+F65+F80+F86+F89+F92+F95+F134+F137+F140+F143+F164+F170+F173+F176+F179+F185+F191+F194+F197+F200+F215+F218+F230+F239+F242+F245+F260)</f>
        <v>2609899</v>
      </c>
      <c r="G267" s="294">
        <f aca="true" t="shared" si="8" ref="G267:P267">SUM(G11+G14+G17+G20+G26+G29+G32+G41+G44+G47+G50+G53+G62+G65+G80+G86+G89+G92+G95+G134+G137+G140+G143+G164+G170+G173+G176+G179+G185+G191+G194+G197+G200+G215+G218+G230+G239+G242+G245+G260)</f>
        <v>39856</v>
      </c>
      <c r="H267" s="294">
        <f t="shared" si="8"/>
        <v>5627</v>
      </c>
      <c r="I267" s="294">
        <f t="shared" si="8"/>
        <v>493907</v>
      </c>
      <c r="J267" s="294">
        <f t="shared" si="8"/>
        <v>396604</v>
      </c>
      <c r="K267" s="294">
        <f t="shared" si="8"/>
        <v>53000</v>
      </c>
      <c r="L267" s="294">
        <f t="shared" si="8"/>
        <v>50714</v>
      </c>
      <c r="M267" s="294">
        <f t="shared" si="8"/>
        <v>1013395</v>
      </c>
      <c r="N267" s="294">
        <f t="shared" si="8"/>
        <v>229537</v>
      </c>
      <c r="O267" s="294">
        <f t="shared" si="8"/>
        <v>327259</v>
      </c>
      <c r="P267" s="355">
        <f t="shared" si="8"/>
        <v>0</v>
      </c>
      <c r="Q267" s="326"/>
      <c r="R267" s="326"/>
      <c r="S267" s="326"/>
      <c r="T267" s="326"/>
      <c r="U267" s="326"/>
      <c r="V267" s="326"/>
    </row>
    <row r="268" spans="1:22" ht="12.75">
      <c r="A268" s="267"/>
      <c r="B268" s="719"/>
      <c r="C268" s="720"/>
      <c r="D268" s="1083"/>
      <c r="E268" s="294"/>
      <c r="F268" s="294"/>
      <c r="G268" s="294"/>
      <c r="H268" s="294"/>
      <c r="I268" s="294"/>
      <c r="J268" s="294"/>
      <c r="K268" s="294"/>
      <c r="L268" s="294"/>
      <c r="M268" s="294"/>
      <c r="N268" s="294"/>
      <c r="O268" s="294"/>
      <c r="P268" s="355"/>
      <c r="Q268" s="326"/>
      <c r="R268" s="326"/>
      <c r="S268" s="326"/>
      <c r="T268" s="326"/>
      <c r="U268" s="326"/>
      <c r="V268" s="326"/>
    </row>
    <row r="269" spans="1:22" ht="12.75">
      <c r="A269" s="267"/>
      <c r="B269" s="1184" t="s">
        <v>305</v>
      </c>
      <c r="C269" s="1185"/>
      <c r="D269" s="542" t="s">
        <v>521</v>
      </c>
      <c r="E269" s="294">
        <f aca="true" t="shared" si="9" ref="E269:P269">SUM(E21+E33+E36+E66+E69+E72+E75+E81+E114+E117+E120+E129+E144+E147+E150+E153+E156+E165+E180+E186+E201+E204+E207+E210+E219+E222+E225+E231+E234+E246+E249+E252+E255)</f>
        <v>2392964</v>
      </c>
      <c r="F269" s="294">
        <f t="shared" si="9"/>
        <v>3533254</v>
      </c>
      <c r="G269" s="294">
        <f t="shared" si="9"/>
        <v>10622</v>
      </c>
      <c r="H269" s="294">
        <f t="shared" si="9"/>
        <v>10998</v>
      </c>
      <c r="I269" s="294">
        <f t="shared" si="9"/>
        <v>147194</v>
      </c>
      <c r="J269" s="294">
        <f t="shared" si="9"/>
        <v>192544</v>
      </c>
      <c r="K269" s="294">
        <f t="shared" si="9"/>
        <v>8350</v>
      </c>
      <c r="L269" s="294">
        <f t="shared" si="9"/>
        <v>69124</v>
      </c>
      <c r="M269" s="294">
        <f t="shared" si="9"/>
        <v>1443908</v>
      </c>
      <c r="N269" s="294">
        <f t="shared" si="9"/>
        <v>6300</v>
      </c>
      <c r="O269" s="294">
        <f t="shared" si="9"/>
        <v>1644214</v>
      </c>
      <c r="P269" s="355">
        <f t="shared" si="9"/>
        <v>0</v>
      </c>
      <c r="Q269" s="326"/>
      <c r="R269" s="326"/>
      <c r="S269" s="326"/>
      <c r="T269" s="326"/>
      <c r="U269" s="326"/>
      <c r="V269" s="326"/>
    </row>
    <row r="270" spans="1:22" ht="12.75">
      <c r="A270" s="267"/>
      <c r="B270" s="1184"/>
      <c r="C270" s="1185"/>
      <c r="D270" s="542" t="s">
        <v>473</v>
      </c>
      <c r="E270" s="294">
        <f aca="true" t="shared" si="10" ref="E270:P270">SUM(E22+E34+E37+E67+E70+E73+E76+E82+E115+E118+E121+E130+E145+E148+E151+E154+E157+E160+E166+E181++E187+E202+E205+E208+E211+E220+E223+E226+E232+E235+E247+E250+E253+E256)</f>
        <v>2392964</v>
      </c>
      <c r="F270" s="294">
        <f t="shared" si="10"/>
        <v>3682249</v>
      </c>
      <c r="G270" s="294">
        <f t="shared" si="10"/>
        <v>10734</v>
      </c>
      <c r="H270" s="294">
        <f t="shared" si="10"/>
        <v>11025</v>
      </c>
      <c r="I270" s="294">
        <f t="shared" si="10"/>
        <v>148239</v>
      </c>
      <c r="J270" s="294">
        <f t="shared" si="10"/>
        <v>281062</v>
      </c>
      <c r="K270" s="294">
        <f t="shared" si="10"/>
        <v>8350</v>
      </c>
      <c r="L270" s="294">
        <f t="shared" si="10"/>
        <v>110224</v>
      </c>
      <c r="M270" s="294">
        <f t="shared" si="10"/>
        <v>1647793</v>
      </c>
      <c r="N270" s="294">
        <f t="shared" si="10"/>
        <v>13608</v>
      </c>
      <c r="O270" s="294">
        <f t="shared" si="10"/>
        <v>1451214</v>
      </c>
      <c r="P270" s="355">
        <f t="shared" si="10"/>
        <v>0</v>
      </c>
      <c r="Q270" s="326"/>
      <c r="R270" s="326"/>
      <c r="S270" s="326"/>
      <c r="T270" s="326"/>
      <c r="U270" s="326"/>
      <c r="V270" s="326"/>
    </row>
    <row r="271" spans="1:22" ht="12.75">
      <c r="A271" s="267"/>
      <c r="B271" s="719"/>
      <c r="C271" s="720"/>
      <c r="D271" s="921" t="s">
        <v>549</v>
      </c>
      <c r="E271" s="294">
        <f>SUM(E23+E35+E38+E68+E71+E74+E77+E83+E116+E119+E122+E125+E128+E131+E146+E149+E152+E155+E158+E161+E167+E182+E188+E203+E206+E209+E212+E221+E224+E227+E233+E236+E248+E251+E254+E257)</f>
        <v>2388395</v>
      </c>
      <c r="F271" s="294">
        <f aca="true" t="shared" si="11" ref="F271:P271">SUM(F23+F35+F38+F68+F71+F74+F77+F83+F116+F119+F122+F125+F128+F131+F146+F149+F152+F155+F158+F161+F167+F182+F188+F203+F206+F209+F212+F221+F224+F227+F233+F236+F248+F251+F254+F257)</f>
        <v>3715218</v>
      </c>
      <c r="G271" s="294">
        <f t="shared" si="11"/>
        <v>10950</v>
      </c>
      <c r="H271" s="294">
        <f t="shared" si="11"/>
        <v>11077</v>
      </c>
      <c r="I271" s="294">
        <f t="shared" si="11"/>
        <v>164742</v>
      </c>
      <c r="J271" s="294">
        <f t="shared" si="11"/>
        <v>307578</v>
      </c>
      <c r="K271" s="294">
        <f>SUM(K23+K35+K38+K68+K71+K74+K77+K83+K116+K119+K122+K125+K128+K131+K146+K149+K152+K155+K158+K161+K167+K182+K188+K203+K206+K209+K212+K221+K224+K227+K233+K236+K248+K251+K254+K257)</f>
        <v>10850</v>
      </c>
      <c r="L271" s="294">
        <f t="shared" si="11"/>
        <v>113460</v>
      </c>
      <c r="M271" s="294">
        <f t="shared" si="11"/>
        <v>1631739</v>
      </c>
      <c r="N271" s="294">
        <f t="shared" si="11"/>
        <v>13608</v>
      </c>
      <c r="O271" s="294">
        <f t="shared" si="11"/>
        <v>1451214</v>
      </c>
      <c r="P271" s="355">
        <f t="shared" si="11"/>
        <v>0</v>
      </c>
      <c r="Q271" s="326"/>
      <c r="R271" s="326"/>
      <c r="S271" s="326"/>
      <c r="T271" s="326"/>
      <c r="U271" s="326"/>
      <c r="V271" s="326"/>
    </row>
    <row r="272" spans="1:22" ht="12.75">
      <c r="A272" s="267"/>
      <c r="B272" s="719"/>
      <c r="C272" s="720"/>
      <c r="D272" s="1083"/>
      <c r="E272" s="294"/>
      <c r="F272" s="294"/>
      <c r="G272" s="294"/>
      <c r="H272" s="294"/>
      <c r="I272" s="294"/>
      <c r="J272" s="294"/>
      <c r="K272" s="294"/>
      <c r="L272" s="294"/>
      <c r="M272" s="294"/>
      <c r="N272" s="294"/>
      <c r="O272" s="294"/>
      <c r="P272" s="355"/>
      <c r="Q272" s="326"/>
      <c r="R272" s="326"/>
      <c r="S272" s="326"/>
      <c r="T272" s="326"/>
      <c r="U272" s="326"/>
      <c r="V272" s="326"/>
    </row>
    <row r="273" spans="1:22" ht="12.75">
      <c r="A273" s="267"/>
      <c r="B273" s="1184" t="s">
        <v>306</v>
      </c>
      <c r="C273" s="1185"/>
      <c r="D273" s="542" t="s">
        <v>521</v>
      </c>
      <c r="E273" s="294">
        <f aca="true" t="shared" si="12" ref="E273:P273">SUM(E54+E57+E96+E99+E102+E105+E108+E111)</f>
        <v>2107830</v>
      </c>
      <c r="F273" s="294">
        <f t="shared" si="12"/>
        <v>2095689</v>
      </c>
      <c r="G273" s="294">
        <f t="shared" si="12"/>
        <v>38127</v>
      </c>
      <c r="H273" s="294">
        <f t="shared" si="12"/>
        <v>11534</v>
      </c>
      <c r="I273" s="294">
        <f t="shared" si="12"/>
        <v>83118</v>
      </c>
      <c r="J273" s="294">
        <f t="shared" si="12"/>
        <v>3046</v>
      </c>
      <c r="K273" s="294">
        <f t="shared" si="12"/>
        <v>0</v>
      </c>
      <c r="L273" s="294">
        <f t="shared" si="12"/>
        <v>0</v>
      </c>
      <c r="M273" s="294">
        <f t="shared" si="12"/>
        <v>9110</v>
      </c>
      <c r="N273" s="294">
        <f t="shared" si="12"/>
        <v>123539</v>
      </c>
      <c r="O273" s="294">
        <f t="shared" si="12"/>
        <v>319555</v>
      </c>
      <c r="P273" s="355">
        <f t="shared" si="12"/>
        <v>1507660</v>
      </c>
      <c r="Q273" s="326"/>
      <c r="R273" s="326"/>
      <c r="S273" s="326"/>
      <c r="T273" s="326"/>
      <c r="U273" s="326"/>
      <c r="V273" s="326"/>
    </row>
    <row r="274" spans="1:22" ht="12.75">
      <c r="A274" s="331"/>
      <c r="B274" s="1186"/>
      <c r="C274" s="1187"/>
      <c r="D274" s="790" t="s">
        <v>473</v>
      </c>
      <c r="E274" s="298">
        <f aca="true" t="shared" si="13" ref="E274:P275">SUM(E55+E58+E97+E100+E103+E106+E109+E112)</f>
        <v>2480254</v>
      </c>
      <c r="F274" s="298">
        <f t="shared" si="13"/>
        <v>2241547</v>
      </c>
      <c r="G274" s="298">
        <f t="shared" si="13"/>
        <v>38127</v>
      </c>
      <c r="H274" s="298">
        <f t="shared" si="13"/>
        <v>14984</v>
      </c>
      <c r="I274" s="298">
        <f t="shared" si="13"/>
        <v>91198</v>
      </c>
      <c r="J274" s="298">
        <f t="shared" si="13"/>
        <v>3046</v>
      </c>
      <c r="K274" s="298">
        <f t="shared" si="13"/>
        <v>0</v>
      </c>
      <c r="L274" s="298">
        <f t="shared" si="13"/>
        <v>0</v>
      </c>
      <c r="M274" s="298">
        <f t="shared" si="13"/>
        <v>55460</v>
      </c>
      <c r="N274" s="298">
        <f t="shared" si="13"/>
        <v>123539</v>
      </c>
      <c r="O274" s="298">
        <f t="shared" si="13"/>
        <v>337472</v>
      </c>
      <c r="P274" s="357">
        <f t="shared" si="13"/>
        <v>1577721</v>
      </c>
      <c r="Q274" s="326"/>
      <c r="R274" s="326"/>
      <c r="S274" s="326"/>
      <c r="T274" s="326"/>
      <c r="U274" s="326"/>
      <c r="V274" s="326"/>
    </row>
    <row r="275" spans="1:22" ht="13.5" thickBot="1">
      <c r="A275" s="332"/>
      <c r="B275" s="791"/>
      <c r="C275" s="792"/>
      <c r="D275" s="922" t="s">
        <v>549</v>
      </c>
      <c r="E275" s="866">
        <f t="shared" si="13"/>
        <v>2457677</v>
      </c>
      <c r="F275" s="866">
        <f t="shared" si="13"/>
        <v>2028201</v>
      </c>
      <c r="G275" s="866">
        <f t="shared" si="13"/>
        <v>38127</v>
      </c>
      <c r="H275" s="866">
        <f t="shared" si="13"/>
        <v>14984</v>
      </c>
      <c r="I275" s="866">
        <f t="shared" si="13"/>
        <v>73192</v>
      </c>
      <c r="J275" s="866">
        <f t="shared" si="13"/>
        <v>3046</v>
      </c>
      <c r="K275" s="866">
        <f t="shared" si="13"/>
        <v>0</v>
      </c>
      <c r="L275" s="866">
        <f t="shared" si="13"/>
        <v>0</v>
      </c>
      <c r="M275" s="866">
        <f t="shared" si="13"/>
        <v>55460</v>
      </c>
      <c r="N275" s="866">
        <f t="shared" si="13"/>
        <v>98235</v>
      </c>
      <c r="O275" s="866">
        <f t="shared" si="13"/>
        <v>258799</v>
      </c>
      <c r="P275" s="868">
        <f t="shared" si="13"/>
        <v>1486358</v>
      </c>
      <c r="Q275" s="326"/>
      <c r="R275" s="326"/>
      <c r="S275" s="326"/>
      <c r="T275" s="326"/>
      <c r="U275" s="326"/>
      <c r="V275" s="326"/>
    </row>
    <row r="276" spans="7:22" ht="12.75">
      <c r="G276" s="249"/>
      <c r="H276" s="249"/>
      <c r="I276" s="249"/>
      <c r="J276" s="249"/>
      <c r="K276" s="249"/>
      <c r="L276" s="249"/>
      <c r="M276" s="249"/>
      <c r="N276" s="252"/>
      <c r="O276" s="249"/>
      <c r="P276" s="326"/>
      <c r="Q276" s="326"/>
      <c r="R276" s="326"/>
      <c r="S276" s="326"/>
      <c r="T276" s="326"/>
      <c r="U276" s="326"/>
      <c r="V276" s="326"/>
    </row>
    <row r="277" spans="7:22" ht="12.75">
      <c r="G277" s="249"/>
      <c r="H277" s="249"/>
      <c r="I277" s="249"/>
      <c r="J277" s="249"/>
      <c r="K277" s="249"/>
      <c r="L277" s="249"/>
      <c r="M277" s="249"/>
      <c r="N277" s="252"/>
      <c r="O277" s="249"/>
      <c r="P277" s="326"/>
      <c r="Q277" s="326"/>
      <c r="R277" s="326"/>
      <c r="S277" s="326"/>
      <c r="T277" s="326"/>
      <c r="U277" s="326"/>
      <c r="V277" s="326"/>
    </row>
    <row r="278" spans="7:22" ht="12.75">
      <c r="G278" s="249"/>
      <c r="H278" s="249"/>
      <c r="I278" s="249"/>
      <c r="J278" s="249"/>
      <c r="K278" s="249"/>
      <c r="L278" s="249"/>
      <c r="M278" s="249"/>
      <c r="N278" s="252"/>
      <c r="O278" s="249"/>
      <c r="P278" s="326"/>
      <c r="Q278" s="326"/>
      <c r="R278" s="326"/>
      <c r="S278" s="326"/>
      <c r="T278" s="326"/>
      <c r="U278" s="326"/>
      <c r="V278" s="326"/>
    </row>
    <row r="279" spans="7:22" ht="12.75">
      <c r="G279" s="249"/>
      <c r="H279" s="249"/>
      <c r="I279" s="249"/>
      <c r="J279" s="249"/>
      <c r="K279" s="249"/>
      <c r="L279" s="249"/>
      <c r="M279" s="249"/>
      <c r="N279" s="252"/>
      <c r="O279" s="249"/>
      <c r="P279" s="326"/>
      <c r="Q279" s="326"/>
      <c r="R279" s="326"/>
      <c r="S279" s="326"/>
      <c r="T279" s="326"/>
      <c r="U279" s="326"/>
      <c r="V279" s="326"/>
    </row>
    <row r="280" spans="7:22" ht="12.75">
      <c r="G280" s="249"/>
      <c r="H280" s="249"/>
      <c r="I280" s="249"/>
      <c r="J280" s="249"/>
      <c r="K280" s="249"/>
      <c r="L280" s="249"/>
      <c r="M280" s="249"/>
      <c r="N280" s="252"/>
      <c r="O280" s="249"/>
      <c r="P280" s="326"/>
      <c r="Q280" s="326"/>
      <c r="R280" s="326"/>
      <c r="S280" s="326"/>
      <c r="T280" s="326"/>
      <c r="U280" s="326"/>
      <c r="V280" s="326"/>
    </row>
    <row r="281" spans="7:22" ht="12.75">
      <c r="G281" s="249"/>
      <c r="H281" s="249"/>
      <c r="I281" s="249"/>
      <c r="J281" s="249"/>
      <c r="K281" s="249"/>
      <c r="L281" s="249"/>
      <c r="M281" s="249"/>
      <c r="N281" s="252"/>
      <c r="O281" s="249"/>
      <c r="P281" s="326"/>
      <c r="Q281" s="326"/>
      <c r="R281" s="326"/>
      <c r="S281" s="326"/>
      <c r="T281" s="326"/>
      <c r="U281" s="326"/>
      <c r="V281" s="326"/>
    </row>
    <row r="282" spans="7:22" ht="12.75">
      <c r="G282" s="249"/>
      <c r="H282" s="249"/>
      <c r="I282" s="249"/>
      <c r="J282" s="249"/>
      <c r="K282" s="249"/>
      <c r="L282" s="249"/>
      <c r="M282" s="249"/>
      <c r="N282" s="252"/>
      <c r="O282" s="249"/>
      <c r="P282" s="326"/>
      <c r="Q282" s="326"/>
      <c r="R282" s="326"/>
      <c r="S282" s="326"/>
      <c r="T282" s="326"/>
      <c r="U282" s="326"/>
      <c r="V282" s="326"/>
    </row>
    <row r="283" spans="7:22" ht="12.75">
      <c r="G283" s="249"/>
      <c r="H283" s="249"/>
      <c r="I283" s="249"/>
      <c r="J283" s="249"/>
      <c r="K283" s="249"/>
      <c r="L283" s="249"/>
      <c r="M283" s="249"/>
      <c r="N283" s="252"/>
      <c r="O283" s="249"/>
      <c r="P283" s="326"/>
      <c r="Q283" s="326"/>
      <c r="R283" s="326"/>
      <c r="S283" s="326"/>
      <c r="T283" s="326"/>
      <c r="U283" s="326"/>
      <c r="V283" s="326"/>
    </row>
    <row r="284" spans="7:22" ht="12.75">
      <c r="G284" s="249"/>
      <c r="H284" s="249"/>
      <c r="I284" s="249"/>
      <c r="J284" s="249"/>
      <c r="K284" s="249"/>
      <c r="L284" s="249"/>
      <c r="M284" s="249"/>
      <c r="N284" s="252"/>
      <c r="O284" s="249"/>
      <c r="P284" s="326"/>
      <c r="Q284" s="326"/>
      <c r="R284" s="326"/>
      <c r="S284" s="326"/>
      <c r="T284" s="326"/>
      <c r="U284" s="326"/>
      <c r="V284" s="326"/>
    </row>
    <row r="285" spans="7:22" ht="12.75">
      <c r="G285" s="249"/>
      <c r="H285" s="249"/>
      <c r="I285" s="249"/>
      <c r="J285" s="249"/>
      <c r="K285" s="249"/>
      <c r="L285" s="249"/>
      <c r="M285" s="249"/>
      <c r="N285" s="252"/>
      <c r="O285" s="249"/>
      <c r="P285" s="326"/>
      <c r="Q285" s="326"/>
      <c r="R285" s="326"/>
      <c r="S285" s="326"/>
      <c r="T285" s="326"/>
      <c r="U285" s="326"/>
      <c r="V285" s="326"/>
    </row>
    <row r="286" spans="7:22" ht="12.75">
      <c r="G286" s="249"/>
      <c r="H286" s="249"/>
      <c r="I286" s="249"/>
      <c r="J286" s="249"/>
      <c r="K286" s="249"/>
      <c r="L286" s="249"/>
      <c r="M286" s="249"/>
      <c r="N286" s="252"/>
      <c r="O286" s="249"/>
      <c r="P286" s="326"/>
      <c r="Q286" s="326"/>
      <c r="R286" s="326"/>
      <c r="S286" s="326"/>
      <c r="T286" s="326"/>
      <c r="U286" s="326"/>
      <c r="V286" s="326"/>
    </row>
    <row r="287" spans="7:22" ht="12.75">
      <c r="G287" s="249"/>
      <c r="H287" s="249"/>
      <c r="I287" s="249"/>
      <c r="J287" s="249"/>
      <c r="K287" s="249"/>
      <c r="L287" s="249"/>
      <c r="M287" s="249"/>
      <c r="N287" s="252"/>
      <c r="O287" s="249"/>
      <c r="P287" s="326"/>
      <c r="Q287" s="326"/>
      <c r="R287" s="326"/>
      <c r="S287" s="326"/>
      <c r="T287" s="326"/>
      <c r="U287" s="326"/>
      <c r="V287" s="326"/>
    </row>
    <row r="288" spans="7:22" ht="12.75">
      <c r="G288" s="249"/>
      <c r="H288" s="249"/>
      <c r="I288" s="249"/>
      <c r="J288" s="249"/>
      <c r="K288" s="249"/>
      <c r="L288" s="249"/>
      <c r="M288" s="249"/>
      <c r="N288" s="252"/>
      <c r="O288" s="249"/>
      <c r="P288" s="326"/>
      <c r="Q288" s="326"/>
      <c r="R288" s="326"/>
      <c r="S288" s="326"/>
      <c r="T288" s="326"/>
      <c r="U288" s="326"/>
      <c r="V288" s="326"/>
    </row>
    <row r="289" spans="7:22" ht="12.75">
      <c r="G289" s="249"/>
      <c r="H289" s="249"/>
      <c r="I289" s="249"/>
      <c r="J289" s="249"/>
      <c r="K289" s="249"/>
      <c r="L289" s="249"/>
      <c r="M289" s="249"/>
      <c r="N289" s="252"/>
      <c r="O289" s="249"/>
      <c r="P289" s="326"/>
      <c r="Q289" s="326"/>
      <c r="R289" s="326"/>
      <c r="S289" s="326"/>
      <c r="T289" s="326"/>
      <c r="U289" s="326"/>
      <c r="V289" s="326"/>
    </row>
    <row r="290" spans="7:22" ht="12.75">
      <c r="G290" s="249"/>
      <c r="H290" s="249"/>
      <c r="I290" s="249"/>
      <c r="J290" s="249"/>
      <c r="K290" s="249"/>
      <c r="L290" s="249"/>
      <c r="M290" s="249"/>
      <c r="N290" s="252"/>
      <c r="O290" s="249"/>
      <c r="P290" s="326"/>
      <c r="Q290" s="326"/>
      <c r="R290" s="326"/>
      <c r="S290" s="326"/>
      <c r="T290" s="326"/>
      <c r="U290" s="326"/>
      <c r="V290" s="326"/>
    </row>
    <row r="291" spans="7:22" ht="12.75">
      <c r="G291" s="249"/>
      <c r="H291" s="249"/>
      <c r="I291" s="249"/>
      <c r="J291" s="249"/>
      <c r="K291" s="249"/>
      <c r="L291" s="249"/>
      <c r="M291" s="249"/>
      <c r="N291" s="252"/>
      <c r="O291" s="249"/>
      <c r="P291" s="326"/>
      <c r="Q291" s="326"/>
      <c r="R291" s="326"/>
      <c r="S291" s="326"/>
      <c r="T291" s="326"/>
      <c r="U291" s="326"/>
      <c r="V291" s="326"/>
    </row>
    <row r="292" spans="7:22" ht="12.75">
      <c r="G292" s="249"/>
      <c r="H292" s="249"/>
      <c r="I292" s="249"/>
      <c r="J292" s="249"/>
      <c r="K292" s="249"/>
      <c r="L292" s="249"/>
      <c r="M292" s="249"/>
      <c r="N292" s="252"/>
      <c r="O292" s="249"/>
      <c r="P292" s="326"/>
      <c r="Q292" s="326"/>
      <c r="R292" s="326"/>
      <c r="S292" s="326"/>
      <c r="T292" s="326"/>
      <c r="U292" s="326"/>
      <c r="V292" s="326"/>
    </row>
    <row r="293" spans="7:22" ht="12.75">
      <c r="G293" s="249"/>
      <c r="H293" s="249"/>
      <c r="I293" s="249"/>
      <c r="J293" s="249"/>
      <c r="K293" s="249"/>
      <c r="L293" s="249"/>
      <c r="M293" s="249"/>
      <c r="N293" s="252"/>
      <c r="O293" s="249"/>
      <c r="P293" s="326"/>
      <c r="Q293" s="326"/>
      <c r="R293" s="326"/>
      <c r="S293" s="326"/>
      <c r="T293" s="326"/>
      <c r="U293" s="326"/>
      <c r="V293" s="326"/>
    </row>
    <row r="294" spans="7:22" ht="12.75">
      <c r="G294" s="249"/>
      <c r="H294" s="249"/>
      <c r="I294" s="249"/>
      <c r="J294" s="249"/>
      <c r="K294" s="249"/>
      <c r="L294" s="249"/>
      <c r="M294" s="249"/>
      <c r="N294" s="252"/>
      <c r="O294" s="249"/>
      <c r="P294" s="326"/>
      <c r="Q294" s="326"/>
      <c r="R294" s="326"/>
      <c r="S294" s="326"/>
      <c r="T294" s="326"/>
      <c r="U294" s="326"/>
      <c r="V294" s="326"/>
    </row>
    <row r="295" spans="7:22" ht="12.75">
      <c r="G295" s="249"/>
      <c r="H295" s="249"/>
      <c r="I295" s="249"/>
      <c r="J295" s="249"/>
      <c r="K295" s="249"/>
      <c r="L295" s="249"/>
      <c r="M295" s="249"/>
      <c r="N295" s="252"/>
      <c r="O295" s="249"/>
      <c r="P295" s="326"/>
      <c r="Q295" s="326"/>
      <c r="R295" s="326"/>
      <c r="S295" s="326"/>
      <c r="T295" s="326"/>
      <c r="U295" s="326"/>
      <c r="V295" s="326"/>
    </row>
    <row r="296" spans="7:22" ht="12.75">
      <c r="G296" s="249"/>
      <c r="H296" s="249"/>
      <c r="I296" s="249"/>
      <c r="J296" s="249"/>
      <c r="K296" s="249"/>
      <c r="L296" s="249"/>
      <c r="M296" s="249"/>
      <c r="N296" s="252"/>
      <c r="O296" s="249"/>
      <c r="P296" s="326"/>
      <c r="Q296" s="326"/>
      <c r="R296" s="326"/>
      <c r="S296" s="326"/>
      <c r="T296" s="326"/>
      <c r="U296" s="326"/>
      <c r="V296" s="326"/>
    </row>
    <row r="297" spans="7:22" ht="12.75">
      <c r="G297" s="249"/>
      <c r="H297" s="249"/>
      <c r="I297" s="249"/>
      <c r="J297" s="249"/>
      <c r="K297" s="249"/>
      <c r="L297" s="249"/>
      <c r="M297" s="249"/>
      <c r="N297" s="252"/>
      <c r="O297" s="249"/>
      <c r="P297" s="326"/>
      <c r="Q297" s="326"/>
      <c r="R297" s="326"/>
      <c r="S297" s="326"/>
      <c r="T297" s="326"/>
      <c r="U297" s="326"/>
      <c r="V297" s="326"/>
    </row>
    <row r="298" spans="7:22" ht="12.75">
      <c r="G298" s="249"/>
      <c r="H298" s="249"/>
      <c r="I298" s="249"/>
      <c r="J298" s="249"/>
      <c r="K298" s="249"/>
      <c r="L298" s="249"/>
      <c r="M298" s="249"/>
      <c r="N298" s="252"/>
      <c r="O298" s="249"/>
      <c r="P298" s="326"/>
      <c r="Q298" s="326"/>
      <c r="R298" s="326"/>
      <c r="S298" s="326"/>
      <c r="T298" s="326"/>
      <c r="U298" s="326"/>
      <c r="V298" s="326"/>
    </row>
    <row r="299" spans="7:22" ht="12.75">
      <c r="G299" s="249"/>
      <c r="H299" s="249"/>
      <c r="I299" s="249"/>
      <c r="J299" s="249"/>
      <c r="K299" s="249"/>
      <c r="L299" s="249"/>
      <c r="M299" s="249"/>
      <c r="N299" s="252"/>
      <c r="O299" s="249"/>
      <c r="P299" s="326"/>
      <c r="Q299" s="326"/>
      <c r="R299" s="326"/>
      <c r="S299" s="326"/>
      <c r="T299" s="326"/>
      <c r="U299" s="326"/>
      <c r="V299" s="326"/>
    </row>
    <row r="300" spans="7:22" ht="12.75">
      <c r="G300" s="249"/>
      <c r="H300" s="249"/>
      <c r="I300" s="249"/>
      <c r="J300" s="249"/>
      <c r="K300" s="249"/>
      <c r="L300" s="249"/>
      <c r="M300" s="249"/>
      <c r="N300" s="252"/>
      <c r="O300" s="249"/>
      <c r="P300" s="326"/>
      <c r="Q300" s="326"/>
      <c r="R300" s="326"/>
      <c r="S300" s="326"/>
      <c r="T300" s="326"/>
      <c r="U300" s="326"/>
      <c r="V300" s="326"/>
    </row>
    <row r="301" spans="7:22" ht="12.75">
      <c r="G301" s="249"/>
      <c r="H301" s="249"/>
      <c r="I301" s="249"/>
      <c r="J301" s="249"/>
      <c r="K301" s="249"/>
      <c r="L301" s="249"/>
      <c r="M301" s="249"/>
      <c r="N301" s="252"/>
      <c r="O301" s="249"/>
      <c r="P301" s="326"/>
      <c r="Q301" s="326"/>
      <c r="R301" s="326"/>
      <c r="S301" s="326"/>
      <c r="T301" s="326"/>
      <c r="U301" s="326"/>
      <c r="V301" s="326"/>
    </row>
    <row r="302" spans="7:22" ht="12.75">
      <c r="G302" s="249"/>
      <c r="H302" s="249"/>
      <c r="I302" s="249"/>
      <c r="J302" s="249"/>
      <c r="K302" s="249"/>
      <c r="L302" s="249"/>
      <c r="M302" s="249"/>
      <c r="N302" s="252"/>
      <c r="O302" s="249"/>
      <c r="P302" s="326"/>
      <c r="Q302" s="326"/>
      <c r="R302" s="326"/>
      <c r="S302" s="326"/>
      <c r="T302" s="326"/>
      <c r="U302" s="326"/>
      <c r="V302" s="326"/>
    </row>
    <row r="303" spans="7:22" ht="12.75">
      <c r="G303" s="249"/>
      <c r="H303" s="249"/>
      <c r="I303" s="249"/>
      <c r="J303" s="249"/>
      <c r="K303" s="249"/>
      <c r="L303" s="249"/>
      <c r="M303" s="249"/>
      <c r="N303" s="252"/>
      <c r="O303" s="249"/>
      <c r="P303" s="326"/>
      <c r="Q303" s="326"/>
      <c r="R303" s="326"/>
      <c r="S303" s="326"/>
      <c r="T303" s="326"/>
      <c r="U303" s="326"/>
      <c r="V303" s="326"/>
    </row>
    <row r="304" spans="7:22" ht="12.75">
      <c r="G304" s="249"/>
      <c r="H304" s="249"/>
      <c r="I304" s="249"/>
      <c r="J304" s="249"/>
      <c r="K304" s="249"/>
      <c r="L304" s="249"/>
      <c r="M304" s="249"/>
      <c r="N304" s="252"/>
      <c r="O304" s="249"/>
      <c r="P304" s="326"/>
      <c r="Q304" s="326"/>
      <c r="R304" s="326"/>
      <c r="S304" s="326"/>
      <c r="T304" s="326"/>
      <c r="U304" s="326"/>
      <c r="V304" s="326"/>
    </row>
    <row r="305" spans="7:22" ht="12.75">
      <c r="G305" s="249"/>
      <c r="H305" s="249"/>
      <c r="I305" s="249"/>
      <c r="J305" s="249"/>
      <c r="K305" s="249"/>
      <c r="L305" s="249"/>
      <c r="M305" s="249"/>
      <c r="N305" s="252"/>
      <c r="O305" s="249"/>
      <c r="P305" s="326"/>
      <c r="Q305" s="326"/>
      <c r="R305" s="326"/>
      <c r="S305" s="326"/>
      <c r="T305" s="326"/>
      <c r="U305" s="326"/>
      <c r="V305" s="326"/>
    </row>
    <row r="306" spans="7:22" ht="12.75">
      <c r="G306" s="249"/>
      <c r="H306" s="249"/>
      <c r="I306" s="249"/>
      <c r="J306" s="249"/>
      <c r="K306" s="249"/>
      <c r="L306" s="249"/>
      <c r="M306" s="249"/>
      <c r="N306" s="252"/>
      <c r="O306" s="249"/>
      <c r="P306" s="326"/>
      <c r="Q306" s="326"/>
      <c r="R306" s="326"/>
      <c r="S306" s="326"/>
      <c r="T306" s="326"/>
      <c r="U306" s="326"/>
      <c r="V306" s="326"/>
    </row>
    <row r="307" spans="7:22" ht="12.75">
      <c r="G307" s="249"/>
      <c r="H307" s="249"/>
      <c r="I307" s="249"/>
      <c r="J307" s="249"/>
      <c r="K307" s="249"/>
      <c r="L307" s="249"/>
      <c r="M307" s="249"/>
      <c r="N307" s="252"/>
      <c r="O307" s="249"/>
      <c r="P307" s="326"/>
      <c r="Q307" s="326"/>
      <c r="R307" s="326"/>
      <c r="S307" s="326"/>
      <c r="T307" s="326"/>
      <c r="U307" s="326"/>
      <c r="V307" s="326"/>
    </row>
    <row r="308" spans="7:22" ht="12.75">
      <c r="G308" s="249"/>
      <c r="H308" s="249"/>
      <c r="I308" s="249"/>
      <c r="J308" s="249"/>
      <c r="K308" s="249"/>
      <c r="L308" s="249"/>
      <c r="M308" s="249"/>
      <c r="N308" s="252"/>
      <c r="O308" s="249"/>
      <c r="P308" s="326"/>
      <c r="Q308" s="326"/>
      <c r="R308" s="326"/>
      <c r="S308" s="326"/>
      <c r="T308" s="326"/>
      <c r="U308" s="326"/>
      <c r="V308" s="326"/>
    </row>
    <row r="309" spans="7:22" ht="12.75">
      <c r="G309" s="249"/>
      <c r="H309" s="249"/>
      <c r="I309" s="249"/>
      <c r="J309" s="249"/>
      <c r="K309" s="249"/>
      <c r="L309" s="249"/>
      <c r="M309" s="249"/>
      <c r="N309" s="252"/>
      <c r="O309" s="249"/>
      <c r="P309" s="326"/>
      <c r="Q309" s="326"/>
      <c r="R309" s="326"/>
      <c r="S309" s="326"/>
      <c r="T309" s="326"/>
      <c r="U309" s="326"/>
      <c r="V309" s="326"/>
    </row>
    <row r="310" spans="7:22" ht="12.75">
      <c r="G310" s="249"/>
      <c r="H310" s="249"/>
      <c r="I310" s="249"/>
      <c r="J310" s="249"/>
      <c r="K310" s="249"/>
      <c r="L310" s="249"/>
      <c r="M310" s="249"/>
      <c r="N310" s="252"/>
      <c r="O310" s="249"/>
      <c r="P310" s="326"/>
      <c r="Q310" s="326"/>
      <c r="R310" s="326"/>
      <c r="S310" s="326"/>
      <c r="T310" s="326"/>
      <c r="U310" s="326"/>
      <c r="V310" s="326"/>
    </row>
    <row r="311" spans="7:22" ht="12.75">
      <c r="G311" s="249"/>
      <c r="H311" s="249"/>
      <c r="I311" s="249"/>
      <c r="J311" s="249"/>
      <c r="K311" s="249"/>
      <c r="L311" s="249"/>
      <c r="M311" s="249"/>
      <c r="N311" s="252"/>
      <c r="O311" s="249"/>
      <c r="P311" s="326"/>
      <c r="Q311" s="326"/>
      <c r="R311" s="326"/>
      <c r="S311" s="326"/>
      <c r="T311" s="326"/>
      <c r="U311" s="326"/>
      <c r="V311" s="326"/>
    </row>
    <row r="312" spans="7:22" ht="12.75">
      <c r="G312" s="249"/>
      <c r="H312" s="249"/>
      <c r="I312" s="249"/>
      <c r="J312" s="249"/>
      <c r="K312" s="249"/>
      <c r="L312" s="249"/>
      <c r="M312" s="249"/>
      <c r="N312" s="252"/>
      <c r="O312" s="249"/>
      <c r="P312" s="326"/>
      <c r="Q312" s="326"/>
      <c r="R312" s="326"/>
      <c r="S312" s="326"/>
      <c r="T312" s="326"/>
      <c r="U312" s="326"/>
      <c r="V312" s="326"/>
    </row>
    <row r="313" spans="7:22" ht="12.75">
      <c r="G313" s="249"/>
      <c r="H313" s="249"/>
      <c r="I313" s="249"/>
      <c r="J313" s="249"/>
      <c r="K313" s="249"/>
      <c r="L313" s="249"/>
      <c r="M313" s="249"/>
      <c r="N313" s="252"/>
      <c r="O313" s="249"/>
      <c r="P313" s="326"/>
      <c r="Q313" s="326"/>
      <c r="R313" s="326"/>
      <c r="S313" s="326"/>
      <c r="T313" s="326"/>
      <c r="U313" s="326"/>
      <c r="V313" s="326"/>
    </row>
    <row r="314" spans="7:22" ht="12.75">
      <c r="G314" s="249"/>
      <c r="H314" s="249"/>
      <c r="I314" s="249"/>
      <c r="J314" s="249"/>
      <c r="K314" s="249"/>
      <c r="L314" s="249"/>
      <c r="M314" s="249"/>
      <c r="N314" s="252"/>
      <c r="O314" s="249"/>
      <c r="P314" s="326"/>
      <c r="Q314" s="326"/>
      <c r="R314" s="326"/>
      <c r="S314" s="326"/>
      <c r="T314" s="326"/>
      <c r="U314" s="326"/>
      <c r="V314" s="326"/>
    </row>
    <row r="315" spans="7:22" ht="12.75">
      <c r="G315" s="249"/>
      <c r="H315" s="249"/>
      <c r="I315" s="249"/>
      <c r="J315" s="249"/>
      <c r="K315" s="249"/>
      <c r="L315" s="249"/>
      <c r="M315" s="249"/>
      <c r="N315" s="252"/>
      <c r="O315" s="249"/>
      <c r="P315" s="326"/>
      <c r="Q315" s="326"/>
      <c r="R315" s="326"/>
      <c r="S315" s="326"/>
      <c r="T315" s="326"/>
      <c r="U315" s="326"/>
      <c r="V315" s="326"/>
    </row>
    <row r="316" spans="7:22" ht="12.75">
      <c r="G316" s="249"/>
      <c r="H316" s="249"/>
      <c r="I316" s="249"/>
      <c r="J316" s="249"/>
      <c r="K316" s="249"/>
      <c r="L316" s="249"/>
      <c r="M316" s="249"/>
      <c r="N316" s="252"/>
      <c r="O316" s="249"/>
      <c r="P316" s="326"/>
      <c r="Q316" s="326"/>
      <c r="R316" s="326"/>
      <c r="S316" s="326"/>
      <c r="T316" s="326"/>
      <c r="U316" s="326"/>
      <c r="V316" s="326"/>
    </row>
    <row r="317" spans="7:22" ht="12.75">
      <c r="G317" s="249"/>
      <c r="H317" s="249"/>
      <c r="I317" s="249"/>
      <c r="J317" s="249"/>
      <c r="K317" s="249"/>
      <c r="L317" s="249"/>
      <c r="M317" s="249"/>
      <c r="N317" s="252"/>
      <c r="O317" s="249"/>
      <c r="P317" s="326"/>
      <c r="Q317" s="326"/>
      <c r="R317" s="326"/>
      <c r="S317" s="326"/>
      <c r="T317" s="326"/>
      <c r="U317" s="326"/>
      <c r="V317" s="326"/>
    </row>
    <row r="318" spans="7:22" ht="12.75">
      <c r="G318" s="249"/>
      <c r="H318" s="249"/>
      <c r="I318" s="249"/>
      <c r="J318" s="249"/>
      <c r="K318" s="249"/>
      <c r="L318" s="249"/>
      <c r="M318" s="249"/>
      <c r="N318" s="252"/>
      <c r="O318" s="249"/>
      <c r="P318" s="326"/>
      <c r="Q318" s="326"/>
      <c r="R318" s="326"/>
      <c r="S318" s="326"/>
      <c r="T318" s="326"/>
      <c r="U318" s="326"/>
      <c r="V318" s="326"/>
    </row>
    <row r="319" spans="7:22" ht="12.75">
      <c r="G319" s="249"/>
      <c r="H319" s="249"/>
      <c r="I319" s="249"/>
      <c r="J319" s="249"/>
      <c r="K319" s="249"/>
      <c r="L319" s="249"/>
      <c r="M319" s="249"/>
      <c r="N319" s="252"/>
      <c r="O319" s="249"/>
      <c r="P319" s="326"/>
      <c r="Q319" s="326"/>
      <c r="R319" s="326"/>
      <c r="S319" s="326"/>
      <c r="T319" s="326"/>
      <c r="U319" s="326"/>
      <c r="V319" s="326"/>
    </row>
    <row r="320" spans="7:22" ht="12.75">
      <c r="G320" s="249"/>
      <c r="H320" s="249"/>
      <c r="I320" s="249"/>
      <c r="J320" s="249"/>
      <c r="K320" s="249"/>
      <c r="L320" s="249"/>
      <c r="M320" s="249"/>
      <c r="N320" s="252"/>
      <c r="O320" s="249"/>
      <c r="P320" s="326"/>
      <c r="Q320" s="326"/>
      <c r="R320" s="326"/>
      <c r="S320" s="326"/>
      <c r="T320" s="326"/>
      <c r="U320" s="326"/>
      <c r="V320" s="326"/>
    </row>
    <row r="321" spans="7:22" ht="12.75">
      <c r="G321" s="249"/>
      <c r="H321" s="249"/>
      <c r="I321" s="249"/>
      <c r="J321" s="249"/>
      <c r="K321" s="249"/>
      <c r="L321" s="249"/>
      <c r="M321" s="249"/>
      <c r="N321" s="252"/>
      <c r="O321" s="249"/>
      <c r="P321" s="326"/>
      <c r="Q321" s="326"/>
      <c r="R321" s="326"/>
      <c r="S321" s="326"/>
      <c r="T321" s="326"/>
      <c r="U321" s="326"/>
      <c r="V321" s="326"/>
    </row>
    <row r="322" spans="7:22" ht="12.75">
      <c r="G322" s="249"/>
      <c r="H322" s="249"/>
      <c r="I322" s="249"/>
      <c r="J322" s="249"/>
      <c r="K322" s="249"/>
      <c r="L322" s="249"/>
      <c r="M322" s="249"/>
      <c r="N322" s="252"/>
      <c r="O322" s="249"/>
      <c r="P322" s="326"/>
      <c r="Q322" s="326"/>
      <c r="R322" s="326"/>
      <c r="S322" s="326"/>
      <c r="T322" s="326"/>
      <c r="U322" s="326"/>
      <c r="V322" s="326"/>
    </row>
    <row r="323" spans="7:22" ht="12.75">
      <c r="G323" s="249"/>
      <c r="H323" s="249"/>
      <c r="I323" s="249"/>
      <c r="J323" s="249"/>
      <c r="K323" s="249"/>
      <c r="L323" s="249"/>
      <c r="M323" s="249"/>
      <c r="N323" s="252"/>
      <c r="O323" s="249"/>
      <c r="P323" s="326"/>
      <c r="Q323" s="326"/>
      <c r="R323" s="326"/>
      <c r="S323" s="326"/>
      <c r="T323" s="326"/>
      <c r="U323" s="326"/>
      <c r="V323" s="326"/>
    </row>
    <row r="324" spans="7:22" ht="12.75">
      <c r="G324" s="249"/>
      <c r="H324" s="249"/>
      <c r="I324" s="249"/>
      <c r="J324" s="249"/>
      <c r="K324" s="249"/>
      <c r="L324" s="249"/>
      <c r="M324" s="249"/>
      <c r="N324" s="252"/>
      <c r="O324" s="249"/>
      <c r="P324" s="326"/>
      <c r="Q324" s="326"/>
      <c r="R324" s="326"/>
      <c r="S324" s="326"/>
      <c r="T324" s="326"/>
      <c r="U324" s="326"/>
      <c r="V324" s="326"/>
    </row>
    <row r="325" spans="7:22" ht="12.75">
      <c r="G325" s="249"/>
      <c r="H325" s="249"/>
      <c r="I325" s="249"/>
      <c r="J325" s="249"/>
      <c r="K325" s="249"/>
      <c r="L325" s="249"/>
      <c r="M325" s="249"/>
      <c r="N325" s="252"/>
      <c r="O325" s="249"/>
      <c r="P325" s="326"/>
      <c r="Q325" s="326"/>
      <c r="R325" s="326"/>
      <c r="S325" s="326"/>
      <c r="T325" s="326"/>
      <c r="U325" s="326"/>
      <c r="V325" s="326"/>
    </row>
    <row r="326" spans="7:22" ht="12.75">
      <c r="G326" s="249"/>
      <c r="H326" s="249"/>
      <c r="I326" s="249"/>
      <c r="J326" s="249"/>
      <c r="K326" s="249"/>
      <c r="L326" s="249"/>
      <c r="M326" s="249"/>
      <c r="N326" s="252"/>
      <c r="O326" s="249"/>
      <c r="P326" s="326"/>
      <c r="Q326" s="326"/>
      <c r="R326" s="326"/>
      <c r="S326" s="326"/>
      <c r="T326" s="326"/>
      <c r="U326" s="326"/>
      <c r="V326" s="326"/>
    </row>
    <row r="327" spans="7:22" ht="12.75">
      <c r="G327" s="249"/>
      <c r="H327" s="249"/>
      <c r="I327" s="249"/>
      <c r="J327" s="249"/>
      <c r="K327" s="249"/>
      <c r="L327" s="249"/>
      <c r="M327" s="249"/>
      <c r="N327" s="252"/>
      <c r="O327" s="249"/>
      <c r="P327" s="326"/>
      <c r="Q327" s="326"/>
      <c r="R327" s="326"/>
      <c r="S327" s="326"/>
      <c r="T327" s="326"/>
      <c r="U327" s="326"/>
      <c r="V327" s="326"/>
    </row>
    <row r="328" spans="7:22" ht="12.75">
      <c r="G328" s="249"/>
      <c r="H328" s="249"/>
      <c r="I328" s="249"/>
      <c r="J328" s="249"/>
      <c r="K328" s="249"/>
      <c r="L328" s="249"/>
      <c r="M328" s="249"/>
      <c r="N328" s="252"/>
      <c r="O328" s="249"/>
      <c r="P328" s="326"/>
      <c r="Q328" s="326"/>
      <c r="R328" s="326"/>
      <c r="S328" s="326"/>
      <c r="T328" s="326"/>
      <c r="U328" s="326"/>
      <c r="V328" s="326"/>
    </row>
    <row r="329" spans="7:22" ht="12.75">
      <c r="G329" s="249"/>
      <c r="H329" s="249"/>
      <c r="I329" s="249"/>
      <c r="J329" s="249"/>
      <c r="K329" s="249"/>
      <c r="L329" s="249"/>
      <c r="M329" s="249"/>
      <c r="N329" s="252"/>
      <c r="O329" s="249"/>
      <c r="P329" s="326"/>
      <c r="Q329" s="326"/>
      <c r="R329" s="326"/>
      <c r="S329" s="326"/>
      <c r="T329" s="326"/>
      <c r="U329" s="326"/>
      <c r="V329" s="326"/>
    </row>
    <row r="330" spans="7:22" ht="12.75">
      <c r="G330" s="249"/>
      <c r="H330" s="249"/>
      <c r="I330" s="249"/>
      <c r="J330" s="249"/>
      <c r="K330" s="249"/>
      <c r="L330" s="249"/>
      <c r="M330" s="249"/>
      <c r="N330" s="252"/>
      <c r="O330" s="249"/>
      <c r="P330" s="326"/>
      <c r="Q330" s="326"/>
      <c r="R330" s="326"/>
      <c r="S330" s="326"/>
      <c r="T330" s="326"/>
      <c r="U330" s="326"/>
      <c r="V330" s="326"/>
    </row>
    <row r="331" spans="16:22" ht="12.75">
      <c r="P331" s="326"/>
      <c r="Q331" s="326"/>
      <c r="R331" s="326"/>
      <c r="S331" s="326"/>
      <c r="T331" s="326"/>
      <c r="U331" s="326"/>
      <c r="V331" s="326"/>
    </row>
    <row r="332" spans="16:22" ht="12.75">
      <c r="P332" s="326"/>
      <c r="Q332" s="326"/>
      <c r="R332" s="326"/>
      <c r="S332" s="326"/>
      <c r="T332" s="326"/>
      <c r="U332" s="326"/>
      <c r="V332" s="326"/>
    </row>
    <row r="333" spans="16:22" ht="12.75">
      <c r="P333" s="326"/>
      <c r="Q333" s="326"/>
      <c r="R333" s="326"/>
      <c r="S333" s="326"/>
      <c r="T333" s="326"/>
      <c r="U333" s="326"/>
      <c r="V333" s="326"/>
    </row>
    <row r="334" spans="16:22" ht="12.75">
      <c r="P334" s="326"/>
      <c r="Q334" s="326"/>
      <c r="R334" s="326"/>
      <c r="S334" s="326"/>
      <c r="T334" s="326"/>
      <c r="U334" s="326"/>
      <c r="V334" s="326"/>
    </row>
    <row r="335" spans="16:22" ht="12.75">
      <c r="P335" s="326"/>
      <c r="Q335" s="326"/>
      <c r="R335" s="326"/>
      <c r="S335" s="326"/>
      <c r="T335" s="326"/>
      <c r="U335" s="326"/>
      <c r="V335" s="326"/>
    </row>
    <row r="336" spans="16:22" ht="12.75">
      <c r="P336" s="326"/>
      <c r="Q336" s="326"/>
      <c r="R336" s="326"/>
      <c r="S336" s="326"/>
      <c r="T336" s="326"/>
      <c r="U336" s="326"/>
      <c r="V336" s="326"/>
    </row>
    <row r="337" spans="16:22" ht="12.75">
      <c r="P337" s="326"/>
      <c r="Q337" s="326"/>
      <c r="R337" s="326"/>
      <c r="S337" s="326"/>
      <c r="T337" s="326"/>
      <c r="U337" s="326"/>
      <c r="V337" s="326"/>
    </row>
    <row r="338" spans="16:22" ht="12.75">
      <c r="P338" s="326"/>
      <c r="Q338" s="326"/>
      <c r="R338" s="326"/>
      <c r="S338" s="326"/>
      <c r="T338" s="326"/>
      <c r="U338" s="326"/>
      <c r="V338" s="326"/>
    </row>
    <row r="339" spans="16:22" ht="12.75">
      <c r="P339" s="326"/>
      <c r="Q339" s="326"/>
      <c r="R339" s="326"/>
      <c r="S339" s="326"/>
      <c r="T339" s="326"/>
      <c r="U339" s="326"/>
      <c r="V339" s="326"/>
    </row>
    <row r="340" spans="16:22" ht="12.75">
      <c r="P340" s="326"/>
      <c r="Q340" s="326"/>
      <c r="R340" s="326"/>
      <c r="S340" s="326"/>
      <c r="T340" s="326"/>
      <c r="U340" s="326"/>
      <c r="V340" s="326"/>
    </row>
    <row r="341" spans="16:22" ht="12.75">
      <c r="P341" s="326"/>
      <c r="Q341" s="326"/>
      <c r="R341" s="326"/>
      <c r="S341" s="326"/>
      <c r="T341" s="326"/>
      <c r="U341" s="326"/>
      <c r="V341" s="326"/>
    </row>
    <row r="342" spans="16:22" ht="12.75">
      <c r="P342" s="326"/>
      <c r="Q342" s="326"/>
      <c r="R342" s="326"/>
      <c r="S342" s="326"/>
      <c r="T342" s="326"/>
      <c r="U342" s="326"/>
      <c r="V342" s="326"/>
    </row>
    <row r="343" spans="16:22" ht="12.75">
      <c r="P343" s="326"/>
      <c r="Q343" s="326"/>
      <c r="R343" s="326"/>
      <c r="S343" s="326"/>
      <c r="T343" s="326"/>
      <c r="U343" s="326"/>
      <c r="V343" s="326"/>
    </row>
    <row r="344" spans="16:22" ht="12.75">
      <c r="P344" s="326"/>
      <c r="Q344" s="326"/>
      <c r="R344" s="326"/>
      <c r="S344" s="326"/>
      <c r="T344" s="326"/>
      <c r="U344" s="326"/>
      <c r="V344" s="326"/>
    </row>
    <row r="345" spans="16:22" ht="12.75">
      <c r="P345" s="326"/>
      <c r="Q345" s="326"/>
      <c r="R345" s="326"/>
      <c r="S345" s="326"/>
      <c r="T345" s="326"/>
      <c r="U345" s="326"/>
      <c r="V345" s="326"/>
    </row>
    <row r="346" spans="16:22" ht="12.75">
      <c r="P346" s="326"/>
      <c r="Q346" s="326"/>
      <c r="R346" s="326"/>
      <c r="S346" s="326"/>
      <c r="T346" s="326"/>
      <c r="U346" s="326"/>
      <c r="V346" s="326"/>
    </row>
    <row r="347" spans="16:22" ht="12.75">
      <c r="P347" s="326"/>
      <c r="Q347" s="326"/>
      <c r="R347" s="326"/>
      <c r="S347" s="326"/>
      <c r="T347" s="326"/>
      <c r="U347" s="326"/>
      <c r="V347" s="326"/>
    </row>
    <row r="348" spans="16:22" ht="12.75">
      <c r="P348" s="326"/>
      <c r="Q348" s="326"/>
      <c r="R348" s="326"/>
      <c r="S348" s="326"/>
      <c r="T348" s="326"/>
      <c r="U348" s="326"/>
      <c r="V348" s="326"/>
    </row>
    <row r="349" spans="16:22" ht="12.75">
      <c r="P349" s="326"/>
      <c r="Q349" s="326"/>
      <c r="R349" s="326"/>
      <c r="S349" s="326"/>
      <c r="T349" s="326"/>
      <c r="U349" s="326"/>
      <c r="V349" s="326"/>
    </row>
    <row r="350" spans="16:22" ht="12.75">
      <c r="P350" s="326"/>
      <c r="Q350" s="326"/>
      <c r="R350" s="326"/>
      <c r="S350" s="326"/>
      <c r="T350" s="326"/>
      <c r="U350" s="326"/>
      <c r="V350" s="326"/>
    </row>
    <row r="351" spans="16:22" ht="12.75">
      <c r="P351" s="326"/>
      <c r="Q351" s="326"/>
      <c r="R351" s="326"/>
      <c r="S351" s="326"/>
      <c r="T351" s="326"/>
      <c r="U351" s="326"/>
      <c r="V351" s="326"/>
    </row>
    <row r="352" spans="16:22" ht="12.75">
      <c r="P352" s="326"/>
      <c r="Q352" s="326"/>
      <c r="R352" s="326"/>
      <c r="S352" s="326"/>
      <c r="T352" s="326"/>
      <c r="U352" s="326"/>
      <c r="V352" s="326"/>
    </row>
    <row r="353" spans="16:22" ht="12.75">
      <c r="P353" s="326"/>
      <c r="Q353" s="326"/>
      <c r="R353" s="326"/>
      <c r="S353" s="326"/>
      <c r="T353" s="326"/>
      <c r="U353" s="326"/>
      <c r="V353" s="326"/>
    </row>
    <row r="354" spans="16:22" ht="12.75">
      <c r="P354" s="326"/>
      <c r="Q354" s="326"/>
      <c r="R354" s="326"/>
      <c r="S354" s="326"/>
      <c r="T354" s="326"/>
      <c r="U354" s="326"/>
      <c r="V354" s="326"/>
    </row>
    <row r="355" spans="16:22" ht="12.75">
      <c r="P355" s="326"/>
      <c r="Q355" s="326"/>
      <c r="R355" s="326"/>
      <c r="S355" s="326"/>
      <c r="T355" s="326"/>
      <c r="U355" s="326"/>
      <c r="V355" s="326"/>
    </row>
    <row r="356" spans="16:22" ht="12.75">
      <c r="P356" s="326"/>
      <c r="Q356" s="326"/>
      <c r="R356" s="326"/>
      <c r="S356" s="326"/>
      <c r="T356" s="326"/>
      <c r="U356" s="326"/>
      <c r="V356" s="326"/>
    </row>
    <row r="357" spans="16:22" ht="12.75">
      <c r="P357" s="326"/>
      <c r="Q357" s="326"/>
      <c r="R357" s="326"/>
      <c r="S357" s="326"/>
      <c r="T357" s="326"/>
      <c r="U357" s="326"/>
      <c r="V357" s="326"/>
    </row>
    <row r="358" spans="16:22" ht="12.75">
      <c r="P358" s="326"/>
      <c r="Q358" s="326"/>
      <c r="R358" s="326"/>
      <c r="S358" s="326"/>
      <c r="T358" s="326"/>
      <c r="U358" s="326"/>
      <c r="V358" s="326"/>
    </row>
    <row r="359" spans="16:22" ht="12.75">
      <c r="P359" s="326"/>
      <c r="Q359" s="326"/>
      <c r="R359" s="326"/>
      <c r="S359" s="326"/>
      <c r="T359" s="326"/>
      <c r="U359" s="326"/>
      <c r="V359" s="326"/>
    </row>
    <row r="360" spans="16:22" ht="12.75">
      <c r="P360" s="326"/>
      <c r="Q360" s="326"/>
      <c r="R360" s="326"/>
      <c r="S360" s="326"/>
      <c r="T360" s="326"/>
      <c r="U360" s="326"/>
      <c r="V360" s="326"/>
    </row>
    <row r="361" spans="16:22" ht="12.75">
      <c r="P361" s="326"/>
      <c r="Q361" s="326"/>
      <c r="R361" s="326"/>
      <c r="S361" s="326"/>
      <c r="T361" s="326"/>
      <c r="U361" s="326"/>
      <c r="V361" s="326"/>
    </row>
    <row r="362" spans="16:22" ht="12.75">
      <c r="P362" s="326"/>
      <c r="Q362" s="326"/>
      <c r="R362" s="326"/>
      <c r="S362" s="326"/>
      <c r="T362" s="326"/>
      <c r="U362" s="326"/>
      <c r="V362" s="326"/>
    </row>
    <row r="363" spans="16:22" ht="12.75">
      <c r="P363" s="326"/>
      <c r="Q363" s="326"/>
      <c r="R363" s="326"/>
      <c r="S363" s="326"/>
      <c r="T363" s="326"/>
      <c r="U363" s="326"/>
      <c r="V363" s="326"/>
    </row>
    <row r="364" spans="16:22" ht="12.75">
      <c r="P364" s="326"/>
      <c r="Q364" s="326"/>
      <c r="R364" s="326"/>
      <c r="S364" s="326"/>
      <c r="T364" s="326"/>
      <c r="U364" s="326"/>
      <c r="V364" s="326"/>
    </row>
    <row r="365" spans="16:22" ht="12.75">
      <c r="P365" s="326"/>
      <c r="Q365" s="326"/>
      <c r="R365" s="326"/>
      <c r="S365" s="326"/>
      <c r="T365" s="326"/>
      <c r="U365" s="326"/>
      <c r="V365" s="326"/>
    </row>
    <row r="366" spans="16:22" ht="12.75">
      <c r="P366" s="326"/>
      <c r="Q366" s="326"/>
      <c r="R366" s="326"/>
      <c r="S366" s="326"/>
      <c r="T366" s="326"/>
      <c r="U366" s="326"/>
      <c r="V366" s="326"/>
    </row>
    <row r="367" spans="16:22" ht="12.75">
      <c r="P367" s="326"/>
      <c r="Q367" s="326"/>
      <c r="R367" s="326"/>
      <c r="S367" s="326"/>
      <c r="T367" s="326"/>
      <c r="U367" s="326"/>
      <c r="V367" s="326"/>
    </row>
    <row r="368" spans="16:22" ht="12.75">
      <c r="P368" s="326"/>
      <c r="Q368" s="326"/>
      <c r="R368" s="326"/>
      <c r="S368" s="326"/>
      <c r="T368" s="326"/>
      <c r="U368" s="326"/>
      <c r="V368" s="326"/>
    </row>
    <row r="369" spans="16:22" ht="12.75">
      <c r="P369" s="326"/>
      <c r="Q369" s="326"/>
      <c r="R369" s="326"/>
      <c r="S369" s="326"/>
      <c r="T369" s="326"/>
      <c r="U369" s="326"/>
      <c r="V369" s="326"/>
    </row>
    <row r="370" spans="16:22" ht="12.75">
      <c r="P370" s="326"/>
      <c r="Q370" s="326"/>
      <c r="R370" s="326"/>
      <c r="S370" s="326"/>
      <c r="T370" s="326"/>
      <c r="U370" s="326"/>
      <c r="V370" s="326"/>
    </row>
    <row r="371" spans="16:22" ht="12.75">
      <c r="P371" s="326"/>
      <c r="Q371" s="326"/>
      <c r="R371" s="326"/>
      <c r="S371" s="326"/>
      <c r="T371" s="326"/>
      <c r="U371" s="326"/>
      <c r="V371" s="326"/>
    </row>
    <row r="372" spans="16:22" ht="12.75">
      <c r="P372" s="326"/>
      <c r="Q372" s="326"/>
      <c r="R372" s="326"/>
      <c r="S372" s="326"/>
      <c r="T372" s="326"/>
      <c r="U372" s="326"/>
      <c r="V372" s="326"/>
    </row>
    <row r="373" spans="16:22" ht="12.75">
      <c r="P373" s="326"/>
      <c r="Q373" s="326"/>
      <c r="R373" s="326"/>
      <c r="S373" s="326"/>
      <c r="T373" s="326"/>
      <c r="U373" s="326"/>
      <c r="V373" s="326"/>
    </row>
    <row r="374" spans="16:22" ht="12.75">
      <c r="P374" s="326"/>
      <c r="Q374" s="326"/>
      <c r="R374" s="326"/>
      <c r="S374" s="326"/>
      <c r="T374" s="326"/>
      <c r="U374" s="326"/>
      <c r="V374" s="326"/>
    </row>
    <row r="375" spans="16:22" ht="12.75">
      <c r="P375" s="326"/>
      <c r="Q375" s="326"/>
      <c r="R375" s="326"/>
      <c r="S375" s="326"/>
      <c r="T375" s="326"/>
      <c r="U375" s="326"/>
      <c r="V375" s="326"/>
    </row>
    <row r="376" spans="16:22" ht="12.75">
      <c r="P376" s="326"/>
      <c r="Q376" s="326"/>
      <c r="R376" s="326"/>
      <c r="S376" s="326"/>
      <c r="T376" s="326"/>
      <c r="U376" s="326"/>
      <c r="V376" s="326"/>
    </row>
    <row r="377" spans="16:22" ht="12.75">
      <c r="P377" s="326"/>
      <c r="Q377" s="326"/>
      <c r="R377" s="326"/>
      <c r="S377" s="326"/>
      <c r="T377" s="326"/>
      <c r="U377" s="326"/>
      <c r="V377" s="326"/>
    </row>
    <row r="378" spans="16:22" ht="12.75">
      <c r="P378" s="326"/>
      <c r="Q378" s="326"/>
      <c r="R378" s="326"/>
      <c r="S378" s="326"/>
      <c r="T378" s="326"/>
      <c r="U378" s="326"/>
      <c r="V378" s="326"/>
    </row>
    <row r="379" spans="16:22" ht="12.75">
      <c r="P379" s="326"/>
      <c r="Q379" s="326"/>
      <c r="R379" s="326"/>
      <c r="S379" s="326"/>
      <c r="T379" s="326"/>
      <c r="U379" s="326"/>
      <c r="V379" s="326"/>
    </row>
    <row r="380" spans="16:22" ht="12.75">
      <c r="P380" s="326"/>
      <c r="Q380" s="326"/>
      <c r="R380" s="326"/>
      <c r="S380" s="326"/>
      <c r="T380" s="326"/>
      <c r="U380" s="326"/>
      <c r="V380" s="326"/>
    </row>
    <row r="381" spans="16:22" ht="12.75">
      <c r="P381" s="326"/>
      <c r="Q381" s="326"/>
      <c r="R381" s="326"/>
      <c r="S381" s="326"/>
      <c r="T381" s="326"/>
      <c r="U381" s="326"/>
      <c r="V381" s="326"/>
    </row>
    <row r="382" spans="16:22" ht="12.75">
      <c r="P382" s="326"/>
      <c r="Q382" s="326"/>
      <c r="R382" s="326"/>
      <c r="S382" s="326"/>
      <c r="T382" s="326"/>
      <c r="U382" s="326"/>
      <c r="V382" s="326"/>
    </row>
    <row r="383" spans="16:22" ht="12.75">
      <c r="P383" s="326"/>
      <c r="Q383" s="326"/>
      <c r="R383" s="326"/>
      <c r="S383" s="326"/>
      <c r="T383" s="326"/>
      <c r="U383" s="326"/>
      <c r="V383" s="326"/>
    </row>
    <row r="384" spans="16:22" ht="12.75">
      <c r="P384" s="326"/>
      <c r="Q384" s="326"/>
      <c r="R384" s="326"/>
      <c r="S384" s="326"/>
      <c r="T384" s="326"/>
      <c r="U384" s="326"/>
      <c r="V384" s="326"/>
    </row>
    <row r="385" spans="16:22" ht="12.75">
      <c r="P385" s="326"/>
      <c r="Q385" s="326"/>
      <c r="R385" s="326"/>
      <c r="S385" s="326"/>
      <c r="T385" s="326"/>
      <c r="U385" s="326"/>
      <c r="V385" s="326"/>
    </row>
    <row r="386" spans="16:22" ht="12.75">
      <c r="P386" s="326"/>
      <c r="Q386" s="326"/>
      <c r="R386" s="326"/>
      <c r="S386" s="326"/>
      <c r="T386" s="326"/>
      <c r="U386" s="326"/>
      <c r="V386" s="326"/>
    </row>
    <row r="387" spans="16:22" ht="12.75">
      <c r="P387" s="326"/>
      <c r="Q387" s="326"/>
      <c r="R387" s="326"/>
      <c r="S387" s="326"/>
      <c r="T387" s="326"/>
      <c r="U387" s="326"/>
      <c r="V387" s="326"/>
    </row>
    <row r="388" spans="16:22" ht="12.75">
      <c r="P388" s="326"/>
      <c r="Q388" s="326"/>
      <c r="R388" s="326"/>
      <c r="S388" s="326"/>
      <c r="T388" s="326"/>
      <c r="U388" s="326"/>
      <c r="V388" s="326"/>
    </row>
    <row r="389" spans="16:22" ht="12.75">
      <c r="P389" s="326"/>
      <c r="Q389" s="326"/>
      <c r="R389" s="326"/>
      <c r="S389" s="326"/>
      <c r="T389" s="326"/>
      <c r="U389" s="326"/>
      <c r="V389" s="326"/>
    </row>
    <row r="390" spans="16:22" ht="12.75">
      <c r="P390" s="326"/>
      <c r="Q390" s="326"/>
      <c r="R390" s="326"/>
      <c r="S390" s="326"/>
      <c r="T390" s="326"/>
      <c r="U390" s="326"/>
      <c r="V390" s="326"/>
    </row>
    <row r="391" spans="16:22" ht="12.75">
      <c r="P391" s="326"/>
      <c r="Q391" s="326"/>
      <c r="R391" s="326"/>
      <c r="S391" s="326"/>
      <c r="T391" s="326"/>
      <c r="U391" s="326"/>
      <c r="V391" s="326"/>
    </row>
    <row r="392" spans="16:22" ht="12.75">
      <c r="P392" s="326"/>
      <c r="Q392" s="326"/>
      <c r="R392" s="326"/>
      <c r="S392" s="326"/>
      <c r="T392" s="326"/>
      <c r="U392" s="326"/>
      <c r="V392" s="326"/>
    </row>
    <row r="393" spans="16:22" ht="12.75">
      <c r="P393" s="326"/>
      <c r="Q393" s="326"/>
      <c r="R393" s="326"/>
      <c r="S393" s="326"/>
      <c r="T393" s="326"/>
      <c r="U393" s="326"/>
      <c r="V393" s="326"/>
    </row>
    <row r="394" spans="16:22" ht="12.75">
      <c r="P394" s="326"/>
      <c r="Q394" s="326"/>
      <c r="R394" s="326"/>
      <c r="S394" s="326"/>
      <c r="T394" s="326"/>
      <c r="U394" s="326"/>
      <c r="V394" s="326"/>
    </row>
    <row r="395" spans="16:22" ht="12.75">
      <c r="P395" s="326"/>
      <c r="Q395" s="326"/>
      <c r="R395" s="326"/>
      <c r="S395" s="326"/>
      <c r="T395" s="326"/>
      <c r="U395" s="326"/>
      <c r="V395" s="326"/>
    </row>
    <row r="396" spans="16:22" ht="12.75">
      <c r="P396" s="326"/>
      <c r="Q396" s="326"/>
      <c r="R396" s="326"/>
      <c r="S396" s="326"/>
      <c r="T396" s="326"/>
      <c r="U396" s="326"/>
      <c r="V396" s="326"/>
    </row>
    <row r="397" spans="16:22" ht="12.75">
      <c r="P397" s="326"/>
      <c r="Q397" s="326"/>
      <c r="R397" s="326"/>
      <c r="S397" s="326"/>
      <c r="T397" s="326"/>
      <c r="U397" s="326"/>
      <c r="V397" s="326"/>
    </row>
    <row r="398" spans="16:22" ht="12.75">
      <c r="P398" s="326"/>
      <c r="Q398" s="326"/>
      <c r="R398" s="326"/>
      <c r="S398" s="326"/>
      <c r="T398" s="326"/>
      <c r="U398" s="326"/>
      <c r="V398" s="326"/>
    </row>
    <row r="399" spans="16:22" ht="12.75">
      <c r="P399" s="326"/>
      <c r="Q399" s="326"/>
      <c r="R399" s="326"/>
      <c r="S399" s="326"/>
      <c r="T399" s="326"/>
      <c r="U399" s="326"/>
      <c r="V399" s="326"/>
    </row>
    <row r="400" spans="16:22" ht="12.75">
      <c r="P400" s="326"/>
      <c r="Q400" s="326"/>
      <c r="R400" s="326"/>
      <c r="S400" s="326"/>
      <c r="T400" s="326"/>
      <c r="U400" s="326"/>
      <c r="V400" s="326"/>
    </row>
    <row r="401" spans="16:22" ht="12.75">
      <c r="P401" s="326"/>
      <c r="Q401" s="326"/>
      <c r="R401" s="326"/>
      <c r="S401" s="326"/>
      <c r="T401" s="326"/>
      <c r="U401" s="326"/>
      <c r="V401" s="326"/>
    </row>
    <row r="402" spans="16:22" ht="12.75">
      <c r="P402" s="326"/>
      <c r="Q402" s="326"/>
      <c r="R402" s="326"/>
      <c r="S402" s="326"/>
      <c r="T402" s="326"/>
      <c r="U402" s="326"/>
      <c r="V402" s="326"/>
    </row>
    <row r="403" spans="16:22" ht="12.75">
      <c r="P403" s="326"/>
      <c r="Q403" s="326"/>
      <c r="R403" s="326"/>
      <c r="S403" s="326"/>
      <c r="T403" s="326"/>
      <c r="U403" s="326"/>
      <c r="V403" s="326"/>
    </row>
    <row r="404" spans="16:22" ht="12.75">
      <c r="P404" s="326"/>
      <c r="Q404" s="326"/>
      <c r="R404" s="326"/>
      <c r="S404" s="326"/>
      <c r="T404" s="326"/>
      <c r="U404" s="326"/>
      <c r="V404" s="326"/>
    </row>
    <row r="405" spans="16:22" ht="12.75">
      <c r="P405" s="326"/>
      <c r="Q405" s="326"/>
      <c r="R405" s="326"/>
      <c r="S405" s="326"/>
      <c r="T405" s="326"/>
      <c r="U405" s="326"/>
      <c r="V405" s="326"/>
    </row>
    <row r="406" spans="16:22" ht="12.75">
      <c r="P406" s="326"/>
      <c r="Q406" s="326"/>
      <c r="R406" s="326"/>
      <c r="S406" s="326"/>
      <c r="T406" s="326"/>
      <c r="U406" s="326"/>
      <c r="V406" s="326"/>
    </row>
    <row r="407" spans="16:22" ht="12.75">
      <c r="P407" s="326"/>
      <c r="Q407" s="326"/>
      <c r="R407" s="326"/>
      <c r="S407" s="326"/>
      <c r="T407" s="326"/>
      <c r="U407" s="326"/>
      <c r="V407" s="326"/>
    </row>
    <row r="408" spans="16:22" ht="12.75">
      <c r="P408" s="326"/>
      <c r="Q408" s="326"/>
      <c r="R408" s="326"/>
      <c r="S408" s="326"/>
      <c r="T408" s="326"/>
      <c r="U408" s="326"/>
      <c r="V408" s="326"/>
    </row>
    <row r="409" spans="16:22" ht="12.75">
      <c r="P409" s="326"/>
      <c r="Q409" s="326"/>
      <c r="R409" s="326"/>
      <c r="S409" s="326"/>
      <c r="T409" s="326"/>
      <c r="U409" s="326"/>
      <c r="V409" s="326"/>
    </row>
    <row r="410" spans="16:22" ht="12.75">
      <c r="P410" s="326"/>
      <c r="Q410" s="326"/>
      <c r="R410" s="326"/>
      <c r="S410" s="326"/>
      <c r="T410" s="326"/>
      <c r="U410" s="326"/>
      <c r="V410" s="326"/>
    </row>
    <row r="411" spans="16:22" ht="12.75">
      <c r="P411" s="326"/>
      <c r="Q411" s="326"/>
      <c r="R411" s="326"/>
      <c r="S411" s="326"/>
      <c r="T411" s="326"/>
      <c r="U411" s="326"/>
      <c r="V411" s="326"/>
    </row>
    <row r="412" spans="16:22" ht="12.75">
      <c r="P412" s="326"/>
      <c r="Q412" s="326"/>
      <c r="R412" s="326"/>
      <c r="S412" s="326"/>
      <c r="T412" s="326"/>
      <c r="U412" s="326"/>
      <c r="V412" s="326"/>
    </row>
    <row r="413" spans="16:22" ht="12.75">
      <c r="P413" s="326"/>
      <c r="Q413" s="326"/>
      <c r="R413" s="326"/>
      <c r="S413" s="326"/>
      <c r="T413" s="326"/>
      <c r="U413" s="326"/>
      <c r="V413" s="326"/>
    </row>
    <row r="414" spans="16:22" ht="12.75">
      <c r="P414" s="326"/>
      <c r="Q414" s="326"/>
      <c r="R414" s="326"/>
      <c r="S414" s="326"/>
      <c r="T414" s="326"/>
      <c r="U414" s="326"/>
      <c r="V414" s="326"/>
    </row>
    <row r="415" spans="16:22" ht="12.75">
      <c r="P415" s="326"/>
      <c r="Q415" s="326"/>
      <c r="R415" s="326"/>
      <c r="S415" s="326"/>
      <c r="T415" s="326"/>
      <c r="U415" s="326"/>
      <c r="V415" s="326"/>
    </row>
    <row r="416" spans="16:22" ht="12.75">
      <c r="P416" s="326"/>
      <c r="Q416" s="326"/>
      <c r="R416" s="326"/>
      <c r="S416" s="326"/>
      <c r="T416" s="326"/>
      <c r="U416" s="326"/>
      <c r="V416" s="326"/>
    </row>
    <row r="417" spans="16:22" ht="12.75">
      <c r="P417" s="326"/>
      <c r="Q417" s="326"/>
      <c r="R417" s="326"/>
      <c r="S417" s="326"/>
      <c r="T417" s="326"/>
      <c r="U417" s="326"/>
      <c r="V417" s="326"/>
    </row>
    <row r="418" spans="16:22" ht="12.75">
      <c r="P418" s="326"/>
      <c r="Q418" s="326"/>
      <c r="R418" s="326"/>
      <c r="S418" s="326"/>
      <c r="T418" s="326"/>
      <c r="U418" s="326"/>
      <c r="V418" s="326"/>
    </row>
    <row r="419" spans="16:22" ht="12.75">
      <c r="P419" s="326"/>
      <c r="Q419" s="326"/>
      <c r="R419" s="326"/>
      <c r="S419" s="326"/>
      <c r="T419" s="326"/>
      <c r="U419" s="326"/>
      <c r="V419" s="326"/>
    </row>
    <row r="420" spans="16:22" ht="12.75">
      <c r="P420" s="326"/>
      <c r="Q420" s="326"/>
      <c r="R420" s="326"/>
      <c r="S420" s="326"/>
      <c r="T420" s="326"/>
      <c r="U420" s="326"/>
      <c r="V420" s="326"/>
    </row>
    <row r="421" spans="16:22" ht="12.75">
      <c r="P421" s="326"/>
      <c r="Q421" s="326"/>
      <c r="R421" s="326"/>
      <c r="S421" s="326"/>
      <c r="T421" s="326"/>
      <c r="U421" s="326"/>
      <c r="V421" s="326"/>
    </row>
    <row r="422" spans="16:22" ht="12.75">
      <c r="P422" s="326"/>
      <c r="Q422" s="326"/>
      <c r="R422" s="326"/>
      <c r="S422" s="326"/>
      <c r="T422" s="326"/>
      <c r="U422" s="326"/>
      <c r="V422" s="326"/>
    </row>
    <row r="423" spans="16:22" ht="12.75">
      <c r="P423" s="326"/>
      <c r="Q423" s="326"/>
      <c r="R423" s="326"/>
      <c r="S423" s="326"/>
      <c r="T423" s="326"/>
      <c r="U423" s="326"/>
      <c r="V423" s="326"/>
    </row>
    <row r="424" spans="16:22" ht="12.75">
      <c r="P424" s="326"/>
      <c r="Q424" s="326"/>
      <c r="R424" s="326"/>
      <c r="S424" s="326"/>
      <c r="T424" s="326"/>
      <c r="U424" s="326"/>
      <c r="V424" s="326"/>
    </row>
    <row r="425" spans="16:22" ht="12.75">
      <c r="P425" s="326"/>
      <c r="Q425" s="326"/>
      <c r="R425" s="326"/>
      <c r="S425" s="326"/>
      <c r="T425" s="326"/>
      <c r="U425" s="326"/>
      <c r="V425" s="326"/>
    </row>
    <row r="426" spans="16:22" ht="12.75">
      <c r="P426" s="326"/>
      <c r="Q426" s="326"/>
      <c r="R426" s="326"/>
      <c r="S426" s="326"/>
      <c r="T426" s="326"/>
      <c r="U426" s="326"/>
      <c r="V426" s="326"/>
    </row>
    <row r="427" spans="16:22" ht="12.75">
      <c r="P427" s="326"/>
      <c r="Q427" s="326"/>
      <c r="R427" s="326"/>
      <c r="S427" s="326"/>
      <c r="T427" s="326"/>
      <c r="U427" s="326"/>
      <c r="V427" s="326"/>
    </row>
    <row r="428" spans="16:22" ht="12.75">
      <c r="P428" s="326"/>
      <c r="Q428" s="326"/>
      <c r="R428" s="326"/>
      <c r="S428" s="326"/>
      <c r="T428" s="326"/>
      <c r="U428" s="326"/>
      <c r="V428" s="326"/>
    </row>
    <row r="429" spans="16:22" ht="12.75">
      <c r="P429" s="326"/>
      <c r="Q429" s="326"/>
      <c r="R429" s="326"/>
      <c r="S429" s="326"/>
      <c r="T429" s="326"/>
      <c r="U429" s="326"/>
      <c r="V429" s="326"/>
    </row>
    <row r="430" spans="16:22" ht="12.75">
      <c r="P430" s="326"/>
      <c r="Q430" s="326"/>
      <c r="R430" s="326"/>
      <c r="S430" s="326"/>
      <c r="T430" s="326"/>
      <c r="U430" s="326"/>
      <c r="V430" s="326"/>
    </row>
    <row r="431" spans="16:22" ht="12.75">
      <c r="P431" s="326"/>
      <c r="Q431" s="326"/>
      <c r="R431" s="326"/>
      <c r="S431" s="326"/>
      <c r="T431" s="326"/>
      <c r="U431" s="326"/>
      <c r="V431" s="326"/>
    </row>
    <row r="432" spans="16:22" ht="12.75">
      <c r="P432" s="326"/>
      <c r="Q432" s="326"/>
      <c r="R432" s="326"/>
      <c r="S432" s="326"/>
      <c r="T432" s="326"/>
      <c r="U432" s="326"/>
      <c r="V432" s="326"/>
    </row>
    <row r="433" spans="16:22" ht="12.75">
      <c r="P433" s="326"/>
      <c r="Q433" s="326"/>
      <c r="R433" s="326"/>
      <c r="S433" s="326"/>
      <c r="T433" s="326"/>
      <c r="U433" s="326"/>
      <c r="V433" s="326"/>
    </row>
    <row r="434" spans="16:22" ht="12.75">
      <c r="P434" s="326"/>
      <c r="Q434" s="326"/>
      <c r="R434" s="326"/>
      <c r="S434" s="326"/>
      <c r="T434" s="326"/>
      <c r="U434" s="326"/>
      <c r="V434" s="326"/>
    </row>
    <row r="435" spans="16:22" ht="12.75">
      <c r="P435" s="326"/>
      <c r="Q435" s="326"/>
      <c r="R435" s="326"/>
      <c r="S435" s="326"/>
      <c r="T435" s="326"/>
      <c r="U435" s="326"/>
      <c r="V435" s="326"/>
    </row>
    <row r="436" spans="16:22" ht="12.75">
      <c r="P436" s="326"/>
      <c r="Q436" s="326"/>
      <c r="R436" s="326"/>
      <c r="S436" s="326"/>
      <c r="T436" s="326"/>
      <c r="U436" s="326"/>
      <c r="V436" s="326"/>
    </row>
    <row r="437" spans="16:22" ht="12.75">
      <c r="P437" s="326"/>
      <c r="Q437" s="326"/>
      <c r="R437" s="326"/>
      <c r="S437" s="326"/>
      <c r="T437" s="326"/>
      <c r="U437" s="326"/>
      <c r="V437" s="326"/>
    </row>
    <row r="438" spans="16:22" ht="12.75">
      <c r="P438" s="326"/>
      <c r="Q438" s="326"/>
      <c r="R438" s="326"/>
      <c r="S438" s="326"/>
      <c r="T438" s="326"/>
      <c r="U438" s="326"/>
      <c r="V438" s="326"/>
    </row>
    <row r="439" spans="16:22" ht="12.75">
      <c r="P439" s="326"/>
      <c r="Q439" s="326"/>
      <c r="R439" s="326"/>
      <c r="S439" s="326"/>
      <c r="T439" s="326"/>
      <c r="U439" s="326"/>
      <c r="V439" s="326"/>
    </row>
    <row r="440" spans="16:22" ht="12.75">
      <c r="P440" s="326"/>
      <c r="Q440" s="326"/>
      <c r="R440" s="326"/>
      <c r="S440" s="326"/>
      <c r="T440" s="326"/>
      <c r="U440" s="326"/>
      <c r="V440" s="326"/>
    </row>
    <row r="441" spans="16:22" ht="12.75">
      <c r="P441" s="326"/>
      <c r="Q441" s="326"/>
      <c r="R441" s="326"/>
      <c r="S441" s="326"/>
      <c r="T441" s="326"/>
      <c r="U441" s="326"/>
      <c r="V441" s="326"/>
    </row>
    <row r="442" spans="16:22" ht="12.75">
      <c r="P442" s="326"/>
      <c r="Q442" s="326"/>
      <c r="R442" s="326"/>
      <c r="S442" s="326"/>
      <c r="T442" s="326"/>
      <c r="U442" s="326"/>
      <c r="V442" s="326"/>
    </row>
    <row r="443" spans="16:22" ht="12.75">
      <c r="P443" s="326"/>
      <c r="Q443" s="326"/>
      <c r="R443" s="326"/>
      <c r="S443" s="326"/>
      <c r="T443" s="326"/>
      <c r="U443" s="326"/>
      <c r="V443" s="326"/>
    </row>
    <row r="444" spans="16:22" ht="12.75">
      <c r="P444" s="326"/>
      <c r="Q444" s="326"/>
      <c r="R444" s="326"/>
      <c r="S444" s="326"/>
      <c r="T444" s="326"/>
      <c r="U444" s="326"/>
      <c r="V444" s="326"/>
    </row>
    <row r="445" spans="16:22" ht="12.75">
      <c r="P445" s="326"/>
      <c r="Q445" s="326"/>
      <c r="R445" s="326"/>
      <c r="S445" s="326"/>
      <c r="T445" s="326"/>
      <c r="U445" s="326"/>
      <c r="V445" s="326"/>
    </row>
    <row r="446" spans="16:22" ht="12.75">
      <c r="P446" s="326"/>
      <c r="Q446" s="326"/>
      <c r="R446" s="326"/>
      <c r="S446" s="326"/>
      <c r="T446" s="326"/>
      <c r="U446" s="326"/>
      <c r="V446" s="326"/>
    </row>
    <row r="447" spans="16:22" ht="12.75">
      <c r="P447" s="326"/>
      <c r="Q447" s="326"/>
      <c r="R447" s="326"/>
      <c r="S447" s="326"/>
      <c r="T447" s="326"/>
      <c r="U447" s="326"/>
      <c r="V447" s="326"/>
    </row>
    <row r="448" spans="16:22" ht="12.75">
      <c r="P448" s="326"/>
      <c r="Q448" s="326"/>
      <c r="R448" s="326"/>
      <c r="S448" s="326"/>
      <c r="T448" s="326"/>
      <c r="U448" s="326"/>
      <c r="V448" s="326"/>
    </row>
    <row r="449" spans="16:22" ht="12.75">
      <c r="P449" s="326"/>
      <c r="Q449" s="326"/>
      <c r="R449" s="326"/>
      <c r="S449" s="326"/>
      <c r="T449" s="326"/>
      <c r="U449" s="326"/>
      <c r="V449" s="326"/>
    </row>
    <row r="450" spans="16:22" ht="12.75">
      <c r="P450" s="326"/>
      <c r="Q450" s="326"/>
      <c r="R450" s="326"/>
      <c r="S450" s="326"/>
      <c r="T450" s="326"/>
      <c r="U450" s="326"/>
      <c r="V450" s="326"/>
    </row>
    <row r="451" spans="16:22" ht="12.75">
      <c r="P451" s="326"/>
      <c r="Q451" s="326"/>
      <c r="R451" s="326"/>
      <c r="S451" s="326"/>
      <c r="T451" s="326"/>
      <c r="U451" s="326"/>
      <c r="V451" s="326"/>
    </row>
    <row r="452" spans="16:22" ht="12.75">
      <c r="P452" s="326"/>
      <c r="Q452" s="326"/>
      <c r="R452" s="326"/>
      <c r="S452" s="326"/>
      <c r="T452" s="326"/>
      <c r="U452" s="326"/>
      <c r="V452" s="326"/>
    </row>
    <row r="453" spans="16:22" ht="12.75">
      <c r="P453" s="326"/>
      <c r="Q453" s="326"/>
      <c r="R453" s="326"/>
      <c r="S453" s="326"/>
      <c r="T453" s="326"/>
      <c r="U453" s="326"/>
      <c r="V453" s="326"/>
    </row>
    <row r="454" spans="16:22" ht="12.75">
      <c r="P454" s="326"/>
      <c r="Q454" s="326"/>
      <c r="R454" s="326"/>
      <c r="S454" s="326"/>
      <c r="T454" s="326"/>
      <c r="U454" s="326"/>
      <c r="V454" s="326"/>
    </row>
    <row r="455" spans="16:22" ht="12.75">
      <c r="P455" s="326"/>
      <c r="Q455" s="326"/>
      <c r="R455" s="326"/>
      <c r="S455" s="326"/>
      <c r="T455" s="326"/>
      <c r="U455" s="326"/>
      <c r="V455" s="326"/>
    </row>
    <row r="456" spans="16:22" ht="12.75">
      <c r="P456" s="326"/>
      <c r="Q456" s="326"/>
      <c r="R456" s="326"/>
      <c r="S456" s="326"/>
      <c r="T456" s="326"/>
      <c r="U456" s="326"/>
      <c r="V456" s="326"/>
    </row>
    <row r="457" spans="16:22" ht="12.75">
      <c r="P457" s="326"/>
      <c r="Q457" s="326"/>
      <c r="R457" s="326"/>
      <c r="S457" s="326"/>
      <c r="T457" s="326"/>
      <c r="U457" s="326"/>
      <c r="V457" s="326"/>
    </row>
    <row r="458" spans="16:22" ht="12.75">
      <c r="P458" s="326"/>
      <c r="Q458" s="326"/>
      <c r="R458" s="326"/>
      <c r="S458" s="326"/>
      <c r="T458" s="326"/>
      <c r="U458" s="326"/>
      <c r="V458" s="326"/>
    </row>
    <row r="459" spans="16:22" ht="12.75">
      <c r="P459" s="326"/>
      <c r="Q459" s="326"/>
      <c r="R459" s="326"/>
      <c r="S459" s="326"/>
      <c r="T459" s="326"/>
      <c r="U459" s="326"/>
      <c r="V459" s="326"/>
    </row>
    <row r="460" spans="16:22" ht="12.75">
      <c r="P460" s="326"/>
      <c r="Q460" s="326"/>
      <c r="R460" s="326"/>
      <c r="S460" s="326"/>
      <c r="T460" s="326"/>
      <c r="U460" s="326"/>
      <c r="V460" s="326"/>
    </row>
    <row r="461" spans="16:22" ht="12.75">
      <c r="P461" s="326"/>
      <c r="Q461" s="326"/>
      <c r="R461" s="326"/>
      <c r="S461" s="326"/>
      <c r="T461" s="326"/>
      <c r="U461" s="326"/>
      <c r="V461" s="326"/>
    </row>
    <row r="462" spans="16:22" ht="12.75">
      <c r="P462" s="326"/>
      <c r="Q462" s="326"/>
      <c r="R462" s="326"/>
      <c r="S462" s="326"/>
      <c r="T462" s="326"/>
      <c r="U462" s="326"/>
      <c r="V462" s="326"/>
    </row>
    <row r="463" spans="16:22" ht="12.75">
      <c r="P463" s="326"/>
      <c r="Q463" s="326"/>
      <c r="R463" s="326"/>
      <c r="S463" s="326"/>
      <c r="T463" s="326"/>
      <c r="U463" s="326"/>
      <c r="V463" s="326"/>
    </row>
    <row r="464" spans="16:22" ht="12.75">
      <c r="P464" s="326"/>
      <c r="Q464" s="326"/>
      <c r="R464" s="326"/>
      <c r="S464" s="326"/>
      <c r="T464" s="326"/>
      <c r="U464" s="326"/>
      <c r="V464" s="326"/>
    </row>
    <row r="465" spans="16:22" ht="12.75">
      <c r="P465" s="326"/>
      <c r="Q465" s="326"/>
      <c r="R465" s="326"/>
      <c r="S465" s="326"/>
      <c r="T465" s="326"/>
      <c r="U465" s="326"/>
      <c r="V465" s="326"/>
    </row>
    <row r="466" spans="16:22" ht="12.75">
      <c r="P466" s="326"/>
      <c r="Q466" s="326"/>
      <c r="R466" s="326"/>
      <c r="S466" s="326"/>
      <c r="T466" s="326"/>
      <c r="U466" s="326"/>
      <c r="V466" s="326"/>
    </row>
    <row r="467" spans="16:22" ht="12.75">
      <c r="P467" s="326"/>
      <c r="Q467" s="326"/>
      <c r="R467" s="326"/>
      <c r="S467" s="326"/>
      <c r="T467" s="326"/>
      <c r="U467" s="326"/>
      <c r="V467" s="326"/>
    </row>
    <row r="468" spans="16:22" ht="12.75">
      <c r="P468" s="326"/>
      <c r="Q468" s="326"/>
      <c r="R468" s="326"/>
      <c r="S468" s="326"/>
      <c r="T468" s="326"/>
      <c r="U468" s="326"/>
      <c r="V468" s="326"/>
    </row>
    <row r="469" spans="16:22" ht="12.75">
      <c r="P469" s="326"/>
      <c r="Q469" s="326"/>
      <c r="R469" s="326"/>
      <c r="S469" s="326"/>
      <c r="T469" s="326"/>
      <c r="U469" s="326"/>
      <c r="V469" s="326"/>
    </row>
    <row r="470" spans="16:22" ht="12.75">
      <c r="P470" s="326"/>
      <c r="Q470" s="326"/>
      <c r="R470" s="326"/>
      <c r="S470" s="326"/>
      <c r="T470" s="326"/>
      <c r="U470" s="326"/>
      <c r="V470" s="326"/>
    </row>
    <row r="471" spans="16:22" ht="12.75">
      <c r="P471" s="326"/>
      <c r="Q471" s="326"/>
      <c r="R471" s="326"/>
      <c r="S471" s="326"/>
      <c r="T471" s="326"/>
      <c r="U471" s="326"/>
      <c r="V471" s="326"/>
    </row>
    <row r="472" spans="16:22" ht="12.75">
      <c r="P472" s="326"/>
      <c r="Q472" s="326"/>
      <c r="R472" s="326"/>
      <c r="S472" s="326"/>
      <c r="T472" s="326"/>
      <c r="U472" s="326"/>
      <c r="V472" s="326"/>
    </row>
    <row r="473" spans="16:22" ht="12.75">
      <c r="P473" s="326"/>
      <c r="Q473" s="326"/>
      <c r="R473" s="326"/>
      <c r="S473" s="326"/>
      <c r="T473" s="326"/>
      <c r="U473" s="326"/>
      <c r="V473" s="326"/>
    </row>
    <row r="474" spans="16:22" ht="12.75">
      <c r="P474" s="326"/>
      <c r="Q474" s="326"/>
      <c r="R474" s="326"/>
      <c r="S474" s="326"/>
      <c r="T474" s="326"/>
      <c r="U474" s="326"/>
      <c r="V474" s="326"/>
    </row>
    <row r="475" spans="16:22" ht="12.75">
      <c r="P475" s="326"/>
      <c r="Q475" s="326"/>
      <c r="R475" s="326"/>
      <c r="S475" s="326"/>
      <c r="T475" s="326"/>
      <c r="U475" s="326"/>
      <c r="V475" s="326"/>
    </row>
    <row r="476" spans="16:22" ht="12.75">
      <c r="P476" s="326"/>
      <c r="Q476" s="326"/>
      <c r="R476" s="326"/>
      <c r="S476" s="326"/>
      <c r="T476" s="326"/>
      <c r="U476" s="326"/>
      <c r="V476" s="326"/>
    </row>
    <row r="477" spans="16:22" ht="12.75">
      <c r="P477" s="326"/>
      <c r="Q477" s="326"/>
      <c r="R477" s="326"/>
      <c r="S477" s="326"/>
      <c r="T477" s="326"/>
      <c r="U477" s="326"/>
      <c r="V477" s="326"/>
    </row>
    <row r="478" spans="16:22" ht="12.75">
      <c r="P478" s="326"/>
      <c r="Q478" s="326"/>
      <c r="R478" s="326"/>
      <c r="S478" s="326"/>
      <c r="T478" s="326"/>
      <c r="U478" s="326"/>
      <c r="V478" s="326"/>
    </row>
    <row r="479" spans="16:22" ht="12.75">
      <c r="P479" s="326"/>
      <c r="Q479" s="326"/>
      <c r="R479" s="326"/>
      <c r="S479" s="326"/>
      <c r="T479" s="326"/>
      <c r="U479" s="326"/>
      <c r="V479" s="326"/>
    </row>
    <row r="480" spans="16:22" ht="12.75">
      <c r="P480" s="326"/>
      <c r="Q480" s="326"/>
      <c r="R480" s="326"/>
      <c r="S480" s="326"/>
      <c r="T480" s="326"/>
      <c r="U480" s="326"/>
      <c r="V480" s="326"/>
    </row>
    <row r="481" spans="16:22" ht="12.75">
      <c r="P481" s="326"/>
      <c r="Q481" s="326"/>
      <c r="R481" s="326"/>
      <c r="S481" s="326"/>
      <c r="T481" s="326"/>
      <c r="U481" s="326"/>
      <c r="V481" s="326"/>
    </row>
    <row r="482" spans="16:22" ht="12.75">
      <c r="P482" s="326"/>
      <c r="Q482" s="326"/>
      <c r="R482" s="326"/>
      <c r="S482" s="326"/>
      <c r="T482" s="326"/>
      <c r="U482" s="326"/>
      <c r="V482" s="326"/>
    </row>
    <row r="483" spans="16:22" ht="12.75">
      <c r="P483" s="326"/>
      <c r="Q483" s="326"/>
      <c r="R483" s="326"/>
      <c r="S483" s="326"/>
      <c r="T483" s="326"/>
      <c r="U483" s="326"/>
      <c r="V483" s="326"/>
    </row>
    <row r="484" spans="16:22" ht="12.75">
      <c r="P484" s="326"/>
      <c r="Q484" s="326"/>
      <c r="R484" s="326"/>
      <c r="S484" s="326"/>
      <c r="T484" s="326"/>
      <c r="U484" s="326"/>
      <c r="V484" s="326"/>
    </row>
    <row r="485" spans="16:22" ht="12.75">
      <c r="P485" s="326"/>
      <c r="Q485" s="326"/>
      <c r="R485" s="326"/>
      <c r="S485" s="326"/>
      <c r="T485" s="326"/>
      <c r="U485" s="326"/>
      <c r="V485" s="326"/>
    </row>
    <row r="486" spans="16:22" ht="12.75">
      <c r="P486" s="326"/>
      <c r="Q486" s="326"/>
      <c r="R486" s="326"/>
      <c r="S486" s="326"/>
      <c r="T486" s="326"/>
      <c r="U486" s="326"/>
      <c r="V486" s="326"/>
    </row>
    <row r="487" spans="16:22" ht="12.75">
      <c r="P487" s="326"/>
      <c r="Q487" s="326"/>
      <c r="R487" s="326"/>
      <c r="S487" s="326"/>
      <c r="T487" s="326"/>
      <c r="U487" s="326"/>
      <c r="V487" s="326"/>
    </row>
    <row r="488" spans="16:22" ht="12.75">
      <c r="P488" s="326"/>
      <c r="Q488" s="326"/>
      <c r="R488" s="326"/>
      <c r="S488" s="326"/>
      <c r="T488" s="326"/>
      <c r="U488" s="326"/>
      <c r="V488" s="326"/>
    </row>
    <row r="489" spans="16:22" ht="12.75">
      <c r="P489" s="326"/>
      <c r="Q489" s="326"/>
      <c r="R489" s="326"/>
      <c r="S489" s="326"/>
      <c r="T489" s="326"/>
      <c r="U489" s="326"/>
      <c r="V489" s="326"/>
    </row>
    <row r="490" spans="16:22" ht="12.75">
      <c r="P490" s="326"/>
      <c r="Q490" s="326"/>
      <c r="R490" s="326"/>
      <c r="S490" s="326"/>
      <c r="T490" s="326"/>
      <c r="U490" s="326"/>
      <c r="V490" s="326"/>
    </row>
    <row r="491" spans="16:22" ht="12.75">
      <c r="P491" s="326"/>
      <c r="Q491" s="326"/>
      <c r="R491" s="326"/>
      <c r="S491" s="326"/>
      <c r="T491" s="326"/>
      <c r="U491" s="326"/>
      <c r="V491" s="326"/>
    </row>
    <row r="492" spans="16:22" ht="12.75">
      <c r="P492" s="326"/>
      <c r="Q492" s="326"/>
      <c r="R492" s="326"/>
      <c r="S492" s="326"/>
      <c r="T492" s="326"/>
      <c r="U492" s="326"/>
      <c r="V492" s="326"/>
    </row>
    <row r="493" spans="16:22" ht="12.75">
      <c r="P493" s="326"/>
      <c r="Q493" s="326"/>
      <c r="R493" s="326"/>
      <c r="S493" s="326"/>
      <c r="T493" s="326"/>
      <c r="U493" s="326"/>
      <c r="V493" s="326"/>
    </row>
    <row r="494" spans="16:22" ht="12.75">
      <c r="P494" s="326"/>
      <c r="Q494" s="326"/>
      <c r="R494" s="326"/>
      <c r="S494" s="326"/>
      <c r="T494" s="326"/>
      <c r="U494" s="326"/>
      <c r="V494" s="326"/>
    </row>
    <row r="495" spans="16:22" ht="12.75">
      <c r="P495" s="326"/>
      <c r="Q495" s="326"/>
      <c r="R495" s="326"/>
      <c r="S495" s="326"/>
      <c r="T495" s="326"/>
      <c r="U495" s="326"/>
      <c r="V495" s="326"/>
    </row>
    <row r="496" spans="16:22" ht="12.75">
      <c r="P496" s="326"/>
      <c r="Q496" s="326"/>
      <c r="R496" s="326"/>
      <c r="S496" s="326"/>
      <c r="T496" s="326"/>
      <c r="U496" s="326"/>
      <c r="V496" s="326"/>
    </row>
    <row r="497" spans="16:22" ht="12.75">
      <c r="P497" s="326"/>
      <c r="Q497" s="326"/>
      <c r="R497" s="326"/>
      <c r="S497" s="326"/>
      <c r="T497" s="326"/>
      <c r="U497" s="326"/>
      <c r="V497" s="326"/>
    </row>
    <row r="498" spans="16:22" ht="12.75">
      <c r="P498" s="326"/>
      <c r="Q498" s="326"/>
      <c r="R498" s="326"/>
      <c r="S498" s="326"/>
      <c r="T498" s="326"/>
      <c r="U498" s="326"/>
      <c r="V498" s="326"/>
    </row>
    <row r="499" spans="16:22" ht="12.75">
      <c r="P499" s="326"/>
      <c r="Q499" s="326"/>
      <c r="R499" s="326"/>
      <c r="S499" s="326"/>
      <c r="T499" s="326"/>
      <c r="U499" s="326"/>
      <c r="V499" s="326"/>
    </row>
    <row r="500" spans="16:22" ht="12.75">
      <c r="P500" s="326"/>
      <c r="Q500" s="326"/>
      <c r="R500" s="326"/>
      <c r="S500" s="326"/>
      <c r="T500" s="326"/>
      <c r="U500" s="326"/>
      <c r="V500" s="326"/>
    </row>
    <row r="501" spans="16:22" ht="12.75">
      <c r="P501" s="326"/>
      <c r="Q501" s="326"/>
      <c r="R501" s="326"/>
      <c r="S501" s="326"/>
      <c r="T501" s="326"/>
      <c r="U501" s="326"/>
      <c r="V501" s="326"/>
    </row>
    <row r="502" spans="16:22" ht="12.75">
      <c r="P502" s="326"/>
      <c r="Q502" s="326"/>
      <c r="R502" s="326"/>
      <c r="S502" s="326"/>
      <c r="T502" s="326"/>
      <c r="U502" s="326"/>
      <c r="V502" s="326"/>
    </row>
    <row r="503" spans="16:22" ht="12.75">
      <c r="P503" s="326"/>
      <c r="Q503" s="326"/>
      <c r="R503" s="326"/>
      <c r="S503" s="326"/>
      <c r="T503" s="326"/>
      <c r="U503" s="326"/>
      <c r="V503" s="326"/>
    </row>
    <row r="504" spans="16:22" ht="12.75">
      <c r="P504" s="326"/>
      <c r="Q504" s="326"/>
      <c r="R504" s="326"/>
      <c r="S504" s="326"/>
      <c r="T504" s="326"/>
      <c r="U504" s="326"/>
      <c r="V504" s="326"/>
    </row>
    <row r="505" spans="16:22" ht="12.75">
      <c r="P505" s="326"/>
      <c r="Q505" s="326"/>
      <c r="R505" s="326"/>
      <c r="S505" s="326"/>
      <c r="T505" s="326"/>
      <c r="U505" s="326"/>
      <c r="V505" s="326"/>
    </row>
    <row r="506" spans="16:22" ht="12.75">
      <c r="P506" s="326"/>
      <c r="Q506" s="326"/>
      <c r="R506" s="326"/>
      <c r="S506" s="326"/>
      <c r="T506" s="326"/>
      <c r="U506" s="326"/>
      <c r="V506" s="326"/>
    </row>
    <row r="507" spans="16:22" ht="12.75">
      <c r="P507" s="326"/>
      <c r="Q507" s="326"/>
      <c r="R507" s="326"/>
      <c r="S507" s="326"/>
      <c r="T507" s="326"/>
      <c r="U507" s="326"/>
      <c r="V507" s="326"/>
    </row>
    <row r="508" spans="16:22" ht="12.75">
      <c r="P508" s="326"/>
      <c r="Q508" s="326"/>
      <c r="R508" s="326"/>
      <c r="S508" s="326"/>
      <c r="T508" s="326"/>
      <c r="U508" s="326"/>
      <c r="V508" s="326"/>
    </row>
    <row r="509" spans="16:22" ht="12.75">
      <c r="P509" s="326"/>
      <c r="Q509" s="326"/>
      <c r="R509" s="326"/>
      <c r="S509" s="326"/>
      <c r="T509" s="326"/>
      <c r="U509" s="326"/>
      <c r="V509" s="326"/>
    </row>
    <row r="510" spans="16:22" ht="12.75">
      <c r="P510" s="326"/>
      <c r="Q510" s="326"/>
      <c r="R510" s="326"/>
      <c r="S510" s="326"/>
      <c r="T510" s="326"/>
      <c r="U510" s="326"/>
      <c r="V510" s="326"/>
    </row>
    <row r="511" spans="16:22" ht="12.75">
      <c r="P511" s="326"/>
      <c r="Q511" s="326"/>
      <c r="R511" s="326"/>
      <c r="S511" s="326"/>
      <c r="T511" s="326"/>
      <c r="U511" s="326"/>
      <c r="V511" s="326"/>
    </row>
    <row r="512" spans="16:22" ht="12.75">
      <c r="P512" s="326"/>
      <c r="Q512" s="326"/>
      <c r="R512" s="326"/>
      <c r="S512" s="326"/>
      <c r="T512" s="326"/>
      <c r="U512" s="326"/>
      <c r="V512" s="326"/>
    </row>
    <row r="513" spans="16:22" ht="12.75">
      <c r="P513" s="326"/>
      <c r="Q513" s="326"/>
      <c r="R513" s="326"/>
      <c r="S513" s="326"/>
      <c r="T513" s="326"/>
      <c r="U513" s="326"/>
      <c r="V513" s="326"/>
    </row>
    <row r="514" spans="16:22" ht="12.75">
      <c r="P514" s="326"/>
      <c r="Q514" s="326"/>
      <c r="R514" s="326"/>
      <c r="S514" s="326"/>
      <c r="T514" s="326"/>
      <c r="U514" s="326"/>
      <c r="V514" s="326"/>
    </row>
    <row r="515" spans="16:22" ht="12.75">
      <c r="P515" s="326"/>
      <c r="Q515" s="326"/>
      <c r="R515" s="326"/>
      <c r="S515" s="326"/>
      <c r="T515" s="326"/>
      <c r="U515" s="326"/>
      <c r="V515" s="326"/>
    </row>
    <row r="516" spans="16:22" ht="12.75">
      <c r="P516" s="326"/>
      <c r="Q516" s="326"/>
      <c r="R516" s="326"/>
      <c r="S516" s="326"/>
      <c r="T516" s="326"/>
      <c r="U516" s="326"/>
      <c r="V516" s="326"/>
    </row>
    <row r="517" spans="16:22" ht="12.75">
      <c r="P517" s="326"/>
      <c r="Q517" s="326"/>
      <c r="R517" s="326"/>
      <c r="S517" s="326"/>
      <c r="T517" s="326"/>
      <c r="U517" s="326"/>
      <c r="V517" s="326"/>
    </row>
    <row r="518" spans="16:22" ht="12.75">
      <c r="P518" s="326"/>
      <c r="Q518" s="326"/>
      <c r="R518" s="326"/>
      <c r="S518" s="326"/>
      <c r="T518" s="326"/>
      <c r="U518" s="326"/>
      <c r="V518" s="326"/>
    </row>
    <row r="519" spans="16:22" ht="12.75">
      <c r="P519" s="326"/>
      <c r="Q519" s="326"/>
      <c r="R519" s="326"/>
      <c r="S519" s="326"/>
      <c r="T519" s="326"/>
      <c r="U519" s="326"/>
      <c r="V519" s="326"/>
    </row>
    <row r="520" spans="16:22" ht="12.75">
      <c r="P520" s="326"/>
      <c r="Q520" s="326"/>
      <c r="R520" s="326"/>
      <c r="S520" s="326"/>
      <c r="T520" s="326"/>
      <c r="U520" s="326"/>
      <c r="V520" s="326"/>
    </row>
    <row r="521" spans="16:22" ht="12.75">
      <c r="P521" s="326"/>
      <c r="Q521" s="326"/>
      <c r="R521" s="326"/>
      <c r="S521" s="326"/>
      <c r="T521" s="326"/>
      <c r="U521" s="326"/>
      <c r="V521" s="326"/>
    </row>
    <row r="522" spans="16:22" ht="12.75">
      <c r="P522" s="326"/>
      <c r="Q522" s="326"/>
      <c r="R522" s="326"/>
      <c r="S522" s="326"/>
      <c r="T522" s="326"/>
      <c r="U522" s="326"/>
      <c r="V522" s="326"/>
    </row>
    <row r="523" spans="16:22" ht="12.75">
      <c r="P523" s="326"/>
      <c r="Q523" s="326"/>
      <c r="R523" s="326"/>
      <c r="S523" s="326"/>
      <c r="T523" s="326"/>
      <c r="U523" s="326"/>
      <c r="V523" s="326"/>
    </row>
    <row r="524" spans="16:22" ht="12.75">
      <c r="P524" s="326"/>
      <c r="Q524" s="326"/>
      <c r="R524" s="326"/>
      <c r="S524" s="326"/>
      <c r="T524" s="326"/>
      <c r="U524" s="326"/>
      <c r="V524" s="326"/>
    </row>
    <row r="525" spans="16:22" ht="12.75">
      <c r="P525" s="326"/>
      <c r="Q525" s="326"/>
      <c r="R525" s="326"/>
      <c r="S525" s="326"/>
      <c r="T525" s="326"/>
      <c r="U525" s="326"/>
      <c r="V525" s="326"/>
    </row>
    <row r="526" spans="16:22" ht="12.75">
      <c r="P526" s="326"/>
      <c r="Q526" s="326"/>
      <c r="R526" s="326"/>
      <c r="S526" s="326"/>
      <c r="T526" s="326"/>
      <c r="U526" s="326"/>
      <c r="V526" s="326"/>
    </row>
    <row r="527" spans="16:22" ht="12.75">
      <c r="P527" s="326"/>
      <c r="Q527" s="326"/>
      <c r="R527" s="326"/>
      <c r="S527" s="326"/>
      <c r="T527" s="326"/>
      <c r="U527" s="326"/>
      <c r="V527" s="326"/>
    </row>
    <row r="528" spans="16:22" ht="12.75">
      <c r="P528" s="326"/>
      <c r="Q528" s="326"/>
      <c r="R528" s="326"/>
      <c r="S528" s="326"/>
      <c r="T528" s="326"/>
      <c r="U528" s="326"/>
      <c r="V528" s="326"/>
    </row>
    <row r="529" spans="16:22" ht="12.75">
      <c r="P529" s="326"/>
      <c r="Q529" s="326"/>
      <c r="R529" s="326"/>
      <c r="S529" s="326"/>
      <c r="T529" s="326"/>
      <c r="U529" s="326"/>
      <c r="V529" s="326"/>
    </row>
    <row r="530" spans="16:22" ht="12.75">
      <c r="P530" s="326"/>
      <c r="Q530" s="326"/>
      <c r="R530" s="326"/>
      <c r="S530" s="326"/>
      <c r="T530" s="326"/>
      <c r="U530" s="326"/>
      <c r="V530" s="326"/>
    </row>
    <row r="531" spans="16:22" ht="12.75">
      <c r="P531" s="326"/>
      <c r="Q531" s="326"/>
      <c r="R531" s="326"/>
      <c r="S531" s="326"/>
      <c r="T531" s="326"/>
      <c r="U531" s="326"/>
      <c r="V531" s="326"/>
    </row>
    <row r="532" spans="16:22" ht="12.75">
      <c r="P532" s="326"/>
      <c r="Q532" s="326"/>
      <c r="R532" s="326"/>
      <c r="S532" s="326"/>
      <c r="T532" s="326"/>
      <c r="U532" s="326"/>
      <c r="V532" s="326"/>
    </row>
    <row r="533" spans="16:22" ht="12.75">
      <c r="P533" s="326"/>
      <c r="Q533" s="326"/>
      <c r="R533" s="326"/>
      <c r="S533" s="326"/>
      <c r="T533" s="326"/>
      <c r="U533" s="326"/>
      <c r="V533" s="326"/>
    </row>
    <row r="534" spans="16:22" ht="12.75">
      <c r="P534" s="326"/>
      <c r="Q534" s="326"/>
      <c r="R534" s="326"/>
      <c r="S534" s="326"/>
      <c r="T534" s="326"/>
      <c r="U534" s="326"/>
      <c r="V534" s="326"/>
    </row>
    <row r="535" spans="16:22" ht="12.75">
      <c r="P535" s="326"/>
      <c r="Q535" s="326"/>
      <c r="R535" s="326"/>
      <c r="S535" s="326"/>
      <c r="T535" s="326"/>
      <c r="U535" s="326"/>
      <c r="V535" s="326"/>
    </row>
    <row r="536" spans="16:22" ht="12.75">
      <c r="P536" s="326"/>
      <c r="Q536" s="326"/>
      <c r="R536" s="326"/>
      <c r="S536" s="326"/>
      <c r="T536" s="326"/>
      <c r="U536" s="326"/>
      <c r="V536" s="326"/>
    </row>
    <row r="537" spans="16:22" ht="12.75">
      <c r="P537" s="326"/>
      <c r="Q537" s="326"/>
      <c r="R537" s="326"/>
      <c r="S537" s="326"/>
      <c r="T537" s="326"/>
      <c r="U537" s="326"/>
      <c r="V537" s="326"/>
    </row>
    <row r="538" spans="16:22" ht="12.75">
      <c r="P538" s="326"/>
      <c r="Q538" s="326"/>
      <c r="R538" s="326"/>
      <c r="S538" s="326"/>
      <c r="T538" s="326"/>
      <c r="U538" s="326"/>
      <c r="V538" s="326"/>
    </row>
    <row r="539" spans="16:22" ht="12.75">
      <c r="P539" s="326"/>
      <c r="Q539" s="326"/>
      <c r="R539" s="326"/>
      <c r="S539" s="326"/>
      <c r="T539" s="326"/>
      <c r="U539" s="326"/>
      <c r="V539" s="326"/>
    </row>
    <row r="540" spans="16:22" ht="12.75">
      <c r="P540" s="326"/>
      <c r="Q540" s="326"/>
      <c r="R540" s="326"/>
      <c r="S540" s="326"/>
      <c r="T540" s="326"/>
      <c r="U540" s="326"/>
      <c r="V540" s="326"/>
    </row>
    <row r="541" spans="16:22" ht="12.75">
      <c r="P541" s="326"/>
      <c r="Q541" s="326"/>
      <c r="R541" s="326"/>
      <c r="S541" s="326"/>
      <c r="T541" s="326"/>
      <c r="U541" s="326"/>
      <c r="V541" s="326"/>
    </row>
    <row r="542" spans="16:22" ht="12.75">
      <c r="P542" s="326"/>
      <c r="Q542" s="326"/>
      <c r="R542" s="326"/>
      <c r="S542" s="326"/>
      <c r="T542" s="326"/>
      <c r="U542" s="326"/>
      <c r="V542" s="326"/>
    </row>
    <row r="543" spans="16:22" ht="12.75">
      <c r="P543" s="326"/>
      <c r="Q543" s="326"/>
      <c r="R543" s="326"/>
      <c r="S543" s="326"/>
      <c r="T543" s="326"/>
      <c r="U543" s="326"/>
      <c r="V543" s="326"/>
    </row>
    <row r="544" spans="16:22" ht="12.75">
      <c r="P544" s="326"/>
      <c r="Q544" s="326"/>
      <c r="R544" s="326"/>
      <c r="S544" s="326"/>
      <c r="T544" s="326"/>
      <c r="U544" s="326"/>
      <c r="V544" s="326"/>
    </row>
    <row r="545" spans="16:22" ht="12.75">
      <c r="P545" s="326"/>
      <c r="Q545" s="326"/>
      <c r="R545" s="326"/>
      <c r="S545" s="326"/>
      <c r="T545" s="326"/>
      <c r="U545" s="326"/>
      <c r="V545" s="326"/>
    </row>
    <row r="546" spans="16:22" ht="12.75">
      <c r="P546" s="326"/>
      <c r="Q546" s="326"/>
      <c r="R546" s="326"/>
      <c r="S546" s="326"/>
      <c r="T546" s="326"/>
      <c r="U546" s="326"/>
      <c r="V546" s="326"/>
    </row>
    <row r="547" spans="16:22" ht="12.75">
      <c r="P547" s="326"/>
      <c r="Q547" s="326"/>
      <c r="R547" s="326"/>
      <c r="S547" s="326"/>
      <c r="T547" s="326"/>
      <c r="U547" s="326"/>
      <c r="V547" s="326"/>
    </row>
    <row r="548" spans="16:22" ht="12.75">
      <c r="P548" s="326"/>
      <c r="Q548" s="326"/>
      <c r="R548" s="326"/>
      <c r="S548" s="326"/>
      <c r="T548" s="326"/>
      <c r="U548" s="326"/>
      <c r="V548" s="326"/>
    </row>
    <row r="549" spans="16:22" ht="12.75">
      <c r="P549" s="326"/>
      <c r="Q549" s="326"/>
      <c r="R549" s="326"/>
      <c r="S549" s="326"/>
      <c r="T549" s="326"/>
      <c r="U549" s="326"/>
      <c r="V549" s="326"/>
    </row>
    <row r="550" spans="16:22" ht="12.75">
      <c r="P550" s="326"/>
      <c r="Q550" s="326"/>
      <c r="R550" s="326"/>
      <c r="S550" s="326"/>
      <c r="T550" s="326"/>
      <c r="U550" s="326"/>
      <c r="V550" s="326"/>
    </row>
    <row r="551" spans="16:22" ht="12.75">
      <c r="P551" s="326"/>
      <c r="Q551" s="326"/>
      <c r="R551" s="326"/>
      <c r="S551" s="326"/>
      <c r="T551" s="326"/>
      <c r="U551" s="326"/>
      <c r="V551" s="326"/>
    </row>
    <row r="552" spans="16:22" ht="12.75">
      <c r="P552" s="326"/>
      <c r="Q552" s="326"/>
      <c r="R552" s="326"/>
      <c r="S552" s="326"/>
      <c r="T552" s="326"/>
      <c r="U552" s="326"/>
      <c r="V552" s="326"/>
    </row>
    <row r="553" spans="16:22" ht="12.75">
      <c r="P553" s="326"/>
      <c r="Q553" s="326"/>
      <c r="R553" s="326"/>
      <c r="S553" s="326"/>
      <c r="T553" s="326"/>
      <c r="U553" s="326"/>
      <c r="V553" s="326"/>
    </row>
    <row r="554" spans="16:22" ht="12.75">
      <c r="P554" s="326"/>
      <c r="Q554" s="326"/>
      <c r="R554" s="326"/>
      <c r="S554" s="326"/>
      <c r="T554" s="326"/>
      <c r="U554" s="326"/>
      <c r="V554" s="326"/>
    </row>
    <row r="555" spans="16:22" ht="12.75">
      <c r="P555" s="326"/>
      <c r="Q555" s="326"/>
      <c r="R555" s="326"/>
      <c r="S555" s="326"/>
      <c r="T555" s="326"/>
      <c r="U555" s="326"/>
      <c r="V555" s="326"/>
    </row>
    <row r="556" spans="16:22" ht="12.75">
      <c r="P556" s="326"/>
      <c r="Q556" s="326"/>
      <c r="R556" s="326"/>
      <c r="S556" s="326"/>
      <c r="T556" s="326"/>
      <c r="U556" s="326"/>
      <c r="V556" s="326"/>
    </row>
    <row r="557" spans="16:22" ht="12.75">
      <c r="P557" s="326"/>
      <c r="Q557" s="326"/>
      <c r="R557" s="326"/>
      <c r="S557" s="326"/>
      <c r="T557" s="326"/>
      <c r="U557" s="326"/>
      <c r="V557" s="326"/>
    </row>
    <row r="558" spans="16:22" ht="12.75">
      <c r="P558" s="326"/>
      <c r="Q558" s="326"/>
      <c r="R558" s="326"/>
      <c r="S558" s="326"/>
      <c r="T558" s="326"/>
      <c r="U558" s="326"/>
      <c r="V558" s="326"/>
    </row>
    <row r="559" spans="16:22" ht="12.75">
      <c r="P559" s="326"/>
      <c r="Q559" s="326"/>
      <c r="R559" s="326"/>
      <c r="S559" s="326"/>
      <c r="T559" s="326"/>
      <c r="U559" s="326"/>
      <c r="V559" s="326"/>
    </row>
    <row r="560" spans="16:22" ht="12.75">
      <c r="P560" s="326"/>
      <c r="Q560" s="326"/>
      <c r="R560" s="326"/>
      <c r="S560" s="326"/>
      <c r="T560" s="326"/>
      <c r="U560" s="326"/>
      <c r="V560" s="326"/>
    </row>
    <row r="561" spans="16:22" ht="12.75">
      <c r="P561" s="326"/>
      <c r="Q561" s="326"/>
      <c r="R561" s="326"/>
      <c r="S561" s="326"/>
      <c r="T561" s="326"/>
      <c r="U561" s="326"/>
      <c r="V561" s="326"/>
    </row>
    <row r="562" spans="16:22" ht="12.75">
      <c r="P562" s="326"/>
      <c r="Q562" s="326"/>
      <c r="R562" s="326"/>
      <c r="S562" s="326"/>
      <c r="T562" s="326"/>
      <c r="U562" s="326"/>
      <c r="V562" s="326"/>
    </row>
    <row r="563" spans="16:22" ht="12.75">
      <c r="P563" s="326"/>
      <c r="Q563" s="326"/>
      <c r="R563" s="326"/>
      <c r="S563" s="326"/>
      <c r="T563" s="326"/>
      <c r="U563" s="326"/>
      <c r="V563" s="326"/>
    </row>
    <row r="564" spans="16:22" ht="12.75">
      <c r="P564" s="326"/>
      <c r="Q564" s="326"/>
      <c r="R564" s="326"/>
      <c r="S564" s="326"/>
      <c r="T564" s="326"/>
      <c r="U564" s="326"/>
      <c r="V564" s="326"/>
    </row>
    <row r="565" spans="16:22" ht="12.75">
      <c r="P565" s="326"/>
      <c r="Q565" s="326"/>
      <c r="R565" s="326"/>
      <c r="S565" s="326"/>
      <c r="T565" s="326"/>
      <c r="U565" s="326"/>
      <c r="V565" s="326"/>
    </row>
    <row r="566" spans="16:22" ht="12.75">
      <c r="P566" s="326"/>
      <c r="Q566" s="326"/>
      <c r="R566" s="326"/>
      <c r="S566" s="326"/>
      <c r="T566" s="326"/>
      <c r="U566" s="326"/>
      <c r="V566" s="326"/>
    </row>
    <row r="567" spans="16:22" ht="12.75">
      <c r="P567" s="326"/>
      <c r="Q567" s="326"/>
      <c r="R567" s="326"/>
      <c r="S567" s="326"/>
      <c r="T567" s="326"/>
      <c r="U567" s="326"/>
      <c r="V567" s="326"/>
    </row>
    <row r="568" spans="16:22" ht="12.75">
      <c r="P568" s="326"/>
      <c r="Q568" s="326"/>
      <c r="R568" s="326"/>
      <c r="S568" s="326"/>
      <c r="T568" s="326"/>
      <c r="U568" s="326"/>
      <c r="V568" s="326"/>
    </row>
    <row r="569" spans="16:22" ht="12.75">
      <c r="P569" s="326"/>
      <c r="Q569" s="326"/>
      <c r="R569" s="326"/>
      <c r="S569" s="326"/>
      <c r="T569" s="326"/>
      <c r="U569" s="326"/>
      <c r="V569" s="326"/>
    </row>
    <row r="570" spans="16:22" ht="12.75">
      <c r="P570" s="326"/>
      <c r="Q570" s="326"/>
      <c r="R570" s="326"/>
      <c r="S570" s="326"/>
      <c r="T570" s="326"/>
      <c r="U570" s="326"/>
      <c r="V570" s="326"/>
    </row>
    <row r="571" spans="16:22" ht="12.75">
      <c r="P571" s="326"/>
      <c r="Q571" s="326"/>
      <c r="R571" s="326"/>
      <c r="S571" s="326"/>
      <c r="T571" s="326"/>
      <c r="U571" s="326"/>
      <c r="V571" s="326"/>
    </row>
    <row r="572" spans="16:22" ht="12.75">
      <c r="P572" s="326"/>
      <c r="Q572" s="326"/>
      <c r="R572" s="326"/>
      <c r="S572" s="326"/>
      <c r="T572" s="326"/>
      <c r="U572" s="326"/>
      <c r="V572" s="326"/>
    </row>
    <row r="573" spans="16:22" ht="12.75">
      <c r="P573" s="326"/>
      <c r="Q573" s="326"/>
      <c r="R573" s="326"/>
      <c r="S573" s="326"/>
      <c r="T573" s="326"/>
      <c r="U573" s="326"/>
      <c r="V573" s="326"/>
    </row>
    <row r="574" spans="16:22" ht="12.75">
      <c r="P574" s="326"/>
      <c r="Q574" s="326"/>
      <c r="R574" s="326"/>
      <c r="S574" s="326"/>
      <c r="T574" s="326"/>
      <c r="U574" s="326"/>
      <c r="V574" s="326"/>
    </row>
    <row r="575" spans="16:22" ht="12.75">
      <c r="P575" s="326"/>
      <c r="Q575" s="326"/>
      <c r="R575" s="326"/>
      <c r="S575" s="326"/>
      <c r="T575" s="326"/>
      <c r="U575" s="326"/>
      <c r="V575" s="326"/>
    </row>
    <row r="576" spans="16:22" ht="12.75">
      <c r="P576" s="326"/>
      <c r="Q576" s="326"/>
      <c r="R576" s="326"/>
      <c r="S576" s="326"/>
      <c r="T576" s="326"/>
      <c r="U576" s="326"/>
      <c r="V576" s="326"/>
    </row>
    <row r="577" spans="16:22" ht="12.75">
      <c r="P577" s="326"/>
      <c r="Q577" s="326"/>
      <c r="R577" s="326"/>
      <c r="S577" s="326"/>
      <c r="T577" s="326"/>
      <c r="U577" s="326"/>
      <c r="V577" s="326"/>
    </row>
    <row r="578" spans="16:22" ht="12.75">
      <c r="P578" s="326"/>
      <c r="Q578" s="326"/>
      <c r="R578" s="326"/>
      <c r="S578" s="326"/>
      <c r="T578" s="326"/>
      <c r="U578" s="326"/>
      <c r="V578" s="326"/>
    </row>
    <row r="579" spans="16:22" ht="12.75">
      <c r="P579" s="326"/>
      <c r="Q579" s="326"/>
      <c r="R579" s="326"/>
      <c r="S579" s="326"/>
      <c r="T579" s="326"/>
      <c r="U579" s="326"/>
      <c r="V579" s="326"/>
    </row>
    <row r="580" spans="16:22" ht="12.75">
      <c r="P580" s="326"/>
      <c r="Q580" s="326"/>
      <c r="R580" s="326"/>
      <c r="S580" s="326"/>
      <c r="T580" s="326"/>
      <c r="U580" s="326"/>
      <c r="V580" s="326"/>
    </row>
    <row r="581" spans="16:22" ht="12.75">
      <c r="P581" s="326"/>
      <c r="Q581" s="326"/>
      <c r="R581" s="326"/>
      <c r="S581" s="326"/>
      <c r="T581" s="326"/>
      <c r="U581" s="326"/>
      <c r="V581" s="326"/>
    </row>
    <row r="582" spans="16:22" ht="12.75">
      <c r="P582" s="326"/>
      <c r="Q582" s="326"/>
      <c r="R582" s="326"/>
      <c r="S582" s="326"/>
      <c r="T582" s="326"/>
      <c r="U582" s="326"/>
      <c r="V582" s="326"/>
    </row>
    <row r="583" spans="16:22" ht="12.75">
      <c r="P583" s="326"/>
      <c r="Q583" s="326"/>
      <c r="R583" s="326"/>
      <c r="S583" s="326"/>
      <c r="T583" s="326"/>
      <c r="U583" s="326"/>
      <c r="V583" s="326"/>
    </row>
    <row r="584" spans="16:22" ht="12.75">
      <c r="P584" s="326"/>
      <c r="Q584" s="326"/>
      <c r="R584" s="326"/>
      <c r="S584" s="326"/>
      <c r="T584" s="326"/>
      <c r="U584" s="326"/>
      <c r="V584" s="326"/>
    </row>
    <row r="585" spans="16:22" ht="12.75">
      <c r="P585" s="326"/>
      <c r="Q585" s="326"/>
      <c r="R585" s="326"/>
      <c r="S585" s="326"/>
      <c r="T585" s="326"/>
      <c r="U585" s="326"/>
      <c r="V585" s="326"/>
    </row>
    <row r="586" spans="16:22" ht="12.75">
      <c r="P586" s="326"/>
      <c r="Q586" s="326"/>
      <c r="R586" s="326"/>
      <c r="S586" s="326"/>
      <c r="T586" s="326"/>
      <c r="U586" s="326"/>
      <c r="V586" s="326"/>
    </row>
    <row r="587" spans="16:22" ht="12.75">
      <c r="P587" s="326"/>
      <c r="Q587" s="326"/>
      <c r="R587" s="326"/>
      <c r="S587" s="326"/>
      <c r="T587" s="326"/>
      <c r="U587" s="326"/>
      <c r="V587" s="326"/>
    </row>
    <row r="588" spans="16:22" ht="12.75">
      <c r="P588" s="326"/>
      <c r="Q588" s="326"/>
      <c r="R588" s="326"/>
      <c r="S588" s="326"/>
      <c r="T588" s="326"/>
      <c r="U588" s="326"/>
      <c r="V588" s="326"/>
    </row>
    <row r="589" spans="16:22" ht="12.75">
      <c r="P589" s="326"/>
      <c r="Q589" s="326"/>
      <c r="R589" s="326"/>
      <c r="S589" s="326"/>
      <c r="T589" s="326"/>
      <c r="U589" s="326"/>
      <c r="V589" s="326"/>
    </row>
    <row r="590" spans="16:22" ht="12.75">
      <c r="P590" s="326"/>
      <c r="Q590" s="326"/>
      <c r="R590" s="326"/>
      <c r="S590" s="326"/>
      <c r="T590" s="326"/>
      <c r="U590" s="326"/>
      <c r="V590" s="326"/>
    </row>
    <row r="591" spans="16:22" ht="12.75">
      <c r="P591" s="326"/>
      <c r="Q591" s="326"/>
      <c r="R591" s="326"/>
      <c r="S591" s="326"/>
      <c r="T591" s="326"/>
      <c r="U591" s="326"/>
      <c r="V591" s="326"/>
    </row>
    <row r="592" spans="16:22" ht="12.75">
      <c r="P592" s="326"/>
      <c r="Q592" s="326"/>
      <c r="R592" s="326"/>
      <c r="S592" s="326"/>
      <c r="T592" s="326"/>
      <c r="U592" s="326"/>
      <c r="V592" s="326"/>
    </row>
    <row r="593" spans="16:22" ht="12.75">
      <c r="P593" s="326"/>
      <c r="Q593" s="326"/>
      <c r="R593" s="326"/>
      <c r="S593" s="326"/>
      <c r="T593" s="326"/>
      <c r="U593" s="326"/>
      <c r="V593" s="326"/>
    </row>
    <row r="594" spans="16:22" ht="12.75">
      <c r="P594" s="326"/>
      <c r="Q594" s="326"/>
      <c r="R594" s="326"/>
      <c r="S594" s="326"/>
      <c r="T594" s="326"/>
      <c r="U594" s="326"/>
      <c r="V594" s="326"/>
    </row>
    <row r="595" spans="16:22" ht="12.75">
      <c r="P595" s="326"/>
      <c r="Q595" s="326"/>
      <c r="R595" s="326"/>
      <c r="S595" s="326"/>
      <c r="T595" s="326"/>
      <c r="U595" s="326"/>
      <c r="V595" s="326"/>
    </row>
    <row r="596" spans="16:22" ht="12.75">
      <c r="P596" s="326"/>
      <c r="Q596" s="326"/>
      <c r="R596" s="326"/>
      <c r="S596" s="326"/>
      <c r="T596" s="326"/>
      <c r="U596" s="326"/>
      <c r="V596" s="326"/>
    </row>
    <row r="597" spans="16:22" ht="12.75">
      <c r="P597" s="326"/>
      <c r="Q597" s="326"/>
      <c r="R597" s="326"/>
      <c r="S597" s="326"/>
      <c r="T597" s="326"/>
      <c r="U597" s="326"/>
      <c r="V597" s="326"/>
    </row>
    <row r="598" spans="16:22" ht="12.75">
      <c r="P598" s="326"/>
      <c r="Q598" s="326"/>
      <c r="R598" s="326"/>
      <c r="S598" s="326"/>
      <c r="T598" s="326"/>
      <c r="U598" s="326"/>
      <c r="V598" s="326"/>
    </row>
    <row r="599" spans="16:22" ht="12.75">
      <c r="P599" s="326"/>
      <c r="Q599" s="326"/>
      <c r="R599" s="326"/>
      <c r="S599" s="326"/>
      <c r="T599" s="326"/>
      <c r="U599" s="326"/>
      <c r="V599" s="326"/>
    </row>
    <row r="600" spans="16:22" ht="12.75">
      <c r="P600" s="326"/>
      <c r="Q600" s="326"/>
      <c r="R600" s="326"/>
      <c r="S600" s="326"/>
      <c r="T600" s="326"/>
      <c r="U600" s="326"/>
      <c r="V600" s="326"/>
    </row>
    <row r="601" spans="16:22" ht="12.75">
      <c r="P601" s="326"/>
      <c r="Q601" s="326"/>
      <c r="R601" s="326"/>
      <c r="S601" s="326"/>
      <c r="T601" s="326"/>
      <c r="U601" s="326"/>
      <c r="V601" s="326"/>
    </row>
    <row r="602" spans="16:22" ht="12.75">
      <c r="P602" s="326"/>
      <c r="Q602" s="326"/>
      <c r="R602" s="326"/>
      <c r="S602" s="326"/>
      <c r="T602" s="326"/>
      <c r="U602" s="326"/>
      <c r="V602" s="326"/>
    </row>
    <row r="603" spans="16:22" ht="12.75">
      <c r="P603" s="326"/>
      <c r="Q603" s="326"/>
      <c r="R603" s="326"/>
      <c r="S603" s="326"/>
      <c r="T603" s="326"/>
      <c r="U603" s="326"/>
      <c r="V603" s="326"/>
    </row>
    <row r="604" spans="16:22" ht="12.75">
      <c r="P604" s="326"/>
      <c r="Q604" s="326"/>
      <c r="R604" s="326"/>
      <c r="S604" s="326"/>
      <c r="T604" s="326"/>
      <c r="U604" s="326"/>
      <c r="V604" s="326"/>
    </row>
    <row r="605" spans="16:22" ht="12.75">
      <c r="P605" s="326"/>
      <c r="Q605" s="326"/>
      <c r="R605" s="326"/>
      <c r="S605" s="326"/>
      <c r="T605" s="326"/>
      <c r="U605" s="326"/>
      <c r="V605" s="326"/>
    </row>
    <row r="606" spans="16:22" ht="12.75">
      <c r="P606" s="326"/>
      <c r="Q606" s="326"/>
      <c r="R606" s="326"/>
      <c r="S606" s="326"/>
      <c r="T606" s="326"/>
      <c r="U606" s="326"/>
      <c r="V606" s="326"/>
    </row>
    <row r="607" spans="16:22" ht="12.75">
      <c r="P607" s="326"/>
      <c r="Q607" s="326"/>
      <c r="R607" s="326"/>
      <c r="S607" s="326"/>
      <c r="T607" s="326"/>
      <c r="U607" s="326"/>
      <c r="V607" s="326"/>
    </row>
    <row r="608" spans="16:22" ht="12.75">
      <c r="P608" s="326"/>
      <c r="Q608" s="326"/>
      <c r="R608" s="326"/>
      <c r="S608" s="326"/>
      <c r="T608" s="326"/>
      <c r="U608" s="326"/>
      <c r="V608" s="326"/>
    </row>
    <row r="609" spans="16:22" ht="12.75">
      <c r="P609" s="326"/>
      <c r="Q609" s="326"/>
      <c r="R609" s="326"/>
      <c r="S609" s="326"/>
      <c r="T609" s="326"/>
      <c r="U609" s="326"/>
      <c r="V609" s="326"/>
    </row>
    <row r="610" spans="16:22" ht="12.75">
      <c r="P610" s="326"/>
      <c r="Q610" s="326"/>
      <c r="R610" s="326"/>
      <c r="S610" s="326"/>
      <c r="T610" s="326"/>
      <c r="U610" s="326"/>
      <c r="V610" s="326"/>
    </row>
    <row r="611" spans="16:22" ht="12.75">
      <c r="P611" s="326"/>
      <c r="Q611" s="326"/>
      <c r="R611" s="326"/>
      <c r="S611" s="326"/>
      <c r="T611" s="326"/>
      <c r="U611" s="326"/>
      <c r="V611" s="326"/>
    </row>
    <row r="612" spans="16:22" ht="12.75">
      <c r="P612" s="326"/>
      <c r="Q612" s="326"/>
      <c r="R612" s="326"/>
      <c r="S612" s="326"/>
      <c r="T612" s="326"/>
      <c r="U612" s="326"/>
      <c r="V612" s="326"/>
    </row>
    <row r="613" spans="16:22" ht="12.75">
      <c r="P613" s="326"/>
      <c r="Q613" s="326"/>
      <c r="R613" s="326"/>
      <c r="S613" s="326"/>
      <c r="T613" s="326"/>
      <c r="U613" s="326"/>
      <c r="V613" s="326"/>
    </row>
    <row r="614" spans="16:22" ht="12.75">
      <c r="P614" s="326"/>
      <c r="Q614" s="326"/>
      <c r="R614" s="326"/>
      <c r="S614" s="326"/>
      <c r="T614" s="326"/>
      <c r="U614" s="326"/>
      <c r="V614" s="326"/>
    </row>
    <row r="615" spans="16:22" ht="12.75">
      <c r="P615" s="326"/>
      <c r="Q615" s="326"/>
      <c r="R615" s="326"/>
      <c r="S615" s="326"/>
      <c r="T615" s="326"/>
      <c r="U615" s="326"/>
      <c r="V615" s="326"/>
    </row>
    <row r="616" spans="16:22" ht="12.75">
      <c r="P616" s="326"/>
      <c r="Q616" s="326"/>
      <c r="R616" s="326"/>
      <c r="S616" s="326"/>
      <c r="T616" s="326"/>
      <c r="U616" s="326"/>
      <c r="V616" s="326"/>
    </row>
    <row r="617" spans="16:22" ht="12.75">
      <c r="P617" s="326"/>
      <c r="Q617" s="326"/>
      <c r="R617" s="326"/>
      <c r="S617" s="326"/>
      <c r="T617" s="326"/>
      <c r="U617" s="326"/>
      <c r="V617" s="326"/>
    </row>
    <row r="618" spans="16:22" ht="12.75">
      <c r="P618" s="326"/>
      <c r="Q618" s="326"/>
      <c r="R618" s="326"/>
      <c r="S618" s="326"/>
      <c r="T618" s="326"/>
      <c r="U618" s="326"/>
      <c r="V618" s="326"/>
    </row>
    <row r="619" spans="16:22" ht="12.75">
      <c r="P619" s="326"/>
      <c r="Q619" s="326"/>
      <c r="R619" s="326"/>
      <c r="S619" s="326"/>
      <c r="T619" s="326"/>
      <c r="U619" s="326"/>
      <c r="V619" s="326"/>
    </row>
    <row r="620" spans="16:22" ht="12.75">
      <c r="P620" s="326"/>
      <c r="Q620" s="326"/>
      <c r="R620" s="326"/>
      <c r="S620" s="326"/>
      <c r="T620" s="326"/>
      <c r="U620" s="326"/>
      <c r="V620" s="326"/>
    </row>
    <row r="621" spans="16:22" ht="12.75">
      <c r="P621" s="326"/>
      <c r="Q621" s="326"/>
      <c r="R621" s="326"/>
      <c r="S621" s="326"/>
      <c r="T621" s="326"/>
      <c r="U621" s="326"/>
      <c r="V621" s="326"/>
    </row>
    <row r="622" spans="16:22" ht="12.75">
      <c r="P622" s="326"/>
      <c r="Q622" s="326"/>
      <c r="R622" s="326"/>
      <c r="S622" s="326"/>
      <c r="T622" s="326"/>
      <c r="U622" s="326"/>
      <c r="V622" s="326"/>
    </row>
    <row r="623" spans="16:22" ht="12.75">
      <c r="P623" s="326"/>
      <c r="Q623" s="326"/>
      <c r="R623" s="326"/>
      <c r="S623" s="326"/>
      <c r="T623" s="326"/>
      <c r="U623" s="326"/>
      <c r="V623" s="326"/>
    </row>
    <row r="624" spans="16:22" ht="12.75">
      <c r="P624" s="326"/>
      <c r="Q624" s="326"/>
      <c r="R624" s="326"/>
      <c r="S624" s="326"/>
      <c r="T624" s="326"/>
      <c r="U624" s="326"/>
      <c r="V624" s="326"/>
    </row>
    <row r="625" spans="16:22" ht="12.75">
      <c r="P625" s="326"/>
      <c r="Q625" s="326"/>
      <c r="R625" s="326"/>
      <c r="S625" s="326"/>
      <c r="T625" s="326"/>
      <c r="U625" s="326"/>
      <c r="V625" s="326"/>
    </row>
    <row r="626" spans="16:22" ht="12.75">
      <c r="P626" s="326"/>
      <c r="Q626" s="326"/>
      <c r="R626" s="326"/>
      <c r="S626" s="326"/>
      <c r="T626" s="326"/>
      <c r="U626" s="326"/>
      <c r="V626" s="326"/>
    </row>
    <row r="627" spans="16:22" ht="12.75">
      <c r="P627" s="326"/>
      <c r="Q627" s="326"/>
      <c r="R627" s="326"/>
      <c r="S627" s="326"/>
      <c r="T627" s="326"/>
      <c r="U627" s="326"/>
      <c r="V627" s="326"/>
    </row>
    <row r="628" spans="16:22" ht="12.75">
      <c r="P628" s="326"/>
      <c r="Q628" s="326"/>
      <c r="R628" s="326"/>
      <c r="S628" s="326"/>
      <c r="T628" s="326"/>
      <c r="U628" s="326"/>
      <c r="V628" s="326"/>
    </row>
    <row r="629" spans="16:22" ht="12.75">
      <c r="P629" s="326"/>
      <c r="Q629" s="326"/>
      <c r="R629" s="326"/>
      <c r="S629" s="326"/>
      <c r="T629" s="326"/>
      <c r="U629" s="326"/>
      <c r="V629" s="326"/>
    </row>
    <row r="630" spans="16:22" ht="12.75">
      <c r="P630" s="326"/>
      <c r="Q630" s="326"/>
      <c r="R630" s="326"/>
      <c r="S630" s="326"/>
      <c r="T630" s="326"/>
      <c r="U630" s="326"/>
      <c r="V630" s="326"/>
    </row>
    <row r="631" spans="16:22" ht="12.75">
      <c r="P631" s="326"/>
      <c r="Q631" s="326"/>
      <c r="R631" s="326"/>
      <c r="S631" s="326"/>
      <c r="T631" s="326"/>
      <c r="U631" s="326"/>
      <c r="V631" s="326"/>
    </row>
    <row r="632" spans="16:22" ht="12.75">
      <c r="P632" s="326"/>
      <c r="Q632" s="326"/>
      <c r="R632" s="326"/>
      <c r="S632" s="326"/>
      <c r="T632" s="326"/>
      <c r="U632" s="326"/>
      <c r="V632" s="326"/>
    </row>
    <row r="633" spans="16:22" ht="12.75">
      <c r="P633" s="326"/>
      <c r="Q633" s="326"/>
      <c r="R633" s="326"/>
      <c r="S633" s="326"/>
      <c r="T633" s="326"/>
      <c r="U633" s="326"/>
      <c r="V633" s="326"/>
    </row>
    <row r="634" spans="16:22" ht="12.75">
      <c r="P634" s="326"/>
      <c r="Q634" s="326"/>
      <c r="R634" s="326"/>
      <c r="S634" s="326"/>
      <c r="T634" s="326"/>
      <c r="U634" s="326"/>
      <c r="V634" s="326"/>
    </row>
    <row r="635" spans="16:22" ht="12.75">
      <c r="P635" s="326"/>
      <c r="Q635" s="326"/>
      <c r="R635" s="326"/>
      <c r="S635" s="326"/>
      <c r="T635" s="326"/>
      <c r="U635" s="326"/>
      <c r="V635" s="326"/>
    </row>
    <row r="636" spans="16:22" ht="12.75">
      <c r="P636" s="326"/>
      <c r="Q636" s="326"/>
      <c r="R636" s="326"/>
      <c r="S636" s="326"/>
      <c r="T636" s="326"/>
      <c r="U636" s="326"/>
      <c r="V636" s="326"/>
    </row>
    <row r="637" spans="16:22" ht="12.75">
      <c r="P637" s="326"/>
      <c r="Q637" s="326"/>
      <c r="R637" s="326"/>
      <c r="S637" s="326"/>
      <c r="T637" s="326"/>
      <c r="U637" s="326"/>
      <c r="V637" s="326"/>
    </row>
    <row r="638" spans="16:22" ht="12.75">
      <c r="P638" s="326"/>
      <c r="Q638" s="326"/>
      <c r="R638" s="326"/>
      <c r="S638" s="326"/>
      <c r="T638" s="326"/>
      <c r="U638" s="326"/>
      <c r="V638" s="326"/>
    </row>
    <row r="639" spans="16:22" ht="12.75">
      <c r="P639" s="326"/>
      <c r="Q639" s="326"/>
      <c r="R639" s="326"/>
      <c r="S639" s="326"/>
      <c r="T639" s="326"/>
      <c r="U639" s="326"/>
      <c r="V639" s="326"/>
    </row>
    <row r="640" spans="16:22" ht="12.75">
      <c r="P640" s="326"/>
      <c r="Q640" s="326"/>
      <c r="R640" s="326"/>
      <c r="S640" s="326"/>
      <c r="T640" s="326"/>
      <c r="U640" s="326"/>
      <c r="V640" s="326"/>
    </row>
    <row r="641" spans="16:22" ht="12.75">
      <c r="P641" s="326"/>
      <c r="Q641" s="326"/>
      <c r="R641" s="326"/>
      <c r="S641" s="326"/>
      <c r="T641" s="326"/>
      <c r="U641" s="326"/>
      <c r="V641" s="326"/>
    </row>
    <row r="642" spans="16:22" ht="12.75">
      <c r="P642" s="326"/>
      <c r="Q642" s="326"/>
      <c r="R642" s="326"/>
      <c r="S642" s="326"/>
      <c r="T642" s="326"/>
      <c r="U642" s="326"/>
      <c r="V642" s="326"/>
    </row>
    <row r="643" spans="16:22" ht="12.75">
      <c r="P643" s="326"/>
      <c r="Q643" s="326"/>
      <c r="R643" s="326"/>
      <c r="S643" s="326"/>
      <c r="T643" s="326"/>
      <c r="U643" s="326"/>
      <c r="V643" s="326"/>
    </row>
    <row r="644" spans="16:22" ht="12.75">
      <c r="P644" s="326"/>
      <c r="Q644" s="326"/>
      <c r="R644" s="326"/>
      <c r="S644" s="326"/>
      <c r="T644" s="326"/>
      <c r="U644" s="326"/>
      <c r="V644" s="326"/>
    </row>
    <row r="645" spans="16:22" ht="12.75">
      <c r="P645" s="326"/>
      <c r="Q645" s="326"/>
      <c r="R645" s="326"/>
      <c r="S645" s="326"/>
      <c r="T645" s="326"/>
      <c r="U645" s="326"/>
      <c r="V645" s="326"/>
    </row>
    <row r="646" spans="16:22" ht="12.75">
      <c r="P646" s="326"/>
      <c r="Q646" s="326"/>
      <c r="R646" s="326"/>
      <c r="S646" s="326"/>
      <c r="T646" s="326"/>
      <c r="U646" s="326"/>
      <c r="V646" s="326"/>
    </row>
    <row r="647" spans="16:22" ht="12.75">
      <c r="P647" s="326"/>
      <c r="Q647" s="326"/>
      <c r="R647" s="326"/>
      <c r="S647" s="326"/>
      <c r="T647" s="326"/>
      <c r="U647" s="326"/>
      <c r="V647" s="326"/>
    </row>
    <row r="648" spans="16:22" ht="12.75">
      <c r="P648" s="326"/>
      <c r="Q648" s="326"/>
      <c r="R648" s="326"/>
      <c r="S648" s="326"/>
      <c r="T648" s="326"/>
      <c r="U648" s="326"/>
      <c r="V648" s="326"/>
    </row>
    <row r="649" spans="16:22" ht="12.75">
      <c r="P649" s="326"/>
      <c r="Q649" s="326"/>
      <c r="R649" s="326"/>
      <c r="S649" s="326"/>
      <c r="T649" s="326"/>
      <c r="U649" s="326"/>
      <c r="V649" s="326"/>
    </row>
    <row r="650" spans="16:22" ht="12.75">
      <c r="P650" s="326"/>
      <c r="Q650" s="326"/>
      <c r="R650" s="326"/>
      <c r="S650" s="326"/>
      <c r="T650" s="326"/>
      <c r="U650" s="326"/>
      <c r="V650" s="326"/>
    </row>
    <row r="651" spans="16:22" ht="12.75">
      <c r="P651" s="326"/>
      <c r="Q651" s="326"/>
      <c r="R651" s="326"/>
      <c r="S651" s="326"/>
      <c r="T651" s="326"/>
      <c r="U651" s="326"/>
      <c r="V651" s="326"/>
    </row>
    <row r="652" spans="16:22" ht="12.75">
      <c r="P652" s="326"/>
      <c r="Q652" s="326"/>
      <c r="R652" s="326"/>
      <c r="S652" s="326"/>
      <c r="T652" s="326"/>
      <c r="U652" s="326"/>
      <c r="V652" s="326"/>
    </row>
    <row r="653" spans="16:22" ht="12.75">
      <c r="P653" s="326"/>
      <c r="Q653" s="326"/>
      <c r="R653" s="326"/>
      <c r="S653" s="326"/>
      <c r="T653" s="326"/>
      <c r="U653" s="326"/>
      <c r="V653" s="326"/>
    </row>
    <row r="654" spans="16:22" ht="12.75">
      <c r="P654" s="326"/>
      <c r="Q654" s="326"/>
      <c r="R654" s="326"/>
      <c r="S654" s="326"/>
      <c r="T654" s="326"/>
      <c r="U654" s="326"/>
      <c r="V654" s="326"/>
    </row>
    <row r="655" spans="16:22" ht="12.75">
      <c r="P655" s="326"/>
      <c r="Q655" s="326"/>
      <c r="R655" s="326"/>
      <c r="S655" s="326"/>
      <c r="T655" s="326"/>
      <c r="U655" s="326"/>
      <c r="V655" s="326"/>
    </row>
    <row r="656" spans="16:22" ht="12.75">
      <c r="P656" s="326"/>
      <c r="Q656" s="326"/>
      <c r="R656" s="326"/>
      <c r="S656" s="326"/>
      <c r="T656" s="326"/>
      <c r="U656" s="326"/>
      <c r="V656" s="326"/>
    </row>
    <row r="657" spans="16:22" ht="12.75">
      <c r="P657" s="326"/>
      <c r="Q657" s="326"/>
      <c r="R657" s="326"/>
      <c r="S657" s="326"/>
      <c r="T657" s="326"/>
      <c r="U657" s="326"/>
      <c r="V657" s="326"/>
    </row>
    <row r="658" spans="16:22" ht="12.75">
      <c r="P658" s="326"/>
      <c r="Q658" s="326"/>
      <c r="R658" s="326"/>
      <c r="S658" s="326"/>
      <c r="T658" s="326"/>
      <c r="U658" s="326"/>
      <c r="V658" s="326"/>
    </row>
    <row r="659" spans="16:22" ht="12.75">
      <c r="P659" s="326"/>
      <c r="Q659" s="326"/>
      <c r="R659" s="326"/>
      <c r="S659" s="326"/>
      <c r="T659" s="326"/>
      <c r="U659" s="326"/>
      <c r="V659" s="326"/>
    </row>
    <row r="660" spans="16:22" ht="12.75">
      <c r="P660" s="326"/>
      <c r="Q660" s="326"/>
      <c r="R660" s="326"/>
      <c r="S660" s="326"/>
      <c r="T660" s="326"/>
      <c r="U660" s="326"/>
      <c r="V660" s="326"/>
    </row>
    <row r="661" spans="16:22" ht="12.75">
      <c r="P661" s="326"/>
      <c r="Q661" s="326"/>
      <c r="R661" s="326"/>
      <c r="S661" s="326"/>
      <c r="T661" s="326"/>
      <c r="U661" s="326"/>
      <c r="V661" s="326"/>
    </row>
    <row r="662" spans="16:22" ht="12.75">
      <c r="P662" s="326"/>
      <c r="Q662" s="326"/>
      <c r="R662" s="326"/>
      <c r="S662" s="326"/>
      <c r="T662" s="326"/>
      <c r="U662" s="326"/>
      <c r="V662" s="326"/>
    </row>
    <row r="663" spans="16:22" ht="12.75">
      <c r="P663" s="326"/>
      <c r="Q663" s="326"/>
      <c r="R663" s="326"/>
      <c r="S663" s="326"/>
      <c r="T663" s="326"/>
      <c r="U663" s="326"/>
      <c r="V663" s="326"/>
    </row>
    <row r="664" spans="16:22" ht="12.75">
      <c r="P664" s="326"/>
      <c r="Q664" s="326"/>
      <c r="R664" s="326"/>
      <c r="S664" s="326"/>
      <c r="T664" s="326"/>
      <c r="U664" s="326"/>
      <c r="V664" s="326"/>
    </row>
    <row r="665" spans="16:22" ht="12.75">
      <c r="P665" s="326"/>
      <c r="Q665" s="326"/>
      <c r="R665" s="326"/>
      <c r="S665" s="326"/>
      <c r="T665" s="326"/>
      <c r="U665" s="326"/>
      <c r="V665" s="326"/>
    </row>
    <row r="666" spans="16:22" ht="12.75">
      <c r="P666" s="326"/>
      <c r="Q666" s="326"/>
      <c r="R666" s="326"/>
      <c r="S666" s="326"/>
      <c r="T666" s="326"/>
      <c r="U666" s="326"/>
      <c r="V666" s="326"/>
    </row>
    <row r="667" spans="16:22" ht="12.75">
      <c r="P667" s="326"/>
      <c r="Q667" s="326"/>
      <c r="R667" s="326"/>
      <c r="S667" s="326"/>
      <c r="T667" s="326"/>
      <c r="U667" s="326"/>
      <c r="V667" s="326"/>
    </row>
    <row r="668" spans="16:22" ht="12.75">
      <c r="P668" s="326"/>
      <c r="Q668" s="326"/>
      <c r="R668" s="326"/>
      <c r="S668" s="326"/>
      <c r="T668" s="326"/>
      <c r="U668" s="326"/>
      <c r="V668" s="326"/>
    </row>
    <row r="669" spans="16:22" ht="12.75">
      <c r="P669" s="326"/>
      <c r="Q669" s="326"/>
      <c r="R669" s="326"/>
      <c r="S669" s="326"/>
      <c r="T669" s="326"/>
      <c r="U669" s="326"/>
      <c r="V669" s="326"/>
    </row>
    <row r="670" spans="16:22" ht="12.75">
      <c r="P670" s="326"/>
      <c r="Q670" s="326"/>
      <c r="R670" s="326"/>
      <c r="S670" s="326"/>
      <c r="T670" s="326"/>
      <c r="U670" s="326"/>
      <c r="V670" s="326"/>
    </row>
    <row r="671" spans="16:22" ht="12.75">
      <c r="P671" s="326"/>
      <c r="Q671" s="326"/>
      <c r="R671" s="326"/>
      <c r="S671" s="326"/>
      <c r="T671" s="326"/>
      <c r="U671" s="326"/>
      <c r="V671" s="326"/>
    </row>
    <row r="672" spans="16:22" ht="12.75">
      <c r="P672" s="326"/>
      <c r="Q672" s="326"/>
      <c r="R672" s="326"/>
      <c r="S672" s="326"/>
      <c r="T672" s="326"/>
      <c r="U672" s="326"/>
      <c r="V672" s="326"/>
    </row>
    <row r="673" spans="16:22" ht="12.75">
      <c r="P673" s="326"/>
      <c r="Q673" s="326"/>
      <c r="R673" s="326"/>
      <c r="S673" s="326"/>
      <c r="T673" s="326"/>
      <c r="U673" s="326"/>
      <c r="V673" s="326"/>
    </row>
    <row r="674" spans="16:22" ht="12.75">
      <c r="P674" s="326"/>
      <c r="Q674" s="326"/>
      <c r="R674" s="326"/>
      <c r="S674" s="326"/>
      <c r="T674" s="326"/>
      <c r="U674" s="326"/>
      <c r="V674" s="326"/>
    </row>
    <row r="675" spans="16:22" ht="12.75">
      <c r="P675" s="326"/>
      <c r="Q675" s="326"/>
      <c r="R675" s="326"/>
      <c r="S675" s="326"/>
      <c r="T675" s="326"/>
      <c r="U675" s="326"/>
      <c r="V675" s="326"/>
    </row>
    <row r="676" spans="16:22" ht="12.75">
      <c r="P676" s="326"/>
      <c r="Q676" s="326"/>
      <c r="R676" s="326"/>
      <c r="S676" s="326"/>
      <c r="T676" s="326"/>
      <c r="U676" s="326"/>
      <c r="V676" s="326"/>
    </row>
    <row r="677" spans="16:22" ht="12.75">
      <c r="P677" s="326"/>
      <c r="Q677" s="326"/>
      <c r="R677" s="326"/>
      <c r="S677" s="326"/>
      <c r="T677" s="326"/>
      <c r="U677" s="326"/>
      <c r="V677" s="326"/>
    </row>
    <row r="678" spans="16:22" ht="12.75">
      <c r="P678" s="326"/>
      <c r="Q678" s="326"/>
      <c r="R678" s="326"/>
      <c r="S678" s="326"/>
      <c r="T678" s="326"/>
      <c r="U678" s="326"/>
      <c r="V678" s="326"/>
    </row>
    <row r="679" spans="16:22" ht="12.75">
      <c r="P679" s="326"/>
      <c r="Q679" s="326"/>
      <c r="R679" s="326"/>
      <c r="S679" s="326"/>
      <c r="T679" s="326"/>
      <c r="U679" s="326"/>
      <c r="V679" s="326"/>
    </row>
    <row r="680" spans="16:22" ht="12.75">
      <c r="P680" s="326"/>
      <c r="Q680" s="326"/>
      <c r="R680" s="326"/>
      <c r="S680" s="326"/>
      <c r="T680" s="326"/>
      <c r="U680" s="326"/>
      <c r="V680" s="326"/>
    </row>
    <row r="681" spans="16:22" ht="12.75">
      <c r="P681" s="326"/>
      <c r="Q681" s="326"/>
      <c r="R681" s="326"/>
      <c r="S681" s="326"/>
      <c r="T681" s="326"/>
      <c r="U681" s="326"/>
      <c r="V681" s="326"/>
    </row>
    <row r="682" spans="16:22" ht="12.75">
      <c r="P682" s="326"/>
      <c r="Q682" s="326"/>
      <c r="R682" s="326"/>
      <c r="S682" s="326"/>
      <c r="T682" s="326"/>
      <c r="U682" s="326"/>
      <c r="V682" s="326"/>
    </row>
    <row r="683" spans="16:22" ht="12.75">
      <c r="P683" s="326"/>
      <c r="Q683" s="326"/>
      <c r="R683" s="326"/>
      <c r="S683" s="326"/>
      <c r="T683" s="326"/>
      <c r="U683" s="326"/>
      <c r="V683" s="326"/>
    </row>
    <row r="684" spans="16:22" ht="12.75">
      <c r="P684" s="326"/>
      <c r="Q684" s="326"/>
      <c r="R684" s="326"/>
      <c r="S684" s="326"/>
      <c r="T684" s="326"/>
      <c r="U684" s="326"/>
      <c r="V684" s="326"/>
    </row>
    <row r="685" spans="16:22" ht="12.75">
      <c r="P685" s="326"/>
      <c r="Q685" s="326"/>
      <c r="R685" s="326"/>
      <c r="S685" s="326"/>
      <c r="T685" s="326"/>
      <c r="U685" s="326"/>
      <c r="V685" s="326"/>
    </row>
    <row r="686" spans="16:22" ht="12.75">
      <c r="P686" s="326"/>
      <c r="Q686" s="326"/>
      <c r="R686" s="326"/>
      <c r="S686" s="326"/>
      <c r="T686" s="326"/>
      <c r="U686" s="326"/>
      <c r="V686" s="326"/>
    </row>
    <row r="687" spans="16:22" ht="12.75">
      <c r="P687" s="326"/>
      <c r="Q687" s="326"/>
      <c r="R687" s="326"/>
      <c r="S687" s="326"/>
      <c r="T687" s="326"/>
      <c r="U687" s="326"/>
      <c r="V687" s="326"/>
    </row>
    <row r="688" spans="16:22" ht="12.75">
      <c r="P688" s="326"/>
      <c r="Q688" s="326"/>
      <c r="R688" s="326"/>
      <c r="S688" s="326"/>
      <c r="T688" s="326"/>
      <c r="U688" s="326"/>
      <c r="V688" s="326"/>
    </row>
    <row r="689" spans="16:22" ht="12.75">
      <c r="P689" s="326"/>
      <c r="Q689" s="326"/>
      <c r="R689" s="326"/>
      <c r="S689" s="326"/>
      <c r="T689" s="326"/>
      <c r="U689" s="326"/>
      <c r="V689" s="326"/>
    </row>
    <row r="690" spans="16:22" ht="12.75">
      <c r="P690" s="326"/>
      <c r="Q690" s="326"/>
      <c r="R690" s="326"/>
      <c r="S690" s="326"/>
      <c r="T690" s="326"/>
      <c r="U690" s="326"/>
      <c r="V690" s="326"/>
    </row>
    <row r="691" spans="16:22" ht="12.75">
      <c r="P691" s="326"/>
      <c r="Q691" s="326"/>
      <c r="R691" s="326"/>
      <c r="S691" s="326"/>
      <c r="T691" s="326"/>
      <c r="U691" s="326"/>
      <c r="V691" s="326"/>
    </row>
    <row r="692" spans="16:22" ht="12.75">
      <c r="P692" s="326"/>
      <c r="Q692" s="326"/>
      <c r="R692" s="326"/>
      <c r="S692" s="326"/>
      <c r="T692" s="326"/>
      <c r="U692" s="326"/>
      <c r="V692" s="326"/>
    </row>
    <row r="693" spans="16:22" ht="12.75">
      <c r="P693" s="326"/>
      <c r="Q693" s="326"/>
      <c r="R693" s="326"/>
      <c r="S693" s="326"/>
      <c r="T693" s="326"/>
      <c r="U693" s="326"/>
      <c r="V693" s="326"/>
    </row>
    <row r="694" spans="16:22" ht="12.75">
      <c r="P694" s="326"/>
      <c r="Q694" s="326"/>
      <c r="R694" s="326"/>
      <c r="S694" s="326"/>
      <c r="T694" s="326"/>
      <c r="U694" s="326"/>
      <c r="V694" s="326"/>
    </row>
    <row r="695" spans="16:22" ht="12.75">
      <c r="P695" s="326"/>
      <c r="Q695" s="326"/>
      <c r="R695" s="326"/>
      <c r="S695" s="326"/>
      <c r="T695" s="326"/>
      <c r="U695" s="326"/>
      <c r="V695" s="326"/>
    </row>
    <row r="696" spans="16:22" ht="12.75">
      <c r="P696" s="326"/>
      <c r="Q696" s="326"/>
      <c r="R696" s="326"/>
      <c r="S696" s="326"/>
      <c r="T696" s="326"/>
      <c r="U696" s="326"/>
      <c r="V696" s="326"/>
    </row>
    <row r="697" spans="16:22" ht="12.75">
      <c r="P697" s="326"/>
      <c r="Q697" s="326"/>
      <c r="R697" s="326"/>
      <c r="S697" s="326"/>
      <c r="T697" s="326"/>
      <c r="U697" s="326"/>
      <c r="V697" s="326"/>
    </row>
    <row r="698" spans="16:22" ht="12.75">
      <c r="P698" s="326"/>
      <c r="Q698" s="326"/>
      <c r="R698" s="326"/>
      <c r="S698" s="326"/>
      <c r="T698" s="326"/>
      <c r="U698" s="326"/>
      <c r="V698" s="326"/>
    </row>
    <row r="699" spans="16:22" ht="12.75">
      <c r="P699" s="326"/>
      <c r="Q699" s="326"/>
      <c r="R699" s="326"/>
      <c r="S699" s="326"/>
      <c r="T699" s="326"/>
      <c r="U699" s="326"/>
      <c r="V699" s="326"/>
    </row>
    <row r="700" spans="16:22" ht="12.75">
      <c r="P700" s="326"/>
      <c r="Q700" s="326"/>
      <c r="R700" s="326"/>
      <c r="S700" s="326"/>
      <c r="T700" s="326"/>
      <c r="U700" s="326"/>
      <c r="V700" s="326"/>
    </row>
    <row r="701" spans="16:22" ht="12.75">
      <c r="P701" s="326"/>
      <c r="Q701" s="326"/>
      <c r="R701" s="326"/>
      <c r="S701" s="326"/>
      <c r="T701" s="326"/>
      <c r="U701" s="326"/>
      <c r="V701" s="326"/>
    </row>
    <row r="702" spans="16:22" ht="12.75">
      <c r="P702" s="326"/>
      <c r="Q702" s="326"/>
      <c r="R702" s="326"/>
      <c r="S702" s="326"/>
      <c r="T702" s="326"/>
      <c r="U702" s="326"/>
      <c r="V702" s="326"/>
    </row>
    <row r="703" spans="16:22" ht="12.75">
      <c r="P703" s="326"/>
      <c r="Q703" s="326"/>
      <c r="R703" s="326"/>
      <c r="S703" s="326"/>
      <c r="T703" s="326"/>
      <c r="U703" s="326"/>
      <c r="V703" s="326"/>
    </row>
    <row r="704" spans="16:22" ht="12.75">
      <c r="P704" s="326"/>
      <c r="Q704" s="326"/>
      <c r="R704" s="326"/>
      <c r="S704" s="326"/>
      <c r="T704" s="326"/>
      <c r="U704" s="326"/>
      <c r="V704" s="326"/>
    </row>
    <row r="705" spans="16:22" ht="12.75">
      <c r="P705" s="326"/>
      <c r="Q705" s="326"/>
      <c r="R705" s="326"/>
      <c r="S705" s="326"/>
      <c r="T705" s="326"/>
      <c r="U705" s="326"/>
      <c r="V705" s="326"/>
    </row>
    <row r="706" spans="16:22" ht="12.75">
      <c r="P706" s="326"/>
      <c r="Q706" s="326"/>
      <c r="R706" s="326"/>
      <c r="S706" s="326"/>
      <c r="T706" s="326"/>
      <c r="U706" s="326"/>
      <c r="V706" s="326"/>
    </row>
    <row r="707" spans="16:22" ht="12.75">
      <c r="P707" s="326"/>
      <c r="Q707" s="326"/>
      <c r="R707" s="326"/>
      <c r="S707" s="326"/>
      <c r="T707" s="326"/>
      <c r="U707" s="326"/>
      <c r="V707" s="326"/>
    </row>
    <row r="708" spans="16:22" ht="12.75">
      <c r="P708" s="326"/>
      <c r="Q708" s="326"/>
      <c r="R708" s="326"/>
      <c r="S708" s="326"/>
      <c r="T708" s="326"/>
      <c r="U708" s="326"/>
      <c r="V708" s="326"/>
    </row>
    <row r="709" spans="16:22" ht="12.75">
      <c r="P709" s="326"/>
      <c r="Q709" s="326"/>
      <c r="R709" s="326"/>
      <c r="S709" s="326"/>
      <c r="T709" s="326"/>
      <c r="U709" s="326"/>
      <c r="V709" s="326"/>
    </row>
    <row r="710" spans="16:22" ht="12.75">
      <c r="P710" s="326"/>
      <c r="Q710" s="326"/>
      <c r="R710" s="326"/>
      <c r="S710" s="326"/>
      <c r="T710" s="326"/>
      <c r="U710" s="326"/>
      <c r="V710" s="326"/>
    </row>
    <row r="711" spans="16:22" ht="12.75">
      <c r="P711" s="326"/>
      <c r="Q711" s="326"/>
      <c r="R711" s="326"/>
      <c r="S711" s="326"/>
      <c r="T711" s="326"/>
      <c r="U711" s="326"/>
      <c r="V711" s="326"/>
    </row>
    <row r="712" spans="16:22" ht="12.75">
      <c r="P712" s="326"/>
      <c r="Q712" s="326"/>
      <c r="R712" s="326"/>
      <c r="S712" s="326"/>
      <c r="T712" s="326"/>
      <c r="U712" s="326"/>
      <c r="V712" s="326"/>
    </row>
    <row r="713" spans="16:22" ht="12.75">
      <c r="P713" s="326"/>
      <c r="Q713" s="326"/>
      <c r="R713" s="326"/>
      <c r="S713" s="326"/>
      <c r="T713" s="326"/>
      <c r="U713" s="326"/>
      <c r="V713" s="326"/>
    </row>
    <row r="714" spans="16:22" ht="12.75">
      <c r="P714" s="326"/>
      <c r="Q714" s="326"/>
      <c r="R714" s="326"/>
      <c r="S714" s="326"/>
      <c r="T714" s="326"/>
      <c r="U714" s="326"/>
      <c r="V714" s="326"/>
    </row>
    <row r="715" spans="16:22" ht="12.75">
      <c r="P715" s="326"/>
      <c r="Q715" s="326"/>
      <c r="R715" s="326"/>
      <c r="S715" s="326"/>
      <c r="T715" s="326"/>
      <c r="U715" s="326"/>
      <c r="V715" s="326"/>
    </row>
    <row r="716" spans="16:22" ht="12.75">
      <c r="P716" s="326"/>
      <c r="Q716" s="326"/>
      <c r="R716" s="326"/>
      <c r="S716" s="326"/>
      <c r="T716" s="326"/>
      <c r="U716" s="326"/>
      <c r="V716" s="326"/>
    </row>
    <row r="717" spans="16:22" ht="12.75">
      <c r="P717" s="326"/>
      <c r="Q717" s="326"/>
      <c r="R717" s="326"/>
      <c r="S717" s="326"/>
      <c r="T717" s="326"/>
      <c r="U717" s="326"/>
      <c r="V717" s="326"/>
    </row>
    <row r="718" spans="16:22" ht="12.75">
      <c r="P718" s="326"/>
      <c r="Q718" s="326"/>
      <c r="R718" s="326"/>
      <c r="S718" s="326"/>
      <c r="T718" s="326"/>
      <c r="U718" s="326"/>
      <c r="V718" s="326"/>
    </row>
    <row r="719" spans="16:22" ht="12.75">
      <c r="P719" s="326"/>
      <c r="Q719" s="326"/>
      <c r="R719" s="326"/>
      <c r="S719" s="326"/>
      <c r="T719" s="326"/>
      <c r="U719" s="326"/>
      <c r="V719" s="326"/>
    </row>
    <row r="720" spans="16:22" ht="12.75">
      <c r="P720" s="326"/>
      <c r="Q720" s="326"/>
      <c r="R720" s="326"/>
      <c r="S720" s="326"/>
      <c r="T720" s="326"/>
      <c r="U720" s="326"/>
      <c r="V720" s="326"/>
    </row>
    <row r="721" spans="16:22" ht="12.75">
      <c r="P721" s="326"/>
      <c r="Q721" s="326"/>
      <c r="R721" s="326"/>
      <c r="S721" s="326"/>
      <c r="T721" s="326"/>
      <c r="U721" s="326"/>
      <c r="V721" s="326"/>
    </row>
    <row r="722" spans="16:22" ht="12.75">
      <c r="P722" s="326"/>
      <c r="Q722" s="326"/>
      <c r="R722" s="326"/>
      <c r="S722" s="326"/>
      <c r="T722" s="326"/>
      <c r="U722" s="326"/>
      <c r="V722" s="326"/>
    </row>
    <row r="723" spans="16:22" ht="12.75">
      <c r="P723" s="326"/>
      <c r="Q723" s="326"/>
      <c r="R723" s="326"/>
      <c r="S723" s="326"/>
      <c r="T723" s="326"/>
      <c r="U723" s="326"/>
      <c r="V723" s="326"/>
    </row>
    <row r="724" spans="16:22" ht="12.75">
      <c r="P724" s="326"/>
      <c r="Q724" s="326"/>
      <c r="R724" s="326"/>
      <c r="S724" s="326"/>
      <c r="T724" s="326"/>
      <c r="U724" s="326"/>
      <c r="V724" s="326"/>
    </row>
    <row r="725" spans="16:22" ht="12.75">
      <c r="P725" s="326"/>
      <c r="Q725" s="326"/>
      <c r="R725" s="326"/>
      <c r="S725" s="326"/>
      <c r="T725" s="326"/>
      <c r="U725" s="326"/>
      <c r="V725" s="326"/>
    </row>
    <row r="726" spans="16:22" ht="12.75">
      <c r="P726" s="326"/>
      <c r="Q726" s="326"/>
      <c r="R726" s="326"/>
      <c r="S726" s="326"/>
      <c r="T726" s="326"/>
      <c r="U726" s="326"/>
      <c r="V726" s="326"/>
    </row>
    <row r="727" spans="16:22" ht="12.75">
      <c r="P727" s="326"/>
      <c r="Q727" s="326"/>
      <c r="R727" s="326"/>
      <c r="S727" s="326"/>
      <c r="T727" s="326"/>
      <c r="U727" s="326"/>
      <c r="V727" s="326"/>
    </row>
    <row r="728" spans="16:22" ht="12.75">
      <c r="P728" s="326"/>
      <c r="Q728" s="326"/>
      <c r="R728" s="326"/>
      <c r="S728" s="326"/>
      <c r="T728" s="326"/>
      <c r="U728" s="326"/>
      <c r="V728" s="326"/>
    </row>
    <row r="729" spans="16:22" ht="12.75">
      <c r="P729" s="326"/>
      <c r="Q729" s="326"/>
      <c r="R729" s="326"/>
      <c r="S729" s="326"/>
      <c r="T729" s="326"/>
      <c r="U729" s="326"/>
      <c r="V729" s="326"/>
    </row>
    <row r="730" spans="16:22" ht="12.75">
      <c r="P730" s="326"/>
      <c r="Q730" s="326"/>
      <c r="R730" s="326"/>
      <c r="S730" s="326"/>
      <c r="T730" s="326"/>
      <c r="U730" s="326"/>
      <c r="V730" s="326"/>
    </row>
    <row r="731" spans="16:22" ht="12.75">
      <c r="P731" s="326"/>
      <c r="Q731" s="326"/>
      <c r="R731" s="326"/>
      <c r="S731" s="326"/>
      <c r="T731" s="326"/>
      <c r="U731" s="326"/>
      <c r="V731" s="326"/>
    </row>
    <row r="732" spans="16:22" ht="12.75">
      <c r="P732" s="326"/>
      <c r="Q732" s="326"/>
      <c r="R732" s="326"/>
      <c r="S732" s="326"/>
      <c r="T732" s="326"/>
      <c r="U732" s="326"/>
      <c r="V732" s="326"/>
    </row>
    <row r="733" spans="16:22" ht="12.75">
      <c r="P733" s="326"/>
      <c r="Q733" s="326"/>
      <c r="R733" s="326"/>
      <c r="S733" s="326"/>
      <c r="T733" s="326"/>
      <c r="U733" s="326"/>
      <c r="V733" s="326"/>
    </row>
    <row r="734" spans="16:22" ht="12.75">
      <c r="P734" s="326"/>
      <c r="Q734" s="326"/>
      <c r="R734" s="326"/>
      <c r="S734" s="326"/>
      <c r="T734" s="326"/>
      <c r="U734" s="326"/>
      <c r="V734" s="326"/>
    </row>
    <row r="735" spans="16:22" ht="12.75">
      <c r="P735" s="326"/>
      <c r="Q735" s="326"/>
      <c r="R735" s="326"/>
      <c r="S735" s="326"/>
      <c r="T735" s="326"/>
      <c r="U735" s="326"/>
      <c r="V735" s="326"/>
    </row>
    <row r="736" spans="16:22" ht="12.75">
      <c r="P736" s="326"/>
      <c r="Q736" s="326"/>
      <c r="R736" s="326"/>
      <c r="S736" s="326"/>
      <c r="T736" s="326"/>
      <c r="U736" s="326"/>
      <c r="V736" s="326"/>
    </row>
    <row r="737" spans="16:22" ht="12.75">
      <c r="P737" s="326"/>
      <c r="Q737" s="326"/>
      <c r="R737" s="326"/>
      <c r="S737" s="326"/>
      <c r="T737" s="326"/>
      <c r="U737" s="326"/>
      <c r="V737" s="326"/>
    </row>
    <row r="738" spans="16:22" ht="12.75">
      <c r="P738" s="326"/>
      <c r="Q738" s="326"/>
      <c r="R738" s="326"/>
      <c r="S738" s="326"/>
      <c r="T738" s="326"/>
      <c r="U738" s="326"/>
      <c r="V738" s="326"/>
    </row>
    <row r="739" spans="16:22" ht="12.75">
      <c r="P739" s="326"/>
      <c r="Q739" s="326"/>
      <c r="R739" s="326"/>
      <c r="S739" s="326"/>
      <c r="T739" s="326"/>
      <c r="U739" s="326"/>
      <c r="V739" s="326"/>
    </row>
    <row r="740" spans="16:22" ht="12.75">
      <c r="P740" s="326"/>
      <c r="Q740" s="326"/>
      <c r="R740" s="326"/>
      <c r="S740" s="326"/>
      <c r="T740" s="326"/>
      <c r="U740" s="326"/>
      <c r="V740" s="326"/>
    </row>
    <row r="741" spans="16:22" ht="12.75">
      <c r="P741" s="326"/>
      <c r="Q741" s="326"/>
      <c r="R741" s="326"/>
      <c r="S741" s="326"/>
      <c r="T741" s="326"/>
      <c r="U741" s="326"/>
      <c r="V741" s="326"/>
    </row>
    <row r="742" spans="16:22" ht="12.75">
      <c r="P742" s="326"/>
      <c r="Q742" s="326"/>
      <c r="R742" s="326"/>
      <c r="S742" s="326"/>
      <c r="T742" s="326"/>
      <c r="U742" s="326"/>
      <c r="V742" s="326"/>
    </row>
    <row r="743" spans="16:22" ht="12.75">
      <c r="P743" s="326"/>
      <c r="Q743" s="326"/>
      <c r="R743" s="326"/>
      <c r="S743" s="326"/>
      <c r="T743" s="326"/>
      <c r="U743" s="326"/>
      <c r="V743" s="326"/>
    </row>
    <row r="744" spans="16:22" ht="12.75">
      <c r="P744" s="326"/>
      <c r="Q744" s="326"/>
      <c r="R744" s="326"/>
      <c r="S744" s="326"/>
      <c r="T744" s="326"/>
      <c r="U744" s="326"/>
      <c r="V744" s="326"/>
    </row>
    <row r="745" spans="16:22" ht="12.75">
      <c r="P745" s="326"/>
      <c r="Q745" s="326"/>
      <c r="R745" s="326"/>
      <c r="S745" s="326"/>
      <c r="T745" s="326"/>
      <c r="U745" s="326"/>
      <c r="V745" s="326"/>
    </row>
    <row r="746" spans="16:22" ht="12.75">
      <c r="P746" s="326"/>
      <c r="Q746" s="326"/>
      <c r="R746" s="326"/>
      <c r="S746" s="326"/>
      <c r="T746" s="326"/>
      <c r="U746" s="326"/>
      <c r="V746" s="326"/>
    </row>
    <row r="747" spans="16:22" ht="12.75">
      <c r="P747" s="326"/>
      <c r="Q747" s="326"/>
      <c r="R747" s="326"/>
      <c r="S747" s="326"/>
      <c r="T747" s="326"/>
      <c r="U747" s="326"/>
      <c r="V747" s="326"/>
    </row>
    <row r="748" spans="16:22" ht="12.75">
      <c r="P748" s="326"/>
      <c r="Q748" s="326"/>
      <c r="R748" s="326"/>
      <c r="S748" s="326"/>
      <c r="T748" s="326"/>
      <c r="U748" s="326"/>
      <c r="V748" s="326"/>
    </row>
    <row r="749" spans="16:22" ht="12.75">
      <c r="P749" s="326"/>
      <c r="Q749" s="326"/>
      <c r="R749" s="326"/>
      <c r="S749" s="326"/>
      <c r="T749" s="326"/>
      <c r="U749" s="326"/>
      <c r="V749" s="326"/>
    </row>
    <row r="750" spans="16:22" ht="12.75">
      <c r="P750" s="326"/>
      <c r="Q750" s="326"/>
      <c r="R750" s="326"/>
      <c r="S750" s="326"/>
      <c r="T750" s="326"/>
      <c r="U750" s="326"/>
      <c r="V750" s="326"/>
    </row>
    <row r="751" spans="16:22" ht="12.75">
      <c r="P751" s="326"/>
      <c r="Q751" s="326"/>
      <c r="R751" s="326"/>
      <c r="S751" s="326"/>
      <c r="T751" s="326"/>
      <c r="U751" s="326"/>
      <c r="V751" s="326"/>
    </row>
    <row r="752" spans="16:22" ht="12.75">
      <c r="P752" s="326"/>
      <c r="Q752" s="326"/>
      <c r="R752" s="326"/>
      <c r="S752" s="326"/>
      <c r="T752" s="326"/>
      <c r="U752" s="326"/>
      <c r="V752" s="326"/>
    </row>
    <row r="753" spans="16:22" ht="12.75">
      <c r="P753" s="326"/>
      <c r="Q753" s="326"/>
      <c r="R753" s="326"/>
      <c r="S753" s="326"/>
      <c r="T753" s="326"/>
      <c r="U753" s="326"/>
      <c r="V753" s="326"/>
    </row>
    <row r="754" spans="16:22" ht="12.75">
      <c r="P754" s="326"/>
      <c r="Q754" s="326"/>
      <c r="R754" s="326"/>
      <c r="S754" s="326"/>
      <c r="T754" s="326"/>
      <c r="U754" s="326"/>
      <c r="V754" s="326"/>
    </row>
    <row r="755" spans="16:22" ht="12.75">
      <c r="P755" s="326"/>
      <c r="Q755" s="326"/>
      <c r="R755" s="326"/>
      <c r="S755" s="326"/>
      <c r="T755" s="326"/>
      <c r="U755" s="326"/>
      <c r="V755" s="326"/>
    </row>
    <row r="756" spans="16:22" ht="12.75">
      <c r="P756" s="326"/>
      <c r="Q756" s="326"/>
      <c r="R756" s="326"/>
      <c r="S756" s="326"/>
      <c r="T756" s="326"/>
      <c r="U756" s="326"/>
      <c r="V756" s="326"/>
    </row>
    <row r="757" spans="16:22" ht="12.75">
      <c r="P757" s="326"/>
      <c r="Q757" s="326"/>
      <c r="R757" s="326"/>
      <c r="S757" s="326"/>
      <c r="T757" s="326"/>
      <c r="U757" s="326"/>
      <c r="V757" s="326"/>
    </row>
    <row r="758" spans="16:22" ht="12.75">
      <c r="P758" s="326"/>
      <c r="Q758" s="326"/>
      <c r="R758" s="326"/>
      <c r="S758" s="326"/>
      <c r="T758" s="326"/>
      <c r="U758" s="326"/>
      <c r="V758" s="326"/>
    </row>
    <row r="759" spans="16:22" ht="12.75">
      <c r="P759" s="326"/>
      <c r="Q759" s="326"/>
      <c r="R759" s="326"/>
      <c r="S759" s="326"/>
      <c r="T759" s="326"/>
      <c r="U759" s="326"/>
      <c r="V759" s="326"/>
    </row>
    <row r="760" spans="16:22" ht="12.75">
      <c r="P760" s="326"/>
      <c r="Q760" s="326"/>
      <c r="R760" s="326"/>
      <c r="S760" s="326"/>
      <c r="T760" s="326"/>
      <c r="U760" s="326"/>
      <c r="V760" s="326"/>
    </row>
    <row r="761" spans="16:22" ht="12.75">
      <c r="P761" s="326"/>
      <c r="Q761" s="326"/>
      <c r="R761" s="326"/>
      <c r="S761" s="326"/>
      <c r="T761" s="326"/>
      <c r="U761" s="326"/>
      <c r="V761" s="326"/>
    </row>
    <row r="762" spans="16:22" ht="12.75">
      <c r="P762" s="326"/>
      <c r="Q762" s="326"/>
      <c r="R762" s="326"/>
      <c r="S762" s="326"/>
      <c r="T762" s="326"/>
      <c r="U762" s="326"/>
      <c r="V762" s="326"/>
    </row>
    <row r="763" spans="16:22" ht="12.75">
      <c r="P763" s="326"/>
      <c r="Q763" s="326"/>
      <c r="R763" s="326"/>
      <c r="S763" s="326"/>
      <c r="T763" s="326"/>
      <c r="U763" s="326"/>
      <c r="V763" s="326"/>
    </row>
    <row r="764" spans="16:22" ht="12.75">
      <c r="P764" s="326"/>
      <c r="Q764" s="326"/>
      <c r="R764" s="326"/>
      <c r="S764" s="326"/>
      <c r="T764" s="326"/>
      <c r="U764" s="326"/>
      <c r="V764" s="326"/>
    </row>
    <row r="765" spans="16:22" ht="12.75">
      <c r="P765" s="326"/>
      <c r="Q765" s="326"/>
      <c r="R765" s="326"/>
      <c r="S765" s="326"/>
      <c r="T765" s="326"/>
      <c r="U765" s="326"/>
      <c r="V765" s="326"/>
    </row>
    <row r="766" spans="16:22" ht="12.75">
      <c r="P766" s="326"/>
      <c r="Q766" s="326"/>
      <c r="R766" s="326"/>
      <c r="S766" s="326"/>
      <c r="T766" s="326"/>
      <c r="U766" s="326"/>
      <c r="V766" s="326"/>
    </row>
    <row r="767" spans="16:22" ht="12.75">
      <c r="P767" s="326"/>
      <c r="Q767" s="326"/>
      <c r="R767" s="326"/>
      <c r="S767" s="326"/>
      <c r="T767" s="326"/>
      <c r="U767" s="326"/>
      <c r="V767" s="326"/>
    </row>
    <row r="768" spans="16:22" ht="12.75">
      <c r="P768" s="326"/>
      <c r="Q768" s="326"/>
      <c r="R768" s="326"/>
      <c r="S768" s="326"/>
      <c r="T768" s="326"/>
      <c r="U768" s="326"/>
      <c r="V768" s="326"/>
    </row>
    <row r="769" spans="16:22" ht="12.75">
      <c r="P769" s="326"/>
      <c r="Q769" s="326"/>
      <c r="R769" s="326"/>
      <c r="S769" s="326"/>
      <c r="T769" s="326"/>
      <c r="U769" s="326"/>
      <c r="V769" s="326"/>
    </row>
    <row r="770" spans="16:22" ht="12.75">
      <c r="P770" s="326"/>
      <c r="Q770" s="326"/>
      <c r="R770" s="326"/>
      <c r="S770" s="326"/>
      <c r="T770" s="326"/>
      <c r="U770" s="326"/>
      <c r="V770" s="326"/>
    </row>
    <row r="771" spans="16:22" ht="12.75">
      <c r="P771" s="326"/>
      <c r="Q771" s="326"/>
      <c r="R771" s="326"/>
      <c r="S771" s="326"/>
      <c r="T771" s="326"/>
      <c r="U771" s="326"/>
      <c r="V771" s="326"/>
    </row>
    <row r="772" spans="16:22" ht="12.75">
      <c r="P772" s="326"/>
      <c r="Q772" s="326"/>
      <c r="R772" s="326"/>
      <c r="S772" s="326"/>
      <c r="T772" s="326"/>
      <c r="U772" s="326"/>
      <c r="V772" s="326"/>
    </row>
    <row r="773" spans="16:22" ht="12.75">
      <c r="P773" s="326"/>
      <c r="Q773" s="326"/>
      <c r="R773" s="326"/>
      <c r="S773" s="326"/>
      <c r="T773" s="326"/>
      <c r="U773" s="326"/>
      <c r="V773" s="326"/>
    </row>
    <row r="774" spans="16:22" ht="12.75">
      <c r="P774" s="326"/>
      <c r="Q774" s="326"/>
      <c r="R774" s="326"/>
      <c r="S774" s="326"/>
      <c r="T774" s="326"/>
      <c r="U774" s="326"/>
      <c r="V774" s="326"/>
    </row>
    <row r="775" spans="16:22" ht="12.75">
      <c r="P775" s="326"/>
      <c r="Q775" s="326"/>
      <c r="R775" s="326"/>
      <c r="S775" s="326"/>
      <c r="T775" s="326"/>
      <c r="U775" s="326"/>
      <c r="V775" s="326"/>
    </row>
    <row r="776" spans="16:22" ht="12.75">
      <c r="P776" s="326"/>
      <c r="Q776" s="326"/>
      <c r="R776" s="326"/>
      <c r="S776" s="326"/>
      <c r="T776" s="326"/>
      <c r="U776" s="326"/>
      <c r="V776" s="326"/>
    </row>
    <row r="777" spans="16:22" ht="12.75">
      <c r="P777" s="326"/>
      <c r="Q777" s="326"/>
      <c r="R777" s="326"/>
      <c r="S777" s="326"/>
      <c r="T777" s="326"/>
      <c r="U777" s="326"/>
      <c r="V777" s="326"/>
    </row>
    <row r="778" spans="16:22" ht="12.75">
      <c r="P778" s="326"/>
      <c r="Q778" s="326"/>
      <c r="R778" s="326"/>
      <c r="S778" s="326"/>
      <c r="T778" s="326"/>
      <c r="U778" s="326"/>
      <c r="V778" s="326"/>
    </row>
    <row r="779" spans="16:22" ht="12.75">
      <c r="P779" s="326"/>
      <c r="Q779" s="326"/>
      <c r="R779" s="326"/>
      <c r="S779" s="326"/>
      <c r="T779" s="326"/>
      <c r="U779" s="326"/>
      <c r="V779" s="326"/>
    </row>
    <row r="780" spans="16:22" ht="12.75">
      <c r="P780" s="326"/>
      <c r="Q780" s="326"/>
      <c r="R780" s="326"/>
      <c r="S780" s="326"/>
      <c r="T780" s="326"/>
      <c r="U780" s="326"/>
      <c r="V780" s="326"/>
    </row>
    <row r="781" spans="16:22" ht="12.75">
      <c r="P781" s="326"/>
      <c r="Q781" s="326"/>
      <c r="R781" s="326"/>
      <c r="S781" s="326"/>
      <c r="T781" s="326"/>
      <c r="U781" s="326"/>
      <c r="V781" s="326"/>
    </row>
    <row r="782" spans="16:22" ht="12.75">
      <c r="P782" s="326"/>
      <c r="Q782" s="326"/>
      <c r="R782" s="326"/>
      <c r="S782" s="326"/>
      <c r="T782" s="326"/>
      <c r="U782" s="326"/>
      <c r="V782" s="326"/>
    </row>
    <row r="783" spans="16:22" ht="12.75">
      <c r="P783" s="326"/>
      <c r="Q783" s="326"/>
      <c r="R783" s="326"/>
      <c r="S783" s="326"/>
      <c r="T783" s="326"/>
      <c r="U783" s="326"/>
      <c r="V783" s="326"/>
    </row>
    <row r="784" spans="16:22" ht="12.75">
      <c r="P784" s="326"/>
      <c r="Q784" s="326"/>
      <c r="R784" s="326"/>
      <c r="S784" s="326"/>
      <c r="T784" s="326"/>
      <c r="U784" s="326"/>
      <c r="V784" s="326"/>
    </row>
    <row r="785" spans="16:22" ht="12.75">
      <c r="P785" s="326"/>
      <c r="Q785" s="326"/>
      <c r="R785" s="326"/>
      <c r="S785" s="326"/>
      <c r="T785" s="326"/>
      <c r="U785" s="326"/>
      <c r="V785" s="326"/>
    </row>
    <row r="786" spans="16:22" ht="12.75">
      <c r="P786" s="326"/>
      <c r="Q786" s="326"/>
      <c r="R786" s="326"/>
      <c r="S786" s="326"/>
      <c r="T786" s="326"/>
      <c r="U786" s="326"/>
      <c r="V786" s="326"/>
    </row>
    <row r="787" spans="16:22" ht="12.75">
      <c r="P787" s="326"/>
      <c r="Q787" s="326"/>
      <c r="R787" s="326"/>
      <c r="S787" s="326"/>
      <c r="T787" s="326"/>
      <c r="U787" s="326"/>
      <c r="V787" s="326"/>
    </row>
    <row r="788" spans="16:22" ht="12.75">
      <c r="P788" s="326"/>
      <c r="Q788" s="326"/>
      <c r="R788" s="326"/>
      <c r="S788" s="326"/>
      <c r="T788" s="326"/>
      <c r="U788" s="326"/>
      <c r="V788" s="326"/>
    </row>
    <row r="789" spans="16:22" ht="12.75">
      <c r="P789" s="326"/>
      <c r="Q789" s="326"/>
      <c r="R789" s="326"/>
      <c r="S789" s="326"/>
      <c r="T789" s="326"/>
      <c r="U789" s="326"/>
      <c r="V789" s="326"/>
    </row>
    <row r="790" spans="16:22" ht="12.75">
      <c r="P790" s="326"/>
      <c r="Q790" s="326"/>
      <c r="R790" s="326"/>
      <c r="S790" s="326"/>
      <c r="T790" s="326"/>
      <c r="U790" s="326"/>
      <c r="V790" s="326"/>
    </row>
    <row r="791" spans="16:22" ht="12.75">
      <c r="P791" s="326"/>
      <c r="Q791" s="326"/>
      <c r="R791" s="326"/>
      <c r="S791" s="326"/>
      <c r="T791" s="326"/>
      <c r="U791" s="326"/>
      <c r="V791" s="326"/>
    </row>
    <row r="792" spans="16:22" ht="12.75">
      <c r="P792" s="326"/>
      <c r="Q792" s="326"/>
      <c r="R792" s="326"/>
      <c r="S792" s="326"/>
      <c r="T792" s="326"/>
      <c r="U792" s="326"/>
      <c r="V792" s="326"/>
    </row>
    <row r="793" spans="16:22" ht="12.75">
      <c r="P793" s="326"/>
      <c r="Q793" s="326"/>
      <c r="R793" s="326"/>
      <c r="S793" s="326"/>
      <c r="T793" s="326"/>
      <c r="U793" s="326"/>
      <c r="V793" s="326"/>
    </row>
    <row r="794" spans="16:22" ht="12.75">
      <c r="P794" s="326"/>
      <c r="Q794" s="326"/>
      <c r="R794" s="326"/>
      <c r="S794" s="326"/>
      <c r="T794" s="326"/>
      <c r="U794" s="326"/>
      <c r="V794" s="326"/>
    </row>
    <row r="795" spans="16:22" ht="12.75">
      <c r="P795" s="326"/>
      <c r="Q795" s="326"/>
      <c r="R795" s="326"/>
      <c r="S795" s="326"/>
      <c r="T795" s="326"/>
      <c r="U795" s="326"/>
      <c r="V795" s="326"/>
    </row>
    <row r="796" spans="16:22" ht="12.75">
      <c r="P796" s="326"/>
      <c r="Q796" s="326"/>
      <c r="R796" s="326"/>
      <c r="S796" s="326"/>
      <c r="T796" s="326"/>
      <c r="U796" s="326"/>
      <c r="V796" s="326"/>
    </row>
    <row r="797" spans="16:22" ht="12.75">
      <c r="P797" s="326"/>
      <c r="Q797" s="326"/>
      <c r="R797" s="326"/>
      <c r="S797" s="326"/>
      <c r="T797" s="326"/>
      <c r="U797" s="326"/>
      <c r="V797" s="326"/>
    </row>
    <row r="798" spans="16:22" ht="12.75">
      <c r="P798" s="326"/>
      <c r="Q798" s="326"/>
      <c r="R798" s="326"/>
      <c r="S798" s="326"/>
      <c r="T798" s="326"/>
      <c r="U798" s="326"/>
      <c r="V798" s="326"/>
    </row>
    <row r="799" spans="16:22" ht="12.75">
      <c r="P799" s="326"/>
      <c r="Q799" s="326"/>
      <c r="R799" s="326"/>
      <c r="S799" s="326"/>
      <c r="T799" s="326"/>
      <c r="U799" s="326"/>
      <c r="V799" s="326"/>
    </row>
    <row r="800" spans="16:22" ht="12.75">
      <c r="P800" s="326"/>
      <c r="Q800" s="326"/>
      <c r="R800" s="326"/>
      <c r="S800" s="326"/>
      <c r="T800" s="326"/>
      <c r="U800" s="326"/>
      <c r="V800" s="326"/>
    </row>
    <row r="801" spans="16:22" ht="12.75">
      <c r="P801" s="326"/>
      <c r="Q801" s="326"/>
      <c r="R801" s="326"/>
      <c r="S801" s="326"/>
      <c r="T801" s="326"/>
      <c r="U801" s="326"/>
      <c r="V801" s="326"/>
    </row>
    <row r="802" spans="16:22" ht="12.75">
      <c r="P802" s="326"/>
      <c r="Q802" s="326"/>
      <c r="R802" s="326"/>
      <c r="S802" s="326"/>
      <c r="T802" s="326"/>
      <c r="U802" s="326"/>
      <c r="V802" s="326"/>
    </row>
    <row r="803" spans="16:22" ht="12.75">
      <c r="P803" s="326"/>
      <c r="Q803" s="326"/>
      <c r="R803" s="326"/>
      <c r="S803" s="326"/>
      <c r="T803" s="326"/>
      <c r="U803" s="326"/>
      <c r="V803" s="326"/>
    </row>
    <row r="804" spans="16:22" ht="12.75">
      <c r="P804" s="326"/>
      <c r="Q804" s="326"/>
      <c r="R804" s="326"/>
      <c r="S804" s="326"/>
      <c r="T804" s="326"/>
      <c r="U804" s="326"/>
      <c r="V804" s="326"/>
    </row>
    <row r="805" spans="16:22" ht="12.75">
      <c r="P805" s="326"/>
      <c r="Q805" s="326"/>
      <c r="R805" s="326"/>
      <c r="S805" s="326"/>
      <c r="T805" s="326"/>
      <c r="U805" s="326"/>
      <c r="V805" s="326"/>
    </row>
    <row r="806" spans="16:22" ht="12.75">
      <c r="P806" s="326"/>
      <c r="Q806" s="326"/>
      <c r="R806" s="326"/>
      <c r="S806" s="326"/>
      <c r="T806" s="326"/>
      <c r="U806" s="326"/>
      <c r="V806" s="326"/>
    </row>
    <row r="807" spans="16:22" ht="12.75">
      <c r="P807" s="326"/>
      <c r="Q807" s="326"/>
      <c r="R807" s="326"/>
      <c r="S807" s="326"/>
      <c r="T807" s="326"/>
      <c r="U807" s="326"/>
      <c r="V807" s="326"/>
    </row>
    <row r="808" spans="16:22" ht="12.75">
      <c r="P808" s="326"/>
      <c r="Q808" s="326"/>
      <c r="R808" s="326"/>
      <c r="S808" s="326"/>
      <c r="T808" s="326"/>
      <c r="U808" s="326"/>
      <c r="V808" s="326"/>
    </row>
    <row r="809" spans="16:22" ht="12.75">
      <c r="P809" s="326"/>
      <c r="Q809" s="326"/>
      <c r="R809" s="326"/>
      <c r="S809" s="326"/>
      <c r="T809" s="326"/>
      <c r="U809" s="326"/>
      <c r="V809" s="326"/>
    </row>
    <row r="810" spans="16:22" ht="12.75">
      <c r="P810" s="326"/>
      <c r="Q810" s="326"/>
      <c r="R810" s="326"/>
      <c r="S810" s="326"/>
      <c r="T810" s="326"/>
      <c r="U810" s="326"/>
      <c r="V810" s="326"/>
    </row>
    <row r="811" spans="16:22" ht="12.75">
      <c r="P811" s="326"/>
      <c r="Q811" s="326"/>
      <c r="R811" s="326"/>
      <c r="S811" s="326"/>
      <c r="T811" s="326"/>
      <c r="U811" s="326"/>
      <c r="V811" s="326"/>
    </row>
    <row r="812" spans="16:22" ht="12.75">
      <c r="P812" s="326"/>
      <c r="Q812" s="326"/>
      <c r="R812" s="326"/>
      <c r="S812" s="326"/>
      <c r="T812" s="326"/>
      <c r="U812" s="326"/>
      <c r="V812" s="326"/>
    </row>
    <row r="813" spans="16:22" ht="12.75">
      <c r="P813" s="326"/>
      <c r="Q813" s="326"/>
      <c r="R813" s="326"/>
      <c r="S813" s="326"/>
      <c r="T813" s="326"/>
      <c r="U813" s="326"/>
      <c r="V813" s="326"/>
    </row>
    <row r="814" spans="16:22" ht="12.75">
      <c r="P814" s="326"/>
      <c r="Q814" s="326"/>
      <c r="R814" s="326"/>
      <c r="S814" s="326"/>
      <c r="T814" s="326"/>
      <c r="U814" s="326"/>
      <c r="V814" s="326"/>
    </row>
    <row r="815" spans="16:22" ht="12.75">
      <c r="P815" s="326"/>
      <c r="Q815" s="326"/>
      <c r="R815" s="326"/>
      <c r="S815" s="326"/>
      <c r="T815" s="326"/>
      <c r="U815" s="326"/>
      <c r="V815" s="326"/>
    </row>
    <row r="816" spans="16:22" ht="12.75">
      <c r="P816" s="326"/>
      <c r="Q816" s="326"/>
      <c r="R816" s="326"/>
      <c r="S816" s="326"/>
      <c r="T816" s="326"/>
      <c r="U816" s="326"/>
      <c r="V816" s="326"/>
    </row>
    <row r="817" spans="16:22" ht="12.75">
      <c r="P817" s="326"/>
      <c r="Q817" s="326"/>
      <c r="R817" s="326"/>
      <c r="S817" s="326"/>
      <c r="T817" s="326"/>
      <c r="U817" s="326"/>
      <c r="V817" s="326"/>
    </row>
    <row r="818" spans="16:22" ht="12.75">
      <c r="P818" s="326"/>
      <c r="Q818" s="326"/>
      <c r="R818" s="326"/>
      <c r="S818" s="326"/>
      <c r="T818" s="326"/>
      <c r="U818" s="326"/>
      <c r="V818" s="326"/>
    </row>
    <row r="819" spans="16:22" ht="12.75">
      <c r="P819" s="326"/>
      <c r="Q819" s="326"/>
      <c r="R819" s="326"/>
      <c r="S819" s="326"/>
      <c r="T819" s="326"/>
      <c r="U819" s="326"/>
      <c r="V819" s="326"/>
    </row>
    <row r="820" spans="16:22" ht="12.75">
      <c r="P820" s="326"/>
      <c r="Q820" s="326"/>
      <c r="R820" s="326"/>
      <c r="S820" s="326"/>
      <c r="T820" s="326"/>
      <c r="U820" s="326"/>
      <c r="V820" s="326"/>
    </row>
    <row r="821" spans="16:22" ht="12.75">
      <c r="P821" s="326"/>
      <c r="Q821" s="326"/>
      <c r="R821" s="326"/>
      <c r="S821" s="326"/>
      <c r="T821" s="326"/>
      <c r="U821" s="326"/>
      <c r="V821" s="326"/>
    </row>
    <row r="822" spans="16:22" ht="12.75">
      <c r="P822" s="326"/>
      <c r="Q822" s="326"/>
      <c r="R822" s="326"/>
      <c r="S822" s="326"/>
      <c r="T822" s="326"/>
      <c r="U822" s="326"/>
      <c r="V822" s="326"/>
    </row>
    <row r="823" spans="16:22" ht="12.75">
      <c r="P823" s="326"/>
      <c r="Q823" s="326"/>
      <c r="R823" s="326"/>
      <c r="S823" s="326"/>
      <c r="T823" s="326"/>
      <c r="U823" s="326"/>
      <c r="V823" s="326"/>
    </row>
    <row r="824" spans="16:22" ht="12.75">
      <c r="P824" s="326"/>
      <c r="Q824" s="326"/>
      <c r="R824" s="326"/>
      <c r="S824" s="326"/>
      <c r="T824" s="326"/>
      <c r="U824" s="326"/>
      <c r="V824" s="326"/>
    </row>
    <row r="825" spans="16:22" ht="12.75">
      <c r="P825" s="326"/>
      <c r="Q825" s="326"/>
      <c r="R825" s="326"/>
      <c r="S825" s="326"/>
      <c r="T825" s="326"/>
      <c r="U825" s="326"/>
      <c r="V825" s="326"/>
    </row>
    <row r="826" spans="16:22" ht="12.75">
      <c r="P826" s="326"/>
      <c r="Q826" s="326"/>
      <c r="R826" s="326"/>
      <c r="S826" s="326"/>
      <c r="T826" s="326"/>
      <c r="U826" s="326"/>
      <c r="V826" s="326"/>
    </row>
    <row r="827" spans="16:22" ht="12.75">
      <c r="P827" s="326"/>
      <c r="Q827" s="326"/>
      <c r="R827" s="326"/>
      <c r="S827" s="326"/>
      <c r="T827" s="326"/>
      <c r="U827" s="326"/>
      <c r="V827" s="326"/>
    </row>
    <row r="828" spans="16:22" ht="12.75">
      <c r="P828" s="326"/>
      <c r="Q828" s="326"/>
      <c r="R828" s="326"/>
      <c r="S828" s="326"/>
      <c r="T828" s="326"/>
      <c r="U828" s="326"/>
      <c r="V828" s="326"/>
    </row>
    <row r="829" spans="16:22" ht="12.75">
      <c r="P829" s="326"/>
      <c r="Q829" s="326"/>
      <c r="R829" s="326"/>
      <c r="S829" s="326"/>
      <c r="T829" s="326"/>
      <c r="U829" s="326"/>
      <c r="V829" s="326"/>
    </row>
    <row r="830" spans="16:22" ht="12.75">
      <c r="P830" s="326"/>
      <c r="Q830" s="326"/>
      <c r="R830" s="326"/>
      <c r="S830" s="326"/>
      <c r="T830" s="326"/>
      <c r="U830" s="326"/>
      <c r="V830" s="326"/>
    </row>
    <row r="831" spans="16:22" ht="12.75">
      <c r="P831" s="326"/>
      <c r="Q831" s="326"/>
      <c r="R831" s="326"/>
      <c r="S831" s="326"/>
      <c r="T831" s="326"/>
      <c r="U831" s="326"/>
      <c r="V831" s="326"/>
    </row>
    <row r="832" spans="16:22" ht="12.75">
      <c r="P832" s="326"/>
      <c r="Q832" s="326"/>
      <c r="R832" s="326"/>
      <c r="S832" s="326"/>
      <c r="T832" s="326"/>
      <c r="U832" s="326"/>
      <c r="V832" s="326"/>
    </row>
    <row r="833" spans="16:22" ht="12.75">
      <c r="P833" s="326"/>
      <c r="Q833" s="326"/>
      <c r="R833" s="326"/>
      <c r="S833" s="326"/>
      <c r="T833" s="326"/>
      <c r="U833" s="326"/>
      <c r="V833" s="326"/>
    </row>
    <row r="834" spans="16:22" ht="12.75">
      <c r="P834" s="326"/>
      <c r="Q834" s="326"/>
      <c r="R834" s="326"/>
      <c r="S834" s="326"/>
      <c r="T834" s="326"/>
      <c r="U834" s="326"/>
      <c r="V834" s="326"/>
    </row>
    <row r="835" spans="16:22" ht="12.75">
      <c r="P835" s="326"/>
      <c r="Q835" s="326"/>
      <c r="R835" s="326"/>
      <c r="S835" s="326"/>
      <c r="T835" s="326"/>
      <c r="U835" s="326"/>
      <c r="V835" s="326"/>
    </row>
    <row r="836" spans="16:22" ht="12.75">
      <c r="P836" s="326"/>
      <c r="Q836" s="326"/>
      <c r="R836" s="326"/>
      <c r="S836" s="326"/>
      <c r="T836" s="326"/>
      <c r="U836" s="326"/>
      <c r="V836" s="326"/>
    </row>
    <row r="837" spans="16:22" ht="12.75">
      <c r="P837" s="326"/>
      <c r="Q837" s="326"/>
      <c r="R837" s="326"/>
      <c r="S837" s="326"/>
      <c r="T837" s="326"/>
      <c r="U837" s="326"/>
      <c r="V837" s="326"/>
    </row>
    <row r="838" spans="16:22" ht="12.75">
      <c r="P838" s="326"/>
      <c r="Q838" s="326"/>
      <c r="R838" s="326"/>
      <c r="S838" s="326"/>
      <c r="T838" s="326"/>
      <c r="U838" s="326"/>
      <c r="V838" s="326"/>
    </row>
    <row r="839" spans="16:22" ht="12.75">
      <c r="P839" s="326"/>
      <c r="Q839" s="326"/>
      <c r="R839" s="326"/>
      <c r="S839" s="326"/>
      <c r="T839" s="326"/>
      <c r="U839" s="326"/>
      <c r="V839" s="326"/>
    </row>
    <row r="840" spans="16:22" ht="12.75">
      <c r="P840" s="326"/>
      <c r="Q840" s="326"/>
      <c r="R840" s="326"/>
      <c r="S840" s="326"/>
      <c r="T840" s="326"/>
      <c r="U840" s="326"/>
      <c r="V840" s="326"/>
    </row>
    <row r="841" spans="16:22" ht="12.75">
      <c r="P841" s="326"/>
      <c r="Q841" s="326"/>
      <c r="R841" s="326"/>
      <c r="S841" s="326"/>
      <c r="T841" s="326"/>
      <c r="U841" s="326"/>
      <c r="V841" s="326"/>
    </row>
    <row r="842" spans="16:22" ht="12.75">
      <c r="P842" s="326"/>
      <c r="Q842" s="326"/>
      <c r="R842" s="326"/>
      <c r="S842" s="326"/>
      <c r="T842" s="326"/>
      <c r="U842" s="326"/>
      <c r="V842" s="326"/>
    </row>
    <row r="843" spans="16:22" ht="12.75">
      <c r="P843" s="326"/>
      <c r="Q843" s="326"/>
      <c r="R843" s="326"/>
      <c r="S843" s="326"/>
      <c r="T843" s="326"/>
      <c r="U843" s="326"/>
      <c r="V843" s="326"/>
    </row>
    <row r="844" spans="16:22" ht="12.75">
      <c r="P844" s="326"/>
      <c r="Q844" s="326"/>
      <c r="R844" s="326"/>
      <c r="S844" s="326"/>
      <c r="T844" s="326"/>
      <c r="U844" s="326"/>
      <c r="V844" s="326"/>
    </row>
    <row r="845" spans="16:22" ht="12.75">
      <c r="P845" s="326"/>
      <c r="Q845" s="326"/>
      <c r="R845" s="326"/>
      <c r="S845" s="326"/>
      <c r="T845" s="326"/>
      <c r="U845" s="326"/>
      <c r="V845" s="326"/>
    </row>
    <row r="846" spans="16:22" ht="12.75">
      <c r="P846" s="326"/>
      <c r="Q846" s="326"/>
      <c r="R846" s="326"/>
      <c r="S846" s="326"/>
      <c r="T846" s="326"/>
      <c r="U846" s="326"/>
      <c r="V846" s="326"/>
    </row>
    <row r="847" spans="16:22" ht="12.75">
      <c r="P847" s="326"/>
      <c r="Q847" s="326"/>
      <c r="R847" s="326"/>
      <c r="S847" s="326"/>
      <c r="T847" s="326"/>
      <c r="U847" s="326"/>
      <c r="V847" s="326"/>
    </row>
    <row r="848" spans="16:22" ht="12.75">
      <c r="P848" s="326"/>
      <c r="Q848" s="326"/>
      <c r="R848" s="326"/>
      <c r="S848" s="326"/>
      <c r="T848" s="326"/>
      <c r="U848" s="326"/>
      <c r="V848" s="326"/>
    </row>
    <row r="849" spans="16:22" ht="12.75">
      <c r="P849" s="326"/>
      <c r="Q849" s="326"/>
      <c r="R849" s="326"/>
      <c r="S849" s="326"/>
      <c r="T849" s="326"/>
      <c r="U849" s="326"/>
      <c r="V849" s="326"/>
    </row>
    <row r="850" spans="16:22" ht="12.75">
      <c r="P850" s="326"/>
      <c r="Q850" s="326"/>
      <c r="R850" s="326"/>
      <c r="S850" s="326"/>
      <c r="T850" s="326"/>
      <c r="U850" s="326"/>
      <c r="V850" s="326"/>
    </row>
    <row r="851" spans="16:22" ht="12.75">
      <c r="P851" s="326"/>
      <c r="Q851" s="326"/>
      <c r="R851" s="326"/>
      <c r="S851" s="326"/>
      <c r="T851" s="326"/>
      <c r="U851" s="326"/>
      <c r="V851" s="326"/>
    </row>
    <row r="852" spans="16:22" ht="12.75">
      <c r="P852" s="326"/>
      <c r="Q852" s="326"/>
      <c r="R852" s="326"/>
      <c r="S852" s="326"/>
      <c r="T852" s="326"/>
      <c r="U852" s="326"/>
      <c r="V852" s="326"/>
    </row>
    <row r="853" spans="16:22" ht="12.75">
      <c r="P853" s="326"/>
      <c r="Q853" s="326"/>
      <c r="R853" s="326"/>
      <c r="S853" s="326"/>
      <c r="T853" s="326"/>
      <c r="U853" s="326"/>
      <c r="V853" s="326"/>
    </row>
    <row r="854" spans="16:22" ht="12.75">
      <c r="P854" s="326"/>
      <c r="Q854" s="326"/>
      <c r="R854" s="326"/>
      <c r="S854" s="326"/>
      <c r="T854" s="326"/>
      <c r="U854" s="326"/>
      <c r="V854" s="326"/>
    </row>
    <row r="855" spans="16:22" ht="12.75">
      <c r="P855" s="326"/>
      <c r="Q855" s="326"/>
      <c r="R855" s="326"/>
      <c r="S855" s="326"/>
      <c r="T855" s="326"/>
      <c r="U855" s="326"/>
      <c r="V855" s="326"/>
    </row>
    <row r="856" spans="16:22" ht="12.75">
      <c r="P856" s="326"/>
      <c r="Q856" s="326"/>
      <c r="R856" s="326"/>
      <c r="S856" s="326"/>
      <c r="T856" s="326"/>
      <c r="U856" s="326"/>
      <c r="V856" s="326"/>
    </row>
    <row r="857" spans="16:22" ht="12.75">
      <c r="P857" s="326"/>
      <c r="Q857" s="326"/>
      <c r="R857" s="326"/>
      <c r="S857" s="326"/>
      <c r="T857" s="326"/>
      <c r="U857" s="326"/>
      <c r="V857" s="326"/>
    </row>
    <row r="858" spans="16:22" ht="12.75">
      <c r="P858" s="326"/>
      <c r="Q858" s="326"/>
      <c r="R858" s="326"/>
      <c r="S858" s="326"/>
      <c r="T858" s="326"/>
      <c r="U858" s="326"/>
      <c r="V858" s="326"/>
    </row>
    <row r="859" spans="16:22" ht="12.75">
      <c r="P859" s="326"/>
      <c r="Q859" s="326"/>
      <c r="R859" s="326"/>
      <c r="S859" s="326"/>
      <c r="T859" s="326"/>
      <c r="U859" s="326"/>
      <c r="V859" s="326"/>
    </row>
    <row r="860" spans="16:22" ht="12.75">
      <c r="P860" s="326"/>
      <c r="Q860" s="326"/>
      <c r="R860" s="326"/>
      <c r="S860" s="326"/>
      <c r="T860" s="326"/>
      <c r="U860" s="326"/>
      <c r="V860" s="326"/>
    </row>
    <row r="861" spans="16:22" ht="12.75">
      <c r="P861" s="326"/>
      <c r="Q861" s="326"/>
      <c r="R861" s="326"/>
      <c r="S861" s="326"/>
      <c r="T861" s="326"/>
      <c r="U861" s="326"/>
      <c r="V861" s="326"/>
    </row>
    <row r="862" spans="16:22" ht="12.75">
      <c r="P862" s="326"/>
      <c r="Q862" s="326"/>
      <c r="R862" s="326"/>
      <c r="S862" s="326"/>
      <c r="T862" s="326"/>
      <c r="U862" s="326"/>
      <c r="V862" s="326"/>
    </row>
    <row r="863" spans="16:22" ht="12.75">
      <c r="P863" s="326"/>
      <c r="Q863" s="326"/>
      <c r="R863" s="326"/>
      <c r="S863" s="326"/>
      <c r="T863" s="326"/>
      <c r="U863" s="326"/>
      <c r="V863" s="326"/>
    </row>
    <row r="864" spans="16:22" ht="12.75">
      <c r="P864" s="326"/>
      <c r="Q864" s="326"/>
      <c r="R864" s="326"/>
      <c r="S864" s="326"/>
      <c r="T864" s="326"/>
      <c r="U864" s="326"/>
      <c r="V864" s="326"/>
    </row>
    <row r="865" spans="16:22" ht="12.75">
      <c r="P865" s="326"/>
      <c r="Q865" s="326"/>
      <c r="R865" s="326"/>
      <c r="S865" s="326"/>
      <c r="T865" s="326"/>
      <c r="U865" s="326"/>
      <c r="V865" s="326"/>
    </row>
    <row r="866" spans="16:22" ht="12.75">
      <c r="P866" s="326"/>
      <c r="Q866" s="326"/>
      <c r="R866" s="326"/>
      <c r="S866" s="326"/>
      <c r="T866" s="326"/>
      <c r="U866" s="326"/>
      <c r="V866" s="326"/>
    </row>
    <row r="867" spans="16:22" ht="12.75">
      <c r="P867" s="326"/>
      <c r="Q867" s="326"/>
      <c r="R867" s="326"/>
      <c r="S867" s="326"/>
      <c r="T867" s="326"/>
      <c r="U867" s="326"/>
      <c r="V867" s="326"/>
    </row>
    <row r="868" spans="16:22" ht="12.75">
      <c r="P868" s="326"/>
      <c r="Q868" s="326"/>
      <c r="R868" s="326"/>
      <c r="S868" s="326"/>
      <c r="T868" s="326"/>
      <c r="U868" s="326"/>
      <c r="V868" s="326"/>
    </row>
    <row r="869" spans="16:22" ht="12.75">
      <c r="P869" s="326"/>
      <c r="Q869" s="326"/>
      <c r="R869" s="326"/>
      <c r="S869" s="326"/>
      <c r="T869" s="326"/>
      <c r="U869" s="326"/>
      <c r="V869" s="326"/>
    </row>
    <row r="870" spans="16:22" ht="12.75">
      <c r="P870" s="326"/>
      <c r="Q870" s="326"/>
      <c r="R870" s="326"/>
      <c r="S870" s="326"/>
      <c r="T870" s="326"/>
      <c r="U870" s="326"/>
      <c r="V870" s="326"/>
    </row>
    <row r="871" spans="16:22" ht="12.75">
      <c r="P871" s="326"/>
      <c r="Q871" s="326"/>
      <c r="R871" s="326"/>
      <c r="S871" s="326"/>
      <c r="T871" s="326"/>
      <c r="U871" s="326"/>
      <c r="V871" s="326"/>
    </row>
    <row r="872" spans="16:22" ht="12.75">
      <c r="P872" s="326"/>
      <c r="Q872" s="326"/>
      <c r="R872" s="326"/>
      <c r="S872" s="326"/>
      <c r="T872" s="326"/>
      <c r="U872" s="326"/>
      <c r="V872" s="326"/>
    </row>
    <row r="873" spans="16:22" ht="12.75">
      <c r="P873" s="326"/>
      <c r="Q873" s="326"/>
      <c r="R873" s="326"/>
      <c r="S873" s="326"/>
      <c r="T873" s="326"/>
      <c r="U873" s="326"/>
      <c r="V873" s="326"/>
    </row>
    <row r="874" spans="16:22" ht="12.75">
      <c r="P874" s="326"/>
      <c r="Q874" s="326"/>
      <c r="R874" s="326"/>
      <c r="S874" s="326"/>
      <c r="T874" s="326"/>
      <c r="U874" s="326"/>
      <c r="V874" s="326"/>
    </row>
    <row r="875" spans="16:22" ht="12.75">
      <c r="P875" s="326"/>
      <c r="Q875" s="326"/>
      <c r="R875" s="326"/>
      <c r="S875" s="326"/>
      <c r="T875" s="326"/>
      <c r="U875" s="326"/>
      <c r="V875" s="326"/>
    </row>
    <row r="876" spans="16:22" ht="12.75">
      <c r="P876" s="326"/>
      <c r="Q876" s="326"/>
      <c r="R876" s="326"/>
      <c r="S876" s="326"/>
      <c r="T876" s="326"/>
      <c r="U876" s="326"/>
      <c r="V876" s="326"/>
    </row>
    <row r="877" spans="16:22" ht="12.75">
      <c r="P877" s="326"/>
      <c r="Q877" s="326"/>
      <c r="R877" s="326"/>
      <c r="S877" s="326"/>
      <c r="T877" s="326"/>
      <c r="U877" s="326"/>
      <c r="V877" s="326"/>
    </row>
    <row r="878" spans="16:22" ht="12.75">
      <c r="P878" s="326"/>
      <c r="Q878" s="326"/>
      <c r="R878" s="326"/>
      <c r="S878" s="326"/>
      <c r="T878" s="326"/>
      <c r="U878" s="326"/>
      <c r="V878" s="326"/>
    </row>
    <row r="879" spans="16:22" ht="12.75">
      <c r="P879" s="326"/>
      <c r="Q879" s="326"/>
      <c r="R879" s="326"/>
      <c r="S879" s="326"/>
      <c r="T879" s="326"/>
      <c r="U879" s="326"/>
      <c r="V879" s="326"/>
    </row>
    <row r="880" spans="16:22" ht="12.75">
      <c r="P880" s="326"/>
      <c r="Q880" s="326"/>
      <c r="R880" s="326"/>
      <c r="S880" s="326"/>
      <c r="T880" s="326"/>
      <c r="U880" s="326"/>
      <c r="V880" s="326"/>
    </row>
    <row r="881" spans="16:22" ht="12.75">
      <c r="P881" s="326"/>
      <c r="Q881" s="326"/>
      <c r="R881" s="326"/>
      <c r="S881" s="326"/>
      <c r="T881" s="326"/>
      <c r="U881" s="326"/>
      <c r="V881" s="326"/>
    </row>
    <row r="882" spans="16:22" ht="12.75">
      <c r="P882" s="326"/>
      <c r="Q882" s="326"/>
      <c r="R882" s="326"/>
      <c r="S882" s="326"/>
      <c r="T882" s="326"/>
      <c r="U882" s="326"/>
      <c r="V882" s="326"/>
    </row>
    <row r="883" spans="16:22" ht="12.75">
      <c r="P883" s="326"/>
      <c r="Q883" s="326"/>
      <c r="R883" s="326"/>
      <c r="S883" s="326"/>
      <c r="T883" s="326"/>
      <c r="U883" s="326"/>
      <c r="V883" s="326"/>
    </row>
    <row r="884" spans="16:22" ht="12.75">
      <c r="P884" s="326"/>
      <c r="Q884" s="326"/>
      <c r="R884" s="326"/>
      <c r="S884" s="326"/>
      <c r="T884" s="326"/>
      <c r="U884" s="326"/>
      <c r="V884" s="326"/>
    </row>
    <row r="885" spans="16:22" ht="12.75">
      <c r="P885" s="326"/>
      <c r="Q885" s="326"/>
      <c r="R885" s="326"/>
      <c r="S885" s="326"/>
      <c r="T885" s="326"/>
      <c r="U885" s="326"/>
      <c r="V885" s="326"/>
    </row>
    <row r="886" spans="16:22" ht="12.75">
      <c r="P886" s="326"/>
      <c r="Q886" s="326"/>
      <c r="R886" s="326"/>
      <c r="S886" s="326"/>
      <c r="T886" s="326"/>
      <c r="U886" s="326"/>
      <c r="V886" s="326"/>
    </row>
    <row r="887" spans="16:22" ht="12.75">
      <c r="P887" s="326"/>
      <c r="Q887" s="326"/>
      <c r="R887" s="326"/>
      <c r="S887" s="326"/>
      <c r="T887" s="326"/>
      <c r="U887" s="326"/>
      <c r="V887" s="326"/>
    </row>
    <row r="888" spans="16:22" ht="12.75">
      <c r="P888" s="326"/>
      <c r="Q888" s="326"/>
      <c r="R888" s="326"/>
      <c r="S888" s="326"/>
      <c r="T888" s="326"/>
      <c r="U888" s="326"/>
      <c r="V888" s="326"/>
    </row>
    <row r="889" spans="16:22" ht="12.75">
      <c r="P889" s="326"/>
      <c r="Q889" s="326"/>
      <c r="R889" s="326"/>
      <c r="S889" s="326"/>
      <c r="T889" s="326"/>
      <c r="U889" s="326"/>
      <c r="V889" s="326"/>
    </row>
    <row r="890" spans="16:22" ht="12.75">
      <c r="P890" s="326"/>
      <c r="Q890" s="326"/>
      <c r="R890" s="326"/>
      <c r="S890" s="326"/>
      <c r="T890" s="326"/>
      <c r="U890" s="326"/>
      <c r="V890" s="326"/>
    </row>
    <row r="891" spans="16:22" ht="12.75">
      <c r="P891" s="326"/>
      <c r="Q891" s="326"/>
      <c r="R891" s="326"/>
      <c r="S891" s="326"/>
      <c r="T891" s="326"/>
      <c r="U891" s="326"/>
      <c r="V891" s="326"/>
    </row>
    <row r="892" spans="16:22" ht="12.75">
      <c r="P892" s="326"/>
      <c r="Q892" s="326"/>
      <c r="R892" s="326"/>
      <c r="S892" s="326"/>
      <c r="T892" s="326"/>
      <c r="U892" s="326"/>
      <c r="V892" s="326"/>
    </row>
    <row r="893" spans="16:22" ht="12.75">
      <c r="P893" s="326"/>
      <c r="Q893" s="326"/>
      <c r="R893" s="326"/>
      <c r="S893" s="326"/>
      <c r="T893" s="326"/>
      <c r="U893" s="326"/>
      <c r="V893" s="326"/>
    </row>
    <row r="894" spans="16:22" ht="12.75">
      <c r="P894" s="326"/>
      <c r="Q894" s="326"/>
      <c r="R894" s="326"/>
      <c r="S894" s="326"/>
      <c r="T894" s="326"/>
      <c r="U894" s="326"/>
      <c r="V894" s="326"/>
    </row>
    <row r="895" spans="16:22" ht="12.75">
      <c r="P895" s="326"/>
      <c r="Q895" s="326"/>
      <c r="R895" s="326"/>
      <c r="S895" s="326"/>
      <c r="T895" s="326"/>
      <c r="U895" s="326"/>
      <c r="V895" s="326"/>
    </row>
    <row r="896" spans="16:22" ht="12.75">
      <c r="P896" s="326"/>
      <c r="Q896" s="326"/>
      <c r="R896" s="326"/>
      <c r="S896" s="326"/>
      <c r="T896" s="326"/>
      <c r="U896" s="326"/>
      <c r="V896" s="326"/>
    </row>
    <row r="897" spans="16:22" ht="12.75">
      <c r="P897" s="326"/>
      <c r="Q897" s="326"/>
      <c r="R897" s="326"/>
      <c r="S897" s="326"/>
      <c r="T897" s="326"/>
      <c r="U897" s="326"/>
      <c r="V897" s="326"/>
    </row>
    <row r="898" spans="16:22" ht="12.75">
      <c r="P898" s="326"/>
      <c r="Q898" s="326"/>
      <c r="R898" s="326"/>
      <c r="S898" s="326"/>
      <c r="T898" s="326"/>
      <c r="U898" s="326"/>
      <c r="V898" s="326"/>
    </row>
    <row r="899" spans="16:22" ht="12.75">
      <c r="P899" s="326"/>
      <c r="Q899" s="326"/>
      <c r="R899" s="326"/>
      <c r="S899" s="326"/>
      <c r="T899" s="326"/>
      <c r="U899" s="326"/>
      <c r="V899" s="326"/>
    </row>
    <row r="900" spans="16:22" ht="12.75">
      <c r="P900" s="326"/>
      <c r="Q900" s="326"/>
      <c r="R900" s="326"/>
      <c r="S900" s="326"/>
      <c r="T900" s="326"/>
      <c r="U900" s="326"/>
      <c r="V900" s="326"/>
    </row>
    <row r="901" spans="16:22" ht="12.75">
      <c r="P901" s="326"/>
      <c r="Q901" s="326"/>
      <c r="R901" s="326"/>
      <c r="S901" s="326"/>
      <c r="T901" s="326"/>
      <c r="U901" s="326"/>
      <c r="V901" s="326"/>
    </row>
    <row r="902" spans="16:22" ht="12.75">
      <c r="P902" s="326"/>
      <c r="Q902" s="326"/>
      <c r="R902" s="326"/>
      <c r="S902" s="326"/>
      <c r="T902" s="326"/>
      <c r="U902" s="326"/>
      <c r="V902" s="326"/>
    </row>
    <row r="903" spans="16:22" ht="12.75">
      <c r="P903" s="326"/>
      <c r="Q903" s="326"/>
      <c r="R903" s="326"/>
      <c r="S903" s="326"/>
      <c r="T903" s="326"/>
      <c r="U903" s="326"/>
      <c r="V903" s="326"/>
    </row>
    <row r="904" spans="16:22" ht="12.75">
      <c r="P904" s="326"/>
      <c r="Q904" s="326"/>
      <c r="R904" s="326"/>
      <c r="S904" s="326"/>
      <c r="T904" s="326"/>
      <c r="U904" s="326"/>
      <c r="V904" s="326"/>
    </row>
    <row r="905" spans="16:22" ht="12.75">
      <c r="P905" s="326"/>
      <c r="Q905" s="326"/>
      <c r="R905" s="326"/>
      <c r="S905" s="326"/>
      <c r="T905" s="326"/>
      <c r="U905" s="326"/>
      <c r="V905" s="326"/>
    </row>
    <row r="906" spans="16:22" ht="12.75">
      <c r="P906" s="326"/>
      <c r="Q906" s="326"/>
      <c r="R906" s="326"/>
      <c r="S906" s="326"/>
      <c r="T906" s="326"/>
      <c r="U906" s="326"/>
      <c r="V906" s="326"/>
    </row>
    <row r="907" spans="16:22" ht="12.75">
      <c r="P907" s="326"/>
      <c r="Q907" s="326"/>
      <c r="R907" s="326"/>
      <c r="S907" s="326"/>
      <c r="T907" s="326"/>
      <c r="U907" s="326"/>
      <c r="V907" s="326"/>
    </row>
    <row r="908" spans="16:22" ht="12.75">
      <c r="P908" s="326"/>
      <c r="Q908" s="326"/>
      <c r="R908" s="326"/>
      <c r="S908" s="326"/>
      <c r="T908" s="326"/>
      <c r="U908" s="326"/>
      <c r="V908" s="326"/>
    </row>
    <row r="909" spans="16:22" ht="12.75">
      <c r="P909" s="326"/>
      <c r="Q909" s="326"/>
      <c r="R909" s="326"/>
      <c r="S909" s="326"/>
      <c r="T909" s="326"/>
      <c r="U909" s="326"/>
      <c r="V909" s="326"/>
    </row>
    <row r="910" spans="16:22" ht="12.75">
      <c r="P910" s="326"/>
      <c r="Q910" s="326"/>
      <c r="R910" s="326"/>
      <c r="S910" s="326"/>
      <c r="T910" s="326"/>
      <c r="U910" s="326"/>
      <c r="V910" s="326"/>
    </row>
    <row r="911" spans="16:22" ht="12.75">
      <c r="P911" s="326"/>
      <c r="Q911" s="326"/>
      <c r="R911" s="326"/>
      <c r="S911" s="326"/>
      <c r="T911" s="326"/>
      <c r="U911" s="326"/>
      <c r="V911" s="326"/>
    </row>
    <row r="912" spans="16:22" ht="12.75">
      <c r="P912" s="326"/>
      <c r="Q912" s="326"/>
      <c r="R912" s="326"/>
      <c r="S912" s="326"/>
      <c r="T912" s="326"/>
      <c r="U912" s="326"/>
      <c r="V912" s="326"/>
    </row>
    <row r="913" spans="16:22" ht="12.75">
      <c r="P913" s="326"/>
      <c r="Q913" s="326"/>
      <c r="R913" s="326"/>
      <c r="S913" s="326"/>
      <c r="T913" s="326"/>
      <c r="U913" s="326"/>
      <c r="V913" s="326"/>
    </row>
    <row r="914" spans="16:22" ht="12.75">
      <c r="P914" s="326"/>
      <c r="Q914" s="326"/>
      <c r="R914" s="326"/>
      <c r="S914" s="326"/>
      <c r="T914" s="326"/>
      <c r="U914" s="326"/>
      <c r="V914" s="326"/>
    </row>
    <row r="915" spans="16:22" ht="12.75">
      <c r="P915" s="326"/>
      <c r="Q915" s="326"/>
      <c r="R915" s="326"/>
      <c r="S915" s="326"/>
      <c r="T915" s="326"/>
      <c r="U915" s="326"/>
      <c r="V915" s="326"/>
    </row>
    <row r="916" spans="16:22" ht="12.75">
      <c r="P916" s="326"/>
      <c r="Q916" s="326"/>
      <c r="R916" s="326"/>
      <c r="S916" s="326"/>
      <c r="T916" s="326"/>
      <c r="U916" s="326"/>
      <c r="V916" s="326"/>
    </row>
    <row r="917" spans="16:22" ht="12.75">
      <c r="P917" s="326"/>
      <c r="Q917" s="326"/>
      <c r="R917" s="326"/>
      <c r="S917" s="326"/>
      <c r="T917" s="326"/>
      <c r="U917" s="326"/>
      <c r="V917" s="326"/>
    </row>
    <row r="918" spans="16:22" ht="12.75">
      <c r="P918" s="326"/>
      <c r="Q918" s="326"/>
      <c r="R918" s="326"/>
      <c r="S918" s="326"/>
      <c r="T918" s="326"/>
      <c r="U918" s="326"/>
      <c r="V918" s="326"/>
    </row>
    <row r="919" spans="16:22" ht="12.75">
      <c r="P919" s="326"/>
      <c r="Q919" s="326"/>
      <c r="R919" s="326"/>
      <c r="S919" s="326"/>
      <c r="T919" s="326"/>
      <c r="U919" s="326"/>
      <c r="V919" s="326"/>
    </row>
    <row r="920" spans="16:22" ht="12.75">
      <c r="P920" s="326"/>
      <c r="Q920" s="326"/>
      <c r="R920" s="326"/>
      <c r="S920" s="326"/>
      <c r="T920" s="326"/>
      <c r="U920" s="326"/>
      <c r="V920" s="326"/>
    </row>
    <row r="921" spans="16:22" ht="12.75">
      <c r="P921" s="326"/>
      <c r="Q921" s="326"/>
      <c r="R921" s="326"/>
      <c r="S921" s="326"/>
      <c r="T921" s="326"/>
      <c r="U921" s="326"/>
      <c r="V921" s="326"/>
    </row>
    <row r="922" spans="16:22" ht="12.75">
      <c r="P922" s="326"/>
      <c r="Q922" s="326"/>
      <c r="R922" s="326"/>
      <c r="S922" s="326"/>
      <c r="T922" s="326"/>
      <c r="U922" s="326"/>
      <c r="V922" s="326"/>
    </row>
    <row r="923" spans="16:22" ht="12.75">
      <c r="P923" s="326"/>
      <c r="Q923" s="326"/>
      <c r="R923" s="326"/>
      <c r="S923" s="326"/>
      <c r="T923" s="326"/>
      <c r="U923" s="326"/>
      <c r="V923" s="326"/>
    </row>
    <row r="924" spans="16:22" ht="12.75">
      <c r="P924" s="326"/>
      <c r="Q924" s="326"/>
      <c r="R924" s="326"/>
      <c r="S924" s="326"/>
      <c r="T924" s="326"/>
      <c r="U924" s="326"/>
      <c r="V924" s="326"/>
    </row>
    <row r="925" spans="16:22" ht="12.75">
      <c r="P925" s="326"/>
      <c r="Q925" s="326"/>
      <c r="R925" s="326"/>
      <c r="S925" s="326"/>
      <c r="T925" s="326"/>
      <c r="U925" s="326"/>
      <c r="V925" s="326"/>
    </row>
    <row r="926" spans="16:22" ht="12.75">
      <c r="P926" s="326"/>
      <c r="Q926" s="326"/>
      <c r="R926" s="326"/>
      <c r="S926" s="326"/>
      <c r="T926" s="326"/>
      <c r="U926" s="326"/>
      <c r="V926" s="326"/>
    </row>
    <row r="927" spans="16:22" ht="12.75">
      <c r="P927" s="326"/>
      <c r="Q927" s="326"/>
      <c r="R927" s="326"/>
      <c r="S927" s="326"/>
      <c r="T927" s="326"/>
      <c r="U927" s="326"/>
      <c r="V927" s="326"/>
    </row>
    <row r="928" spans="16:22" ht="12.75">
      <c r="P928" s="326"/>
      <c r="Q928" s="326"/>
      <c r="R928" s="326"/>
      <c r="S928" s="326"/>
      <c r="T928" s="326"/>
      <c r="U928" s="326"/>
      <c r="V928" s="326"/>
    </row>
    <row r="929" spans="16:22" ht="12.75">
      <c r="P929" s="326"/>
      <c r="Q929" s="326"/>
      <c r="R929" s="326"/>
      <c r="S929" s="326"/>
      <c r="T929" s="326"/>
      <c r="U929" s="326"/>
      <c r="V929" s="326"/>
    </row>
    <row r="930" spans="16:22" ht="12.75">
      <c r="P930" s="326"/>
      <c r="Q930" s="326"/>
      <c r="R930" s="326"/>
      <c r="S930" s="326"/>
      <c r="T930" s="326"/>
      <c r="U930" s="326"/>
      <c r="V930" s="326"/>
    </row>
    <row r="931" spans="16:22" ht="12.75">
      <c r="P931" s="326"/>
      <c r="Q931" s="326"/>
      <c r="R931" s="326"/>
      <c r="S931" s="326"/>
      <c r="T931" s="326"/>
      <c r="U931" s="326"/>
      <c r="V931" s="326"/>
    </row>
    <row r="932" spans="16:22" ht="12.75">
      <c r="P932" s="326"/>
      <c r="Q932" s="326"/>
      <c r="R932" s="326"/>
      <c r="S932" s="326"/>
      <c r="T932" s="326"/>
      <c r="U932" s="326"/>
      <c r="V932" s="326"/>
    </row>
    <row r="933" spans="16:22" ht="12.75">
      <c r="P933" s="326"/>
      <c r="Q933" s="326"/>
      <c r="R933" s="326"/>
      <c r="S933" s="326"/>
      <c r="T933" s="326"/>
      <c r="U933" s="326"/>
      <c r="V933" s="326"/>
    </row>
    <row r="934" spans="16:22" ht="12.75">
      <c r="P934" s="326"/>
      <c r="Q934" s="326"/>
      <c r="R934" s="326"/>
      <c r="S934" s="326"/>
      <c r="T934" s="326"/>
      <c r="U934" s="326"/>
      <c r="V934" s="326"/>
    </row>
    <row r="935" spans="16:22" ht="12.75">
      <c r="P935" s="326"/>
      <c r="Q935" s="326"/>
      <c r="R935" s="326"/>
      <c r="S935" s="326"/>
      <c r="T935" s="326"/>
      <c r="U935" s="326"/>
      <c r="V935" s="326"/>
    </row>
    <row r="936" spans="16:22" ht="12.75">
      <c r="P936" s="326"/>
      <c r="Q936" s="326"/>
      <c r="R936" s="326"/>
      <c r="S936" s="326"/>
      <c r="T936" s="326"/>
      <c r="U936" s="326"/>
      <c r="V936" s="326"/>
    </row>
    <row r="937" spans="16:22" ht="12.75">
      <c r="P937" s="326"/>
      <c r="Q937" s="326"/>
      <c r="R937" s="326"/>
      <c r="S937" s="326"/>
      <c r="T937" s="326"/>
      <c r="U937" s="326"/>
      <c r="V937" s="326"/>
    </row>
    <row r="938" spans="16:22" ht="12.75">
      <c r="P938" s="326"/>
      <c r="Q938" s="326"/>
      <c r="R938" s="326"/>
      <c r="S938" s="326"/>
      <c r="T938" s="326"/>
      <c r="U938" s="326"/>
      <c r="V938" s="326"/>
    </row>
    <row r="939" spans="16:22" ht="12.75">
      <c r="P939" s="326"/>
      <c r="Q939" s="326"/>
      <c r="R939" s="326"/>
      <c r="S939" s="326"/>
      <c r="T939" s="326"/>
      <c r="U939" s="326"/>
      <c r="V939" s="326"/>
    </row>
    <row r="940" spans="16:22" ht="12.75">
      <c r="P940" s="326"/>
      <c r="Q940" s="326"/>
      <c r="R940" s="326"/>
      <c r="S940" s="326"/>
      <c r="T940" s="326"/>
      <c r="U940" s="326"/>
      <c r="V940" s="326"/>
    </row>
    <row r="941" spans="16:22" ht="12.75">
      <c r="P941" s="326"/>
      <c r="Q941" s="326"/>
      <c r="R941" s="326"/>
      <c r="S941" s="326"/>
      <c r="T941" s="326"/>
      <c r="U941" s="326"/>
      <c r="V941" s="326"/>
    </row>
    <row r="942" spans="16:22" ht="12.75">
      <c r="P942" s="326"/>
      <c r="Q942" s="326"/>
      <c r="R942" s="326"/>
      <c r="S942" s="326"/>
      <c r="T942" s="326"/>
      <c r="U942" s="326"/>
      <c r="V942" s="326"/>
    </row>
    <row r="943" spans="16:22" ht="12.75">
      <c r="P943" s="326"/>
      <c r="Q943" s="326"/>
      <c r="R943" s="326"/>
      <c r="S943" s="326"/>
      <c r="T943" s="326"/>
      <c r="U943" s="326"/>
      <c r="V943" s="326"/>
    </row>
    <row r="944" spans="16:22" ht="12.75">
      <c r="P944" s="326"/>
      <c r="Q944" s="326"/>
      <c r="R944" s="326"/>
      <c r="S944" s="326"/>
      <c r="T944" s="326"/>
      <c r="U944" s="326"/>
      <c r="V944" s="326"/>
    </row>
    <row r="945" spans="16:22" ht="12.75">
      <c r="P945" s="326"/>
      <c r="Q945" s="326"/>
      <c r="R945" s="326"/>
      <c r="S945" s="326"/>
      <c r="T945" s="326"/>
      <c r="U945" s="326"/>
      <c r="V945" s="326"/>
    </row>
    <row r="946" spans="16:22" ht="12.75">
      <c r="P946" s="326"/>
      <c r="Q946" s="326"/>
      <c r="R946" s="326"/>
      <c r="S946" s="326"/>
      <c r="T946" s="326"/>
      <c r="U946" s="326"/>
      <c r="V946" s="326"/>
    </row>
    <row r="947" spans="16:22" ht="12.75">
      <c r="P947" s="326"/>
      <c r="Q947" s="326"/>
      <c r="R947" s="326"/>
      <c r="S947" s="326"/>
      <c r="T947" s="326"/>
      <c r="U947" s="326"/>
      <c r="V947" s="326"/>
    </row>
    <row r="948" spans="16:22" ht="12.75">
      <c r="P948" s="326"/>
      <c r="Q948" s="326"/>
      <c r="R948" s="326"/>
      <c r="S948" s="326"/>
      <c r="T948" s="326"/>
      <c r="U948" s="326"/>
      <c r="V948" s="326"/>
    </row>
    <row r="949" spans="16:22" ht="12.75">
      <c r="P949" s="326"/>
      <c r="Q949" s="326"/>
      <c r="R949" s="326"/>
      <c r="S949" s="326"/>
      <c r="T949" s="326"/>
      <c r="U949" s="326"/>
      <c r="V949" s="326"/>
    </row>
    <row r="950" spans="16:22" ht="12.75">
      <c r="P950" s="326"/>
      <c r="Q950" s="326"/>
      <c r="R950" s="326"/>
      <c r="S950" s="326"/>
      <c r="T950" s="326"/>
      <c r="U950" s="326"/>
      <c r="V950" s="326"/>
    </row>
    <row r="951" spans="16:22" ht="12.75">
      <c r="P951" s="326"/>
      <c r="Q951" s="326"/>
      <c r="R951" s="326"/>
      <c r="S951" s="326"/>
      <c r="T951" s="326"/>
      <c r="U951" s="326"/>
      <c r="V951" s="326"/>
    </row>
    <row r="952" spans="16:22" ht="12.75">
      <c r="P952" s="326"/>
      <c r="Q952" s="326"/>
      <c r="R952" s="326"/>
      <c r="S952" s="326"/>
      <c r="T952" s="326"/>
      <c r="U952" s="326"/>
      <c r="V952" s="326"/>
    </row>
    <row r="953" spans="16:22" ht="12.75">
      <c r="P953" s="326"/>
      <c r="Q953" s="326"/>
      <c r="R953" s="326"/>
      <c r="S953" s="326"/>
      <c r="T953" s="326"/>
      <c r="U953" s="326"/>
      <c r="V953" s="326"/>
    </row>
    <row r="954" spans="16:22" ht="12.75">
      <c r="P954" s="326"/>
      <c r="Q954" s="326"/>
      <c r="R954" s="326"/>
      <c r="S954" s="326"/>
      <c r="T954" s="326"/>
      <c r="U954" s="326"/>
      <c r="V954" s="326"/>
    </row>
    <row r="955" spans="16:22" ht="12.75">
      <c r="P955" s="326"/>
      <c r="Q955" s="326"/>
      <c r="R955" s="326"/>
      <c r="S955" s="326"/>
      <c r="T955" s="326"/>
      <c r="U955" s="326"/>
      <c r="V955" s="326"/>
    </row>
    <row r="956" spans="16:22" ht="12.75">
      <c r="P956" s="326"/>
      <c r="Q956" s="326"/>
      <c r="R956" s="326"/>
      <c r="S956" s="326"/>
      <c r="T956" s="326"/>
      <c r="U956" s="326"/>
      <c r="V956" s="326"/>
    </row>
    <row r="957" spans="16:22" ht="12.75">
      <c r="P957" s="326"/>
      <c r="Q957" s="326"/>
      <c r="R957" s="326"/>
      <c r="S957" s="326"/>
      <c r="T957" s="326"/>
      <c r="U957" s="326"/>
      <c r="V957" s="326"/>
    </row>
    <row r="958" spans="16:22" ht="12.75">
      <c r="P958" s="326"/>
      <c r="Q958" s="326"/>
      <c r="R958" s="326"/>
      <c r="S958" s="326"/>
      <c r="T958" s="326"/>
      <c r="U958" s="326"/>
      <c r="V958" s="326"/>
    </row>
    <row r="959" spans="16:22" ht="12.75">
      <c r="P959" s="326"/>
      <c r="Q959" s="326"/>
      <c r="R959" s="326"/>
      <c r="S959" s="326"/>
      <c r="T959" s="326"/>
      <c r="U959" s="326"/>
      <c r="V959" s="326"/>
    </row>
    <row r="960" spans="16:22" ht="12.75">
      <c r="P960" s="326"/>
      <c r="Q960" s="326"/>
      <c r="R960" s="326"/>
      <c r="S960" s="326"/>
      <c r="T960" s="326"/>
      <c r="U960" s="326"/>
      <c r="V960" s="326"/>
    </row>
    <row r="961" spans="16:22" ht="12.75">
      <c r="P961" s="326"/>
      <c r="Q961" s="326"/>
      <c r="R961" s="326"/>
      <c r="S961" s="326"/>
      <c r="T961" s="326"/>
      <c r="U961" s="326"/>
      <c r="V961" s="326"/>
    </row>
    <row r="962" spans="16:22" ht="12.75">
      <c r="P962" s="326"/>
      <c r="Q962" s="326"/>
      <c r="R962" s="326"/>
      <c r="S962" s="326"/>
      <c r="T962" s="326"/>
      <c r="U962" s="326"/>
      <c r="V962" s="326"/>
    </row>
    <row r="963" spans="16:22" ht="12.75">
      <c r="P963" s="326"/>
      <c r="Q963" s="326"/>
      <c r="R963" s="326"/>
      <c r="S963" s="326"/>
      <c r="T963" s="326"/>
      <c r="U963" s="326"/>
      <c r="V963" s="326"/>
    </row>
    <row r="964" spans="16:22" ht="12.75">
      <c r="P964" s="326"/>
      <c r="Q964" s="326"/>
      <c r="R964" s="326"/>
      <c r="S964" s="326"/>
      <c r="T964" s="326"/>
      <c r="U964" s="326"/>
      <c r="V964" s="326"/>
    </row>
    <row r="965" spans="16:22" ht="12.75">
      <c r="P965" s="326"/>
      <c r="Q965" s="326"/>
      <c r="R965" s="326"/>
      <c r="S965" s="326"/>
      <c r="T965" s="326"/>
      <c r="U965" s="326"/>
      <c r="V965" s="326"/>
    </row>
    <row r="966" spans="16:22" ht="12.75">
      <c r="P966" s="326"/>
      <c r="Q966" s="326"/>
      <c r="R966" s="326"/>
      <c r="S966" s="326"/>
      <c r="T966" s="326"/>
      <c r="U966" s="326"/>
      <c r="V966" s="326"/>
    </row>
    <row r="967" spans="16:22" ht="12.75">
      <c r="P967" s="326"/>
      <c r="Q967" s="326"/>
      <c r="R967" s="326"/>
      <c r="S967" s="326"/>
      <c r="T967" s="326"/>
      <c r="U967" s="326"/>
      <c r="V967" s="326"/>
    </row>
    <row r="968" spans="16:22" ht="12.75">
      <c r="P968" s="326"/>
      <c r="Q968" s="326"/>
      <c r="R968" s="326"/>
      <c r="S968" s="326"/>
      <c r="T968" s="326"/>
      <c r="U968" s="326"/>
      <c r="V968" s="326"/>
    </row>
    <row r="969" spans="16:22" ht="12.75">
      <c r="P969" s="326"/>
      <c r="Q969" s="326"/>
      <c r="R969" s="326"/>
      <c r="S969" s="326"/>
      <c r="T969" s="326"/>
      <c r="U969" s="326"/>
      <c r="V969" s="326"/>
    </row>
    <row r="970" spans="16:22" ht="12.75">
      <c r="P970" s="326"/>
      <c r="Q970" s="326"/>
      <c r="R970" s="326"/>
      <c r="S970" s="326"/>
      <c r="T970" s="326"/>
      <c r="U970" s="326"/>
      <c r="V970" s="326"/>
    </row>
    <row r="971" spans="16:22" ht="12.75">
      <c r="P971" s="326"/>
      <c r="Q971" s="326"/>
      <c r="R971" s="326"/>
      <c r="S971" s="326"/>
      <c r="T971" s="326"/>
      <c r="U971" s="326"/>
      <c r="V971" s="326"/>
    </row>
    <row r="972" spans="16:22" ht="12.75">
      <c r="P972" s="326"/>
      <c r="Q972" s="326"/>
      <c r="R972" s="326"/>
      <c r="S972" s="326"/>
      <c r="T972" s="326"/>
      <c r="U972" s="326"/>
      <c r="V972" s="326"/>
    </row>
    <row r="973" spans="16:22" ht="12.75">
      <c r="P973" s="326"/>
      <c r="Q973" s="326"/>
      <c r="R973" s="326"/>
      <c r="S973" s="326"/>
      <c r="T973" s="326"/>
      <c r="U973" s="326"/>
      <c r="V973" s="326"/>
    </row>
    <row r="974" spans="16:22" ht="12.75">
      <c r="P974" s="326"/>
      <c r="Q974" s="326"/>
      <c r="R974" s="326"/>
      <c r="S974" s="326"/>
      <c r="T974" s="326"/>
      <c r="U974" s="326"/>
      <c r="V974" s="326"/>
    </row>
    <row r="975" spans="16:22" ht="12.75">
      <c r="P975" s="326"/>
      <c r="Q975" s="326"/>
      <c r="R975" s="326"/>
      <c r="S975" s="326"/>
      <c r="T975" s="326"/>
      <c r="U975" s="326"/>
      <c r="V975" s="326"/>
    </row>
    <row r="976" spans="16:22" ht="12.75">
      <c r="P976" s="326"/>
      <c r="Q976" s="326"/>
      <c r="R976" s="326"/>
      <c r="S976" s="326"/>
      <c r="T976" s="326"/>
      <c r="U976" s="326"/>
      <c r="V976" s="326"/>
    </row>
    <row r="977" spans="16:22" ht="12.75">
      <c r="P977" s="326"/>
      <c r="Q977" s="326"/>
      <c r="R977" s="326"/>
      <c r="S977" s="326"/>
      <c r="T977" s="326"/>
      <c r="U977" s="326"/>
      <c r="V977" s="326"/>
    </row>
    <row r="978" spans="16:22" ht="12.75">
      <c r="P978" s="326"/>
      <c r="Q978" s="326"/>
      <c r="R978" s="326"/>
      <c r="S978" s="326"/>
      <c r="T978" s="326"/>
      <c r="U978" s="326"/>
      <c r="V978" s="326"/>
    </row>
    <row r="979" spans="16:22" ht="12.75">
      <c r="P979" s="326"/>
      <c r="Q979" s="326"/>
      <c r="R979" s="326"/>
      <c r="S979" s="326"/>
      <c r="T979" s="326"/>
      <c r="U979" s="326"/>
      <c r="V979" s="326"/>
    </row>
    <row r="980" spans="16:22" ht="12.75">
      <c r="P980" s="326"/>
      <c r="Q980" s="326"/>
      <c r="R980" s="326"/>
      <c r="S980" s="326"/>
      <c r="T980" s="326"/>
      <c r="U980" s="326"/>
      <c r="V980" s="326"/>
    </row>
    <row r="981" spans="16:22" ht="12.75">
      <c r="P981" s="326"/>
      <c r="Q981" s="326"/>
      <c r="R981" s="326"/>
      <c r="S981" s="326"/>
      <c r="T981" s="326"/>
      <c r="U981" s="326"/>
      <c r="V981" s="326"/>
    </row>
    <row r="982" spans="16:22" ht="12.75">
      <c r="P982" s="326"/>
      <c r="Q982" s="326"/>
      <c r="R982" s="326"/>
      <c r="S982" s="326"/>
      <c r="T982" s="326"/>
      <c r="U982" s="326"/>
      <c r="V982" s="326"/>
    </row>
    <row r="983" spans="16:22" ht="12.75">
      <c r="P983" s="326"/>
      <c r="Q983" s="326"/>
      <c r="R983" s="326"/>
      <c r="S983" s="326"/>
      <c r="T983" s="326"/>
      <c r="U983" s="326"/>
      <c r="V983" s="326"/>
    </row>
    <row r="984" spans="16:22" ht="12.75">
      <c r="P984" s="326"/>
      <c r="Q984" s="326"/>
      <c r="R984" s="326"/>
      <c r="S984" s="326"/>
      <c r="T984" s="326"/>
      <c r="U984" s="326"/>
      <c r="V984" s="326"/>
    </row>
    <row r="985" spans="16:22" ht="12.75">
      <c r="P985" s="326"/>
      <c r="Q985" s="326"/>
      <c r="R985" s="326"/>
      <c r="S985" s="326"/>
      <c r="T985" s="326"/>
      <c r="U985" s="326"/>
      <c r="V985" s="326"/>
    </row>
    <row r="986" spans="16:22" ht="12.75">
      <c r="P986" s="326"/>
      <c r="Q986" s="326"/>
      <c r="R986" s="326"/>
      <c r="S986" s="326"/>
      <c r="T986" s="326"/>
      <c r="U986" s="326"/>
      <c r="V986" s="326"/>
    </row>
    <row r="987" spans="16:22" ht="12.75">
      <c r="P987" s="326"/>
      <c r="Q987" s="326"/>
      <c r="R987" s="326"/>
      <c r="S987" s="326"/>
      <c r="T987" s="326"/>
      <c r="U987" s="326"/>
      <c r="V987" s="326"/>
    </row>
    <row r="988" spans="16:22" ht="12.75">
      <c r="P988" s="326"/>
      <c r="Q988" s="326"/>
      <c r="R988" s="326"/>
      <c r="S988" s="326"/>
      <c r="T988" s="326"/>
      <c r="U988" s="326"/>
      <c r="V988" s="326"/>
    </row>
    <row r="989" spans="16:22" ht="12.75">
      <c r="P989" s="326"/>
      <c r="Q989" s="326"/>
      <c r="R989" s="326"/>
      <c r="S989" s="326"/>
      <c r="T989" s="326"/>
      <c r="U989" s="326"/>
      <c r="V989" s="326"/>
    </row>
    <row r="990" spans="16:22" ht="12.75">
      <c r="P990" s="326"/>
      <c r="Q990" s="326"/>
      <c r="R990" s="326"/>
      <c r="S990" s="326"/>
      <c r="T990" s="326"/>
      <c r="U990" s="326"/>
      <c r="V990" s="326"/>
    </row>
    <row r="991" spans="16:22" ht="12.75">
      <c r="P991" s="326"/>
      <c r="Q991" s="326"/>
      <c r="R991" s="326"/>
      <c r="S991" s="326"/>
      <c r="T991" s="326"/>
      <c r="U991" s="326"/>
      <c r="V991" s="326"/>
    </row>
    <row r="992" spans="16:22" ht="12.75">
      <c r="P992" s="326"/>
      <c r="Q992" s="326"/>
      <c r="R992" s="326"/>
      <c r="S992" s="326"/>
      <c r="T992" s="326"/>
      <c r="U992" s="326"/>
      <c r="V992" s="326"/>
    </row>
    <row r="993" spans="16:22" ht="12.75">
      <c r="P993" s="326"/>
      <c r="Q993" s="326"/>
      <c r="R993" s="326"/>
      <c r="S993" s="326"/>
      <c r="T993" s="326"/>
      <c r="U993" s="326"/>
      <c r="V993" s="326"/>
    </row>
    <row r="994" spans="16:22" ht="12.75">
      <c r="P994" s="326"/>
      <c r="Q994" s="326"/>
      <c r="R994" s="326"/>
      <c r="S994" s="326"/>
      <c r="T994" s="326"/>
      <c r="U994" s="326"/>
      <c r="V994" s="326"/>
    </row>
    <row r="995" spans="16:22" ht="12.75">
      <c r="P995" s="326"/>
      <c r="Q995" s="326"/>
      <c r="R995" s="326"/>
      <c r="S995" s="326"/>
      <c r="T995" s="326"/>
      <c r="U995" s="326"/>
      <c r="V995" s="326"/>
    </row>
    <row r="996" spans="16:22" ht="12.75">
      <c r="P996" s="326"/>
      <c r="Q996" s="326"/>
      <c r="R996" s="326"/>
      <c r="S996" s="326"/>
      <c r="T996" s="326"/>
      <c r="U996" s="326"/>
      <c r="V996" s="326"/>
    </row>
    <row r="997" spans="16:22" ht="12.75">
      <c r="P997" s="326"/>
      <c r="Q997" s="326"/>
      <c r="R997" s="326"/>
      <c r="S997" s="326"/>
      <c r="T997" s="326"/>
      <c r="U997" s="326"/>
      <c r="V997" s="326"/>
    </row>
    <row r="998" spans="16:22" ht="12.75">
      <c r="P998" s="326"/>
      <c r="Q998" s="326"/>
      <c r="R998" s="326"/>
      <c r="S998" s="326"/>
      <c r="T998" s="326"/>
      <c r="U998" s="326"/>
      <c r="V998" s="326"/>
    </row>
    <row r="999" spans="16:22" ht="12.75">
      <c r="P999" s="326"/>
      <c r="Q999" s="326"/>
      <c r="R999" s="326"/>
      <c r="S999" s="326"/>
      <c r="T999" s="326"/>
      <c r="U999" s="326"/>
      <c r="V999" s="326"/>
    </row>
    <row r="1000" spans="16:22" ht="12.75">
      <c r="P1000" s="326"/>
      <c r="Q1000" s="326"/>
      <c r="R1000" s="326"/>
      <c r="S1000" s="326"/>
      <c r="T1000" s="326"/>
      <c r="U1000" s="326"/>
      <c r="V1000" s="326"/>
    </row>
    <row r="1001" spans="16:22" ht="12.75">
      <c r="P1001" s="326"/>
      <c r="Q1001" s="326"/>
      <c r="R1001" s="326"/>
      <c r="S1001" s="326"/>
      <c r="T1001" s="326"/>
      <c r="U1001" s="326"/>
      <c r="V1001" s="326"/>
    </row>
    <row r="1002" spans="16:22" ht="12.75">
      <c r="P1002" s="326"/>
      <c r="Q1002" s="326"/>
      <c r="R1002" s="326"/>
      <c r="S1002" s="326"/>
      <c r="T1002" s="326"/>
      <c r="U1002" s="326"/>
      <c r="V1002" s="326"/>
    </row>
    <row r="1003" spans="16:22" ht="12.75">
      <c r="P1003" s="326"/>
      <c r="Q1003" s="326"/>
      <c r="R1003" s="326"/>
      <c r="S1003" s="326"/>
      <c r="T1003" s="326"/>
      <c r="U1003" s="326"/>
      <c r="V1003" s="326"/>
    </row>
  </sheetData>
  <mergeCells count="27">
    <mergeCell ref="B266:C266"/>
    <mergeCell ref="B270:C270"/>
    <mergeCell ref="B274:C274"/>
    <mergeCell ref="B265:C265"/>
    <mergeCell ref="B269:C269"/>
    <mergeCell ref="B273:C273"/>
    <mergeCell ref="B261:C261"/>
    <mergeCell ref="G7:G8"/>
    <mergeCell ref="B262:C262"/>
    <mergeCell ref="B1:C1"/>
    <mergeCell ref="B3:O3"/>
    <mergeCell ref="B4:O4"/>
    <mergeCell ref="B6:D8"/>
    <mergeCell ref="E6:E8"/>
    <mergeCell ref="F6:F8"/>
    <mergeCell ref="G6:K6"/>
    <mergeCell ref="P6:P8"/>
    <mergeCell ref="O6:O8"/>
    <mergeCell ref="L7:L8"/>
    <mergeCell ref="N6:N8"/>
    <mergeCell ref="L6:M6"/>
    <mergeCell ref="J7:J8"/>
    <mergeCell ref="M7:M8"/>
    <mergeCell ref="I7:I8"/>
    <mergeCell ref="A6:A8"/>
    <mergeCell ref="H7:H8"/>
    <mergeCell ref="K7:K8"/>
  </mergeCells>
  <printOptions horizontalCentered="1"/>
  <pageMargins left="0.3937007874015748" right="0.3937007874015748" top="0.74" bottom="0.4" header="0.41" footer="0.34"/>
  <pageSetup horizontalDpi="600" verticalDpi="600" orientation="landscape" paperSize="9" scale="57" r:id="rId1"/>
  <headerFooter alignWithMargins="0">
    <oddHeader>&amp;L5. melléklet a 24/2013.(IX.13.) önkormányzati rendelethez
"5. melléklet az 1/2013.(II.01.) önkormányzati rendelethez"</oddHeader>
  </headerFooter>
  <rowBreaks count="4" manualBreakCount="4">
    <brk id="56" max="15" man="1"/>
    <brk id="107" max="15" man="1"/>
    <brk id="164" max="15" man="1"/>
    <brk id="218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93"/>
  <sheetViews>
    <sheetView view="pageBreakPreview" zoomScaleSheetLayoutView="100" workbookViewId="0" topLeftCell="A1">
      <selection activeCell="E67" sqref="E67"/>
    </sheetView>
  </sheetViews>
  <sheetFormatPr defaultColWidth="9.00390625" defaultRowHeight="12.75"/>
  <cols>
    <col min="1" max="1" width="13.875" style="248" customWidth="1"/>
    <col min="2" max="2" width="8.00390625" style="249" customWidth="1"/>
    <col min="3" max="3" width="65.00390625" style="248" customWidth="1"/>
    <col min="4" max="4" width="11.25390625" style="250" customWidth="1"/>
    <col min="5" max="5" width="9.25390625" style="251" customWidth="1"/>
    <col min="6" max="6" width="9.00390625" style="248" customWidth="1"/>
    <col min="7" max="7" width="9.875" style="248" customWidth="1"/>
    <col min="8" max="8" width="8.75390625" style="248" customWidth="1"/>
    <col min="9" max="9" width="9.625" style="248" customWidth="1"/>
    <col min="10" max="10" width="9.375" style="248" customWidth="1"/>
    <col min="11" max="11" width="10.125" style="248" customWidth="1"/>
    <col min="12" max="12" width="9.375" style="248" customWidth="1"/>
    <col min="13" max="13" width="9.125" style="248" customWidth="1"/>
    <col min="14" max="14" width="8.875" style="253" customWidth="1"/>
    <col min="15" max="15" width="10.875" style="248" customWidth="1"/>
    <col min="16" max="16384" width="9.125" style="248" customWidth="1"/>
  </cols>
  <sheetData>
    <row r="1" spans="7:15" ht="12.75">
      <c r="G1" s="249"/>
      <c r="H1" s="249"/>
      <c r="I1" s="249"/>
      <c r="J1" s="249"/>
      <c r="K1" s="249"/>
      <c r="L1" s="249"/>
      <c r="M1" s="249"/>
      <c r="N1" s="252"/>
      <c r="O1" s="249"/>
    </row>
    <row r="2" spans="2:3" ht="12.75">
      <c r="B2" s="1110"/>
      <c r="C2" s="1190"/>
    </row>
    <row r="4" spans="1:15" ht="14.25">
      <c r="A4" s="1112" t="s">
        <v>307</v>
      </c>
      <c r="B4" s="1112"/>
      <c r="C4" s="1112"/>
      <c r="D4" s="1112"/>
      <c r="E4" s="1112"/>
      <c r="F4" s="1112"/>
      <c r="G4" s="1112"/>
      <c r="H4" s="1112"/>
      <c r="I4" s="1112"/>
      <c r="J4" s="1112"/>
      <c r="K4" s="1112"/>
      <c r="L4" s="1112"/>
      <c r="M4" s="1112"/>
      <c r="N4" s="1112"/>
      <c r="O4" s="1112"/>
    </row>
    <row r="5" spans="2:15" ht="15">
      <c r="B5" s="1113"/>
      <c r="C5" s="1113"/>
      <c r="D5" s="1113"/>
      <c r="E5" s="1113"/>
      <c r="F5" s="1113"/>
      <c r="G5" s="1113"/>
      <c r="H5" s="1113"/>
      <c r="I5" s="1113"/>
      <c r="J5" s="1113"/>
      <c r="K5" s="1113"/>
      <c r="L5" s="1113"/>
      <c r="M5" s="1113"/>
      <c r="N5" s="1113"/>
      <c r="O5" s="1113"/>
    </row>
    <row r="6" spans="13:15" ht="13.5" thickBot="1">
      <c r="M6" s="251"/>
      <c r="N6" s="254"/>
      <c r="O6" s="254" t="s">
        <v>178</v>
      </c>
    </row>
    <row r="7" spans="1:15" ht="13.5" thickBot="1">
      <c r="A7" s="1191"/>
      <c r="B7" s="1172" t="s">
        <v>789</v>
      </c>
      <c r="C7" s="1173"/>
      <c r="D7" s="1173"/>
      <c r="E7" s="1178" t="s">
        <v>179</v>
      </c>
      <c r="F7" s="1181" t="s">
        <v>180</v>
      </c>
      <c r="G7" s="1123" t="s">
        <v>722</v>
      </c>
      <c r="H7" s="1123"/>
      <c r="I7" s="1123"/>
      <c r="J7" s="1123"/>
      <c r="K7" s="1123"/>
      <c r="L7" s="1123" t="s">
        <v>723</v>
      </c>
      <c r="M7" s="1123"/>
      <c r="N7" s="1131" t="s">
        <v>181</v>
      </c>
      <c r="O7" s="1194" t="s">
        <v>182</v>
      </c>
    </row>
    <row r="8" spans="1:15" ht="14.25" thickBot="1" thickTop="1">
      <c r="A8" s="1192"/>
      <c r="B8" s="1174"/>
      <c r="C8" s="1175"/>
      <c r="D8" s="1175"/>
      <c r="E8" s="1179"/>
      <c r="F8" s="1182"/>
      <c r="G8" s="1136" t="s">
        <v>184</v>
      </c>
      <c r="H8" s="1136" t="s">
        <v>185</v>
      </c>
      <c r="I8" s="1136" t="s">
        <v>186</v>
      </c>
      <c r="J8" s="1136" t="s">
        <v>187</v>
      </c>
      <c r="K8" s="1136" t="s">
        <v>188</v>
      </c>
      <c r="L8" s="1138" t="s">
        <v>682</v>
      </c>
      <c r="M8" s="1138" t="s">
        <v>680</v>
      </c>
      <c r="N8" s="1125"/>
      <c r="O8" s="1195"/>
    </row>
    <row r="9" spans="1:15" ht="39" customHeight="1" thickBot="1" thickTop="1">
      <c r="A9" s="1193"/>
      <c r="B9" s="1176"/>
      <c r="C9" s="1177"/>
      <c r="D9" s="1177"/>
      <c r="E9" s="1180"/>
      <c r="F9" s="1183"/>
      <c r="G9" s="1137"/>
      <c r="H9" s="1137"/>
      <c r="I9" s="1137"/>
      <c r="J9" s="1137"/>
      <c r="K9" s="1137"/>
      <c r="L9" s="1139"/>
      <c r="M9" s="1139"/>
      <c r="N9" s="1122"/>
      <c r="O9" s="1196"/>
    </row>
    <row r="10" spans="1:15" ht="12.75" customHeight="1">
      <c r="A10" s="259" t="s">
        <v>189</v>
      </c>
      <c r="B10" s="328">
        <v>421100</v>
      </c>
      <c r="C10" s="329" t="s">
        <v>308</v>
      </c>
      <c r="D10" s="330" t="s">
        <v>522</v>
      </c>
      <c r="E10" s="255"/>
      <c r="F10" s="869">
        <f>SUM(G10:O10)</f>
        <v>0</v>
      </c>
      <c r="G10" s="257"/>
      <c r="H10" s="257"/>
      <c r="I10" s="257"/>
      <c r="J10" s="257"/>
      <c r="K10" s="257"/>
      <c r="L10" s="256"/>
      <c r="M10" s="256"/>
      <c r="N10" s="257"/>
      <c r="O10" s="258"/>
    </row>
    <row r="11" spans="1:15" s="341" customFormat="1" ht="12.75" customHeight="1">
      <c r="A11" s="333"/>
      <c r="B11" s="334"/>
      <c r="C11" s="335"/>
      <c r="D11" s="336" t="s">
        <v>473</v>
      </c>
      <c r="E11" s="337"/>
      <c r="F11" s="870">
        <f aca="true" t="shared" si="0" ref="F11:F66">SUM(G11:O11)</f>
        <v>0</v>
      </c>
      <c r="G11" s="339"/>
      <c r="H11" s="339"/>
      <c r="I11" s="339"/>
      <c r="J11" s="339"/>
      <c r="K11" s="339"/>
      <c r="L11" s="338"/>
      <c r="M11" s="338"/>
      <c r="N11" s="339"/>
      <c r="O11" s="340"/>
    </row>
    <row r="12" spans="1:15" s="341" customFormat="1" ht="12.75" customHeight="1">
      <c r="A12" s="333"/>
      <c r="B12" s="334"/>
      <c r="C12" s="335"/>
      <c r="D12" s="336" t="s">
        <v>549</v>
      </c>
      <c r="E12" s="337"/>
      <c r="F12" s="870">
        <f t="shared" si="0"/>
        <v>0</v>
      </c>
      <c r="G12" s="339"/>
      <c r="H12" s="339"/>
      <c r="I12" s="339"/>
      <c r="J12" s="339"/>
      <c r="K12" s="339"/>
      <c r="L12" s="338"/>
      <c r="M12" s="338"/>
      <c r="N12" s="339"/>
      <c r="O12" s="340"/>
    </row>
    <row r="13" spans="1:15" ht="12.75" customHeight="1">
      <c r="A13" s="267" t="s">
        <v>195</v>
      </c>
      <c r="B13" s="268" t="s">
        <v>309</v>
      </c>
      <c r="C13" s="269" t="s">
        <v>310</v>
      </c>
      <c r="D13" s="270" t="s">
        <v>522</v>
      </c>
      <c r="E13" s="271">
        <v>2440</v>
      </c>
      <c r="F13" s="870">
        <f t="shared" si="0"/>
        <v>3609</v>
      </c>
      <c r="G13" s="272"/>
      <c r="H13" s="272"/>
      <c r="I13" s="272">
        <v>3609</v>
      </c>
      <c r="J13" s="272"/>
      <c r="K13" s="272"/>
      <c r="L13" s="272"/>
      <c r="M13" s="272"/>
      <c r="N13" s="272"/>
      <c r="O13" s="273"/>
    </row>
    <row r="14" spans="1:15" ht="12.75" customHeight="1">
      <c r="A14" s="267"/>
      <c r="B14" s="268"/>
      <c r="C14" s="269"/>
      <c r="D14" s="336" t="s">
        <v>473</v>
      </c>
      <c r="E14" s="271">
        <v>7</v>
      </c>
      <c r="F14" s="870">
        <f t="shared" si="0"/>
        <v>33</v>
      </c>
      <c r="G14" s="272"/>
      <c r="H14" s="272"/>
      <c r="I14" s="272">
        <v>33</v>
      </c>
      <c r="J14" s="272"/>
      <c r="K14" s="272"/>
      <c r="L14" s="272"/>
      <c r="M14" s="272"/>
      <c r="N14" s="272"/>
      <c r="O14" s="273"/>
    </row>
    <row r="15" spans="1:15" ht="12.75" customHeight="1">
      <c r="A15" s="267"/>
      <c r="B15" s="268"/>
      <c r="C15" s="269"/>
      <c r="D15" s="336" t="s">
        <v>549</v>
      </c>
      <c r="E15" s="271">
        <v>7</v>
      </c>
      <c r="F15" s="870">
        <f>SUM(G15:O15)</f>
        <v>33</v>
      </c>
      <c r="G15" s="272"/>
      <c r="H15" s="272"/>
      <c r="I15" s="272">
        <v>33</v>
      </c>
      <c r="J15" s="272"/>
      <c r="K15" s="272"/>
      <c r="L15" s="272"/>
      <c r="M15" s="272"/>
      <c r="N15" s="272"/>
      <c r="O15" s="273"/>
    </row>
    <row r="16" spans="1:15" ht="12.75" customHeight="1">
      <c r="A16" s="267" t="s">
        <v>207</v>
      </c>
      <c r="B16" s="268" t="s">
        <v>320</v>
      </c>
      <c r="C16" s="269" t="s">
        <v>321</v>
      </c>
      <c r="D16" s="270" t="s">
        <v>522</v>
      </c>
      <c r="E16" s="271"/>
      <c r="F16" s="870">
        <f t="shared" si="0"/>
        <v>0</v>
      </c>
      <c r="G16" s="272"/>
      <c r="H16" s="272"/>
      <c r="I16" s="272"/>
      <c r="J16" s="272"/>
      <c r="K16" s="272"/>
      <c r="L16" s="272"/>
      <c r="M16" s="272"/>
      <c r="N16" s="272"/>
      <c r="O16" s="273"/>
    </row>
    <row r="17" spans="1:15" ht="12.75" customHeight="1">
      <c r="A17" s="267"/>
      <c r="B17" s="268"/>
      <c r="C17" s="269"/>
      <c r="D17" s="336" t="s">
        <v>473</v>
      </c>
      <c r="E17" s="271"/>
      <c r="F17" s="870">
        <f t="shared" si="0"/>
        <v>251</v>
      </c>
      <c r="G17" s="272"/>
      <c r="H17" s="272"/>
      <c r="I17" s="272">
        <v>251</v>
      </c>
      <c r="J17" s="272"/>
      <c r="K17" s="272"/>
      <c r="L17" s="272"/>
      <c r="M17" s="272"/>
      <c r="N17" s="272"/>
      <c r="O17" s="273"/>
    </row>
    <row r="18" spans="1:15" ht="12.75" customHeight="1">
      <c r="A18" s="267"/>
      <c r="B18" s="268"/>
      <c r="C18" s="269"/>
      <c r="D18" s="336" t="s">
        <v>549</v>
      </c>
      <c r="E18" s="271"/>
      <c r="F18" s="870">
        <f t="shared" si="0"/>
        <v>251</v>
      </c>
      <c r="G18" s="272"/>
      <c r="H18" s="272"/>
      <c r="I18" s="272">
        <v>251</v>
      </c>
      <c r="J18" s="272"/>
      <c r="K18" s="272"/>
      <c r="L18" s="272"/>
      <c r="M18" s="272"/>
      <c r="N18" s="272"/>
      <c r="O18" s="273"/>
    </row>
    <row r="19" spans="1:15" ht="12.75" customHeight="1">
      <c r="A19" s="267" t="s">
        <v>207</v>
      </c>
      <c r="B19" s="268" t="s">
        <v>322</v>
      </c>
      <c r="C19" s="269" t="s">
        <v>323</v>
      </c>
      <c r="D19" s="270" t="s">
        <v>522</v>
      </c>
      <c r="E19" s="271"/>
      <c r="F19" s="870">
        <f t="shared" si="0"/>
        <v>0</v>
      </c>
      <c r="G19" s="272"/>
      <c r="H19" s="272"/>
      <c r="I19" s="272"/>
      <c r="J19" s="272"/>
      <c r="K19" s="272"/>
      <c r="L19" s="272"/>
      <c r="M19" s="272"/>
      <c r="N19" s="272"/>
      <c r="O19" s="273"/>
    </row>
    <row r="20" spans="1:15" ht="12.75" customHeight="1">
      <c r="A20" s="267"/>
      <c r="B20" s="268"/>
      <c r="C20" s="269"/>
      <c r="D20" s="336" t="s">
        <v>473</v>
      </c>
      <c r="E20" s="271"/>
      <c r="F20" s="870">
        <f t="shared" si="0"/>
        <v>994</v>
      </c>
      <c r="G20" s="272"/>
      <c r="H20" s="272"/>
      <c r="I20" s="272">
        <v>994</v>
      </c>
      <c r="J20" s="272"/>
      <c r="K20" s="272"/>
      <c r="L20" s="272"/>
      <c r="M20" s="272"/>
      <c r="N20" s="272"/>
      <c r="O20" s="273"/>
    </row>
    <row r="21" spans="1:15" ht="12.75" customHeight="1">
      <c r="A21" s="267"/>
      <c r="B21" s="268"/>
      <c r="C21" s="269"/>
      <c r="D21" s="336" t="s">
        <v>549</v>
      </c>
      <c r="E21" s="271"/>
      <c r="F21" s="870">
        <f t="shared" si="0"/>
        <v>994</v>
      </c>
      <c r="G21" s="272"/>
      <c r="H21" s="272"/>
      <c r="I21" s="272">
        <v>994</v>
      </c>
      <c r="J21" s="272"/>
      <c r="K21" s="272"/>
      <c r="L21" s="272"/>
      <c r="M21" s="272"/>
      <c r="N21" s="272"/>
      <c r="O21" s="273"/>
    </row>
    <row r="22" spans="1:15" ht="12.75" customHeight="1">
      <c r="A22" s="267" t="s">
        <v>207</v>
      </c>
      <c r="B22" s="268" t="s">
        <v>324</v>
      </c>
      <c r="C22" s="269" t="s">
        <v>208</v>
      </c>
      <c r="D22" s="270" t="s">
        <v>522</v>
      </c>
      <c r="E22" s="271"/>
      <c r="F22" s="870">
        <f t="shared" si="0"/>
        <v>0</v>
      </c>
      <c r="G22" s="272"/>
      <c r="H22" s="272"/>
      <c r="I22" s="272"/>
      <c r="J22" s="272"/>
      <c r="K22" s="272"/>
      <c r="L22" s="272"/>
      <c r="M22" s="272"/>
      <c r="N22" s="272"/>
      <c r="O22" s="273"/>
    </row>
    <row r="23" spans="1:15" ht="12.75" customHeight="1">
      <c r="A23" s="267"/>
      <c r="B23" s="268"/>
      <c r="C23" s="269"/>
      <c r="D23" s="336" t="s">
        <v>473</v>
      </c>
      <c r="E23" s="271"/>
      <c r="F23" s="870">
        <f t="shared" si="0"/>
        <v>3917</v>
      </c>
      <c r="G23" s="272">
        <v>3089</v>
      </c>
      <c r="H23" s="272">
        <v>804</v>
      </c>
      <c r="I23" s="272">
        <v>24</v>
      </c>
      <c r="J23" s="272"/>
      <c r="K23" s="272"/>
      <c r="L23" s="272"/>
      <c r="M23" s="272"/>
      <c r="N23" s="272"/>
      <c r="O23" s="273"/>
    </row>
    <row r="24" spans="1:15" ht="12.75" customHeight="1">
      <c r="A24" s="267"/>
      <c r="B24" s="268"/>
      <c r="C24" s="269"/>
      <c r="D24" s="336" t="s">
        <v>549</v>
      </c>
      <c r="E24" s="271"/>
      <c r="F24" s="870">
        <f t="shared" si="0"/>
        <v>3917</v>
      </c>
      <c r="G24" s="272">
        <v>3089</v>
      </c>
      <c r="H24" s="272">
        <v>804</v>
      </c>
      <c r="I24" s="272">
        <v>24</v>
      </c>
      <c r="J24" s="272"/>
      <c r="K24" s="272"/>
      <c r="L24" s="272"/>
      <c r="M24" s="272"/>
      <c r="N24" s="272"/>
      <c r="O24" s="273"/>
    </row>
    <row r="25" spans="1:15" ht="12.75" customHeight="1">
      <c r="A25" s="267" t="s">
        <v>207</v>
      </c>
      <c r="B25" s="274">
        <v>841126</v>
      </c>
      <c r="C25" s="275" t="s">
        <v>311</v>
      </c>
      <c r="D25" s="270" t="s">
        <v>522</v>
      </c>
      <c r="E25" s="271">
        <v>9114</v>
      </c>
      <c r="F25" s="870">
        <f t="shared" si="0"/>
        <v>370681</v>
      </c>
      <c r="G25" s="272">
        <v>185772</v>
      </c>
      <c r="H25" s="272">
        <v>47416</v>
      </c>
      <c r="I25" s="272">
        <v>122754</v>
      </c>
      <c r="J25" s="272">
        <v>13739</v>
      </c>
      <c r="K25" s="272"/>
      <c r="L25" s="272"/>
      <c r="M25" s="272">
        <v>1000</v>
      </c>
      <c r="N25" s="272"/>
      <c r="O25" s="273"/>
    </row>
    <row r="26" spans="1:15" ht="12.75" customHeight="1">
      <c r="A26" s="267"/>
      <c r="B26" s="274"/>
      <c r="C26" s="275"/>
      <c r="D26" s="336" t="s">
        <v>473</v>
      </c>
      <c r="E26" s="271">
        <v>17193</v>
      </c>
      <c r="F26" s="870">
        <f t="shared" si="0"/>
        <v>71547</v>
      </c>
      <c r="G26" s="272">
        <v>36944</v>
      </c>
      <c r="H26" s="272">
        <v>9628</v>
      </c>
      <c r="I26" s="272">
        <v>19236</v>
      </c>
      <c r="J26" s="272">
        <v>5349</v>
      </c>
      <c r="K26" s="272"/>
      <c r="L26" s="272"/>
      <c r="M26" s="272">
        <v>390</v>
      </c>
      <c r="N26" s="272"/>
      <c r="O26" s="273"/>
    </row>
    <row r="27" spans="1:15" ht="12.75" customHeight="1">
      <c r="A27" s="267"/>
      <c r="B27" s="274"/>
      <c r="C27" s="275"/>
      <c r="D27" s="336" t="s">
        <v>549</v>
      </c>
      <c r="E27" s="271">
        <v>17193</v>
      </c>
      <c r="F27" s="870">
        <f t="shared" si="0"/>
        <v>71547</v>
      </c>
      <c r="G27" s="272">
        <v>36944</v>
      </c>
      <c r="H27" s="272">
        <v>9628</v>
      </c>
      <c r="I27" s="272">
        <v>19236</v>
      </c>
      <c r="J27" s="272">
        <v>5349</v>
      </c>
      <c r="K27" s="272"/>
      <c r="L27" s="272"/>
      <c r="M27" s="272">
        <v>390</v>
      </c>
      <c r="N27" s="272"/>
      <c r="O27" s="273"/>
    </row>
    <row r="28" spans="1:15" ht="12.75" customHeight="1">
      <c r="A28" s="267" t="s">
        <v>207</v>
      </c>
      <c r="B28" s="274">
        <v>841133</v>
      </c>
      <c r="C28" s="275" t="s">
        <v>210</v>
      </c>
      <c r="D28" s="270" t="s">
        <v>522</v>
      </c>
      <c r="E28" s="271"/>
      <c r="F28" s="870">
        <f t="shared" si="0"/>
        <v>42479</v>
      </c>
      <c r="G28" s="272">
        <v>33529</v>
      </c>
      <c r="H28" s="272">
        <v>8754</v>
      </c>
      <c r="I28" s="272">
        <v>196</v>
      </c>
      <c r="J28" s="272"/>
      <c r="K28" s="272"/>
      <c r="L28" s="272"/>
      <c r="M28" s="272"/>
      <c r="N28" s="272"/>
      <c r="O28" s="273"/>
    </row>
    <row r="29" spans="1:15" ht="12.75" customHeight="1">
      <c r="A29" s="267"/>
      <c r="B29" s="274"/>
      <c r="C29" s="275"/>
      <c r="D29" s="336" t="s">
        <v>473</v>
      </c>
      <c r="E29" s="271"/>
      <c r="F29" s="870">
        <f t="shared" si="0"/>
        <v>14867</v>
      </c>
      <c r="G29" s="272">
        <v>11066</v>
      </c>
      <c r="H29" s="272">
        <v>2934</v>
      </c>
      <c r="I29" s="272">
        <v>867</v>
      </c>
      <c r="J29" s="272"/>
      <c r="K29" s="272"/>
      <c r="L29" s="272"/>
      <c r="M29" s="272"/>
      <c r="N29" s="272"/>
      <c r="O29" s="273"/>
    </row>
    <row r="30" spans="1:15" ht="12.75" customHeight="1">
      <c r="A30" s="267"/>
      <c r="B30" s="274"/>
      <c r="C30" s="275"/>
      <c r="D30" s="336" t="s">
        <v>549</v>
      </c>
      <c r="E30" s="271"/>
      <c r="F30" s="870">
        <f t="shared" si="0"/>
        <v>14867</v>
      </c>
      <c r="G30" s="272">
        <v>11066</v>
      </c>
      <c r="H30" s="272">
        <v>2934</v>
      </c>
      <c r="I30" s="272">
        <v>867</v>
      </c>
      <c r="J30" s="272"/>
      <c r="K30" s="272"/>
      <c r="L30" s="272"/>
      <c r="M30" s="272"/>
      <c r="N30" s="272"/>
      <c r="O30" s="273"/>
    </row>
    <row r="31" spans="1:15" ht="12.75" customHeight="1">
      <c r="A31" s="267" t="s">
        <v>207</v>
      </c>
      <c r="B31" s="274">
        <v>841154</v>
      </c>
      <c r="C31" s="275" t="s">
        <v>211</v>
      </c>
      <c r="D31" s="270" t="s">
        <v>522</v>
      </c>
      <c r="E31" s="271"/>
      <c r="F31" s="870">
        <f t="shared" si="0"/>
        <v>0</v>
      </c>
      <c r="G31" s="272"/>
      <c r="H31" s="272"/>
      <c r="I31" s="272"/>
      <c r="J31" s="272"/>
      <c r="K31" s="272"/>
      <c r="L31" s="272"/>
      <c r="M31" s="272"/>
      <c r="N31" s="272"/>
      <c r="O31" s="273"/>
    </row>
    <row r="32" spans="1:15" ht="12.75" customHeight="1">
      <c r="A32" s="267"/>
      <c r="B32" s="274"/>
      <c r="C32" s="275"/>
      <c r="D32" s="336" t="s">
        <v>473</v>
      </c>
      <c r="E32" s="271"/>
      <c r="F32" s="870">
        <f t="shared" si="0"/>
        <v>128</v>
      </c>
      <c r="G32" s="272"/>
      <c r="H32" s="272"/>
      <c r="I32" s="272">
        <v>128</v>
      </c>
      <c r="J32" s="272"/>
      <c r="K32" s="272"/>
      <c r="L32" s="272"/>
      <c r="M32" s="272"/>
      <c r="N32" s="272"/>
      <c r="O32" s="273"/>
    </row>
    <row r="33" spans="1:15" ht="12.75" customHeight="1">
      <c r="A33" s="267"/>
      <c r="B33" s="274"/>
      <c r="C33" s="275"/>
      <c r="D33" s="336" t="s">
        <v>549</v>
      </c>
      <c r="E33" s="271"/>
      <c r="F33" s="870">
        <f t="shared" si="0"/>
        <v>128</v>
      </c>
      <c r="G33" s="272"/>
      <c r="H33" s="272"/>
      <c r="I33" s="272">
        <v>128</v>
      </c>
      <c r="J33" s="272"/>
      <c r="K33" s="272"/>
      <c r="L33" s="272"/>
      <c r="M33" s="272"/>
      <c r="N33" s="272"/>
      <c r="O33" s="273"/>
    </row>
    <row r="34" spans="1:15" ht="12.75" customHeight="1">
      <c r="A34" s="267" t="s">
        <v>207</v>
      </c>
      <c r="B34" s="274">
        <v>841403</v>
      </c>
      <c r="C34" s="275" t="s">
        <v>312</v>
      </c>
      <c r="D34" s="270" t="s">
        <v>522</v>
      </c>
      <c r="E34" s="271">
        <v>1000</v>
      </c>
      <c r="F34" s="870">
        <f t="shared" si="0"/>
        <v>79061</v>
      </c>
      <c r="G34" s="272">
        <v>62686</v>
      </c>
      <c r="H34" s="272">
        <v>15870</v>
      </c>
      <c r="I34" s="272">
        <v>505</v>
      </c>
      <c r="J34" s="272"/>
      <c r="K34" s="272"/>
      <c r="L34" s="272"/>
      <c r="M34" s="272"/>
      <c r="N34" s="272"/>
      <c r="O34" s="273"/>
    </row>
    <row r="35" spans="1:15" ht="12.75" customHeight="1">
      <c r="A35" s="267"/>
      <c r="B35" s="274"/>
      <c r="C35" s="275"/>
      <c r="D35" s="336" t="s">
        <v>473</v>
      </c>
      <c r="E35" s="271">
        <v>165</v>
      </c>
      <c r="F35" s="870">
        <f t="shared" si="0"/>
        <v>19198</v>
      </c>
      <c r="G35" s="272">
        <v>15061</v>
      </c>
      <c r="H35" s="272">
        <v>3979</v>
      </c>
      <c r="I35" s="272">
        <v>158</v>
      </c>
      <c r="J35" s="272"/>
      <c r="K35" s="272"/>
      <c r="L35" s="272"/>
      <c r="M35" s="272"/>
      <c r="N35" s="272"/>
      <c r="O35" s="273"/>
    </row>
    <row r="36" spans="1:15" ht="12.75" customHeight="1">
      <c r="A36" s="267"/>
      <c r="B36" s="274"/>
      <c r="C36" s="275"/>
      <c r="D36" s="336" t="s">
        <v>549</v>
      </c>
      <c r="E36" s="271">
        <v>165</v>
      </c>
      <c r="F36" s="870">
        <f t="shared" si="0"/>
        <v>19198</v>
      </c>
      <c r="G36" s="272">
        <v>15061</v>
      </c>
      <c r="H36" s="272">
        <v>3979</v>
      </c>
      <c r="I36" s="272">
        <v>158</v>
      </c>
      <c r="J36" s="272"/>
      <c r="K36" s="272"/>
      <c r="L36" s="272"/>
      <c r="M36" s="272"/>
      <c r="N36" s="272"/>
      <c r="O36" s="273"/>
    </row>
    <row r="37" spans="1:15" ht="12.75" customHeight="1">
      <c r="A37" s="267" t="s">
        <v>207</v>
      </c>
      <c r="B37" s="274">
        <v>841907</v>
      </c>
      <c r="C37" s="275" t="s">
        <v>313</v>
      </c>
      <c r="D37" s="270" t="s">
        <v>522</v>
      </c>
      <c r="E37" s="271">
        <v>578880</v>
      </c>
      <c r="F37" s="870">
        <f t="shared" si="0"/>
        <v>0</v>
      </c>
      <c r="G37" s="272"/>
      <c r="H37" s="272"/>
      <c r="I37" s="272"/>
      <c r="J37" s="272"/>
      <c r="K37" s="272"/>
      <c r="L37" s="272"/>
      <c r="M37" s="272"/>
      <c r="N37" s="272"/>
      <c r="O37" s="273"/>
    </row>
    <row r="38" spans="1:15" ht="12.75" customHeight="1">
      <c r="A38" s="267"/>
      <c r="B38" s="274"/>
      <c r="C38" s="275"/>
      <c r="D38" s="336" t="s">
        <v>473</v>
      </c>
      <c r="E38" s="271">
        <v>112951</v>
      </c>
      <c r="F38" s="870">
        <f t="shared" si="0"/>
        <v>0</v>
      </c>
      <c r="G38" s="272"/>
      <c r="H38" s="272"/>
      <c r="I38" s="272"/>
      <c r="J38" s="272"/>
      <c r="K38" s="272"/>
      <c r="L38" s="272"/>
      <c r="M38" s="272"/>
      <c r="N38" s="272"/>
      <c r="O38" s="273"/>
    </row>
    <row r="39" spans="1:15" ht="12.75" customHeight="1">
      <c r="A39" s="267"/>
      <c r="B39" s="274"/>
      <c r="C39" s="275"/>
      <c r="D39" s="336" t="s">
        <v>549</v>
      </c>
      <c r="E39" s="271">
        <v>112951</v>
      </c>
      <c r="F39" s="870">
        <f t="shared" si="0"/>
        <v>0</v>
      </c>
      <c r="G39" s="272"/>
      <c r="H39" s="272"/>
      <c r="I39" s="272"/>
      <c r="J39" s="272"/>
      <c r="K39" s="272"/>
      <c r="L39" s="272"/>
      <c r="M39" s="272"/>
      <c r="N39" s="272"/>
      <c r="O39" s="273"/>
    </row>
    <row r="40" spans="1:15" s="341" customFormat="1" ht="12.75" customHeight="1">
      <c r="A40" s="333" t="s">
        <v>195</v>
      </c>
      <c r="B40" s="343">
        <v>882129</v>
      </c>
      <c r="C40" s="344" t="s">
        <v>314</v>
      </c>
      <c r="D40" s="342" t="s">
        <v>522</v>
      </c>
      <c r="E40" s="345"/>
      <c r="F40" s="870">
        <f t="shared" si="0"/>
        <v>907</v>
      </c>
      <c r="G40" s="350"/>
      <c r="H40" s="350">
        <v>193</v>
      </c>
      <c r="I40" s="350">
        <v>714</v>
      </c>
      <c r="J40" s="350"/>
      <c r="K40" s="350"/>
      <c r="L40" s="350"/>
      <c r="M40" s="350"/>
      <c r="N40" s="350"/>
      <c r="O40" s="351"/>
    </row>
    <row r="41" spans="1:15" ht="12.75" customHeight="1">
      <c r="A41" s="267"/>
      <c r="B41" s="274"/>
      <c r="C41" s="275"/>
      <c r="D41" s="336" t="s">
        <v>473</v>
      </c>
      <c r="E41" s="271"/>
      <c r="F41" s="870">
        <f t="shared" si="0"/>
        <v>667</v>
      </c>
      <c r="G41" s="272">
        <v>495</v>
      </c>
      <c r="H41" s="272">
        <v>106</v>
      </c>
      <c r="I41" s="272">
        <v>66</v>
      </c>
      <c r="J41" s="272"/>
      <c r="K41" s="272"/>
      <c r="L41" s="272"/>
      <c r="M41" s="272"/>
      <c r="N41" s="272"/>
      <c r="O41" s="273"/>
    </row>
    <row r="42" spans="1:15" ht="12.75" customHeight="1">
      <c r="A42" s="267"/>
      <c r="B42" s="274"/>
      <c r="C42" s="275"/>
      <c r="D42" s="336" t="s">
        <v>549</v>
      </c>
      <c r="E42" s="271"/>
      <c r="F42" s="870">
        <f t="shared" si="0"/>
        <v>667</v>
      </c>
      <c r="G42" s="272">
        <v>495</v>
      </c>
      <c r="H42" s="272">
        <v>106</v>
      </c>
      <c r="I42" s="272">
        <v>66</v>
      </c>
      <c r="J42" s="272"/>
      <c r="K42" s="272"/>
      <c r="L42" s="272"/>
      <c r="M42" s="272"/>
      <c r="N42" s="272"/>
      <c r="O42" s="273"/>
    </row>
    <row r="43" spans="1:15" s="341" customFormat="1" ht="12.75" customHeight="1">
      <c r="A43" s="333" t="s">
        <v>195</v>
      </c>
      <c r="B43" s="343">
        <v>889943</v>
      </c>
      <c r="C43" s="344" t="s">
        <v>315</v>
      </c>
      <c r="D43" s="342" t="s">
        <v>522</v>
      </c>
      <c r="E43" s="345">
        <v>1692</v>
      </c>
      <c r="F43" s="870">
        <f t="shared" si="0"/>
        <v>1800</v>
      </c>
      <c r="G43" s="350"/>
      <c r="H43" s="350"/>
      <c r="I43" s="350"/>
      <c r="J43" s="350"/>
      <c r="K43" s="350"/>
      <c r="L43" s="350"/>
      <c r="M43" s="350"/>
      <c r="N43" s="350">
        <v>1800</v>
      </c>
      <c r="O43" s="351"/>
    </row>
    <row r="44" spans="1:15" ht="12.75" customHeight="1">
      <c r="A44" s="267"/>
      <c r="B44" s="274"/>
      <c r="C44" s="275"/>
      <c r="D44" s="336" t="s">
        <v>473</v>
      </c>
      <c r="E44" s="271">
        <v>209</v>
      </c>
      <c r="F44" s="870">
        <f t="shared" si="0"/>
        <v>600</v>
      </c>
      <c r="G44" s="272"/>
      <c r="H44" s="272"/>
      <c r="I44" s="272"/>
      <c r="J44" s="272"/>
      <c r="K44" s="272"/>
      <c r="L44" s="272"/>
      <c r="M44" s="272"/>
      <c r="N44" s="272">
        <v>600</v>
      </c>
      <c r="O44" s="273"/>
    </row>
    <row r="45" spans="1:15" ht="12.75" customHeight="1">
      <c r="A45" s="267"/>
      <c r="B45" s="274"/>
      <c r="C45" s="275"/>
      <c r="D45" s="336" t="s">
        <v>549</v>
      </c>
      <c r="E45" s="271">
        <v>209</v>
      </c>
      <c r="F45" s="870">
        <f t="shared" si="0"/>
        <v>600</v>
      </c>
      <c r="G45" s="272"/>
      <c r="H45" s="272"/>
      <c r="I45" s="272"/>
      <c r="J45" s="272"/>
      <c r="K45" s="272"/>
      <c r="L45" s="272"/>
      <c r="M45" s="272"/>
      <c r="N45" s="272">
        <v>600</v>
      </c>
      <c r="O45" s="273"/>
    </row>
    <row r="46" spans="1:15" s="279" customFormat="1" ht="12.75" customHeight="1">
      <c r="A46" s="270" t="s">
        <v>189</v>
      </c>
      <c r="B46" s="274">
        <v>882111</v>
      </c>
      <c r="C46" s="275" t="s">
        <v>259</v>
      </c>
      <c r="D46" s="270" t="s">
        <v>522</v>
      </c>
      <c r="E46" s="271"/>
      <c r="F46" s="870">
        <f t="shared" si="0"/>
        <v>64000</v>
      </c>
      <c r="G46" s="276"/>
      <c r="H46" s="276"/>
      <c r="I46" s="276"/>
      <c r="J46" s="276"/>
      <c r="K46" s="276">
        <v>64000</v>
      </c>
      <c r="L46" s="276"/>
      <c r="M46" s="276"/>
      <c r="N46" s="277"/>
      <c r="O46" s="278"/>
    </row>
    <row r="47" spans="1:15" s="349" customFormat="1" ht="12.75" customHeight="1">
      <c r="A47" s="342"/>
      <c r="B47" s="343"/>
      <c r="C47" s="344"/>
      <c r="D47" s="336" t="s">
        <v>473</v>
      </c>
      <c r="E47" s="345"/>
      <c r="F47" s="870">
        <f t="shared" si="0"/>
        <v>12170</v>
      </c>
      <c r="G47" s="346"/>
      <c r="H47" s="346"/>
      <c r="I47" s="346"/>
      <c r="J47" s="346"/>
      <c r="K47" s="346">
        <v>12170</v>
      </c>
      <c r="L47" s="346"/>
      <c r="M47" s="346"/>
      <c r="N47" s="347"/>
      <c r="O47" s="348"/>
    </row>
    <row r="48" spans="1:15" s="349" customFormat="1" ht="12.75" customHeight="1">
      <c r="A48" s="342"/>
      <c r="B48" s="343"/>
      <c r="C48" s="344"/>
      <c r="D48" s="336" t="s">
        <v>549</v>
      </c>
      <c r="E48" s="345"/>
      <c r="F48" s="870">
        <f t="shared" si="0"/>
        <v>12170</v>
      </c>
      <c r="G48" s="346"/>
      <c r="H48" s="346"/>
      <c r="I48" s="346"/>
      <c r="J48" s="346"/>
      <c r="K48" s="346">
        <v>12170</v>
      </c>
      <c r="L48" s="346"/>
      <c r="M48" s="346"/>
      <c r="N48" s="347"/>
      <c r="O48" s="348"/>
    </row>
    <row r="49" spans="1:15" s="349" customFormat="1" ht="12.75" customHeight="1">
      <c r="A49" s="342" t="s">
        <v>195</v>
      </c>
      <c r="B49" s="343">
        <v>882112</v>
      </c>
      <c r="C49" s="344" t="s">
        <v>24</v>
      </c>
      <c r="D49" s="342" t="s">
        <v>522</v>
      </c>
      <c r="E49" s="345"/>
      <c r="F49" s="870">
        <f t="shared" si="0"/>
        <v>36</v>
      </c>
      <c r="G49" s="346"/>
      <c r="H49" s="346"/>
      <c r="I49" s="346"/>
      <c r="J49" s="346"/>
      <c r="K49" s="346">
        <v>36</v>
      </c>
      <c r="L49" s="346"/>
      <c r="M49" s="346"/>
      <c r="N49" s="346"/>
      <c r="O49" s="348"/>
    </row>
    <row r="50" spans="1:15" s="279" customFormat="1" ht="12.75" customHeight="1">
      <c r="A50" s="270"/>
      <c r="B50" s="274"/>
      <c r="C50" s="275"/>
      <c r="D50" s="336" t="s">
        <v>473</v>
      </c>
      <c r="E50" s="271"/>
      <c r="F50" s="870">
        <f t="shared" si="0"/>
        <v>0</v>
      </c>
      <c r="G50" s="276"/>
      <c r="H50" s="276"/>
      <c r="I50" s="276"/>
      <c r="J50" s="276"/>
      <c r="K50" s="276"/>
      <c r="L50" s="276"/>
      <c r="M50" s="276"/>
      <c r="N50" s="276"/>
      <c r="O50" s="278"/>
    </row>
    <row r="51" spans="1:15" s="279" customFormat="1" ht="12.75" customHeight="1" thickBot="1">
      <c r="A51" s="890"/>
      <c r="B51" s="891"/>
      <c r="C51" s="892"/>
      <c r="D51" s="923" t="s">
        <v>549</v>
      </c>
      <c r="E51" s="864"/>
      <c r="F51" s="871">
        <f t="shared" si="0"/>
        <v>0</v>
      </c>
      <c r="G51" s="900"/>
      <c r="H51" s="900"/>
      <c r="I51" s="900"/>
      <c r="J51" s="900"/>
      <c r="K51" s="900"/>
      <c r="L51" s="900"/>
      <c r="M51" s="900"/>
      <c r="N51" s="900"/>
      <c r="O51" s="910"/>
    </row>
    <row r="52" spans="1:15" s="279" customFormat="1" ht="12.75" customHeight="1">
      <c r="A52" s="330" t="s">
        <v>189</v>
      </c>
      <c r="B52" s="897">
        <v>882113</v>
      </c>
      <c r="C52" s="307" t="s">
        <v>25</v>
      </c>
      <c r="D52" s="330" t="s">
        <v>522</v>
      </c>
      <c r="E52" s="310"/>
      <c r="F52" s="908">
        <f t="shared" si="0"/>
        <v>20000</v>
      </c>
      <c r="G52" s="903"/>
      <c r="H52" s="903"/>
      <c r="I52" s="903"/>
      <c r="J52" s="903"/>
      <c r="K52" s="903">
        <v>20000</v>
      </c>
      <c r="L52" s="903"/>
      <c r="M52" s="903"/>
      <c r="N52" s="903"/>
      <c r="O52" s="909"/>
    </row>
    <row r="53" spans="1:15" s="349" customFormat="1" ht="12.75" customHeight="1">
      <c r="A53" s="342"/>
      <c r="B53" s="343"/>
      <c r="C53" s="344"/>
      <c r="D53" s="336" t="s">
        <v>473</v>
      </c>
      <c r="E53" s="345"/>
      <c r="F53" s="870">
        <f t="shared" si="0"/>
        <v>3382</v>
      </c>
      <c r="G53" s="346"/>
      <c r="H53" s="346"/>
      <c r="I53" s="346"/>
      <c r="J53" s="346"/>
      <c r="K53" s="346">
        <v>3382</v>
      </c>
      <c r="L53" s="346"/>
      <c r="M53" s="346"/>
      <c r="N53" s="346"/>
      <c r="O53" s="348"/>
    </row>
    <row r="54" spans="1:15" s="349" customFormat="1" ht="12.75" customHeight="1">
      <c r="A54" s="342"/>
      <c r="B54" s="343"/>
      <c r="C54" s="344"/>
      <c r="D54" s="336" t="s">
        <v>549</v>
      </c>
      <c r="E54" s="345"/>
      <c r="F54" s="870">
        <f t="shared" si="0"/>
        <v>3382</v>
      </c>
      <c r="G54" s="346"/>
      <c r="H54" s="346"/>
      <c r="I54" s="346"/>
      <c r="J54" s="346"/>
      <c r="K54" s="346">
        <v>3382</v>
      </c>
      <c r="L54" s="346"/>
      <c r="M54" s="346"/>
      <c r="N54" s="346"/>
      <c r="O54" s="348"/>
    </row>
    <row r="55" spans="1:15" s="279" customFormat="1" ht="12.75" customHeight="1">
      <c r="A55" s="270" t="s">
        <v>189</v>
      </c>
      <c r="B55" s="274">
        <v>882115</v>
      </c>
      <c r="C55" s="275" t="s">
        <v>316</v>
      </c>
      <c r="D55" s="270" t="s">
        <v>522</v>
      </c>
      <c r="E55" s="271"/>
      <c r="F55" s="870">
        <f t="shared" si="0"/>
        <v>2028</v>
      </c>
      <c r="G55" s="276"/>
      <c r="H55" s="276"/>
      <c r="I55" s="276"/>
      <c r="J55" s="276"/>
      <c r="K55" s="276">
        <v>2028</v>
      </c>
      <c r="L55" s="276"/>
      <c r="M55" s="276"/>
      <c r="N55" s="276"/>
      <c r="O55" s="278"/>
    </row>
    <row r="56" spans="1:15" s="349" customFormat="1" ht="12.75" customHeight="1">
      <c r="A56" s="342"/>
      <c r="B56" s="343"/>
      <c r="C56" s="344"/>
      <c r="D56" s="336" t="s">
        <v>473</v>
      </c>
      <c r="E56" s="345"/>
      <c r="F56" s="870">
        <f t="shared" si="0"/>
        <v>2200</v>
      </c>
      <c r="G56" s="346"/>
      <c r="H56" s="346"/>
      <c r="I56" s="346"/>
      <c r="J56" s="346"/>
      <c r="K56" s="346">
        <v>2200</v>
      </c>
      <c r="L56" s="346"/>
      <c r="M56" s="346"/>
      <c r="N56" s="346"/>
      <c r="O56" s="348"/>
    </row>
    <row r="57" spans="1:15" s="349" customFormat="1" ht="12.75" customHeight="1">
      <c r="A57" s="342"/>
      <c r="B57" s="343"/>
      <c r="C57" s="344"/>
      <c r="D57" s="336" t="s">
        <v>549</v>
      </c>
      <c r="E57" s="345"/>
      <c r="F57" s="870">
        <f t="shared" si="0"/>
        <v>2200</v>
      </c>
      <c r="G57" s="346"/>
      <c r="H57" s="346"/>
      <c r="I57" s="346"/>
      <c r="J57" s="346"/>
      <c r="K57" s="346">
        <v>2200</v>
      </c>
      <c r="L57" s="346"/>
      <c r="M57" s="346"/>
      <c r="N57" s="346"/>
      <c r="O57" s="348"/>
    </row>
    <row r="58" spans="1:15" s="279" customFormat="1" ht="12.75" customHeight="1">
      <c r="A58" s="270" t="s">
        <v>189</v>
      </c>
      <c r="B58" s="274">
        <v>882119</v>
      </c>
      <c r="C58" s="275" t="s">
        <v>34</v>
      </c>
      <c r="D58" s="270" t="s">
        <v>522</v>
      </c>
      <c r="E58" s="271"/>
      <c r="F58" s="870">
        <f t="shared" si="0"/>
        <v>300</v>
      </c>
      <c r="G58" s="276"/>
      <c r="H58" s="276"/>
      <c r="I58" s="276"/>
      <c r="J58" s="276"/>
      <c r="K58" s="276">
        <v>300</v>
      </c>
      <c r="L58" s="276"/>
      <c r="M58" s="276"/>
      <c r="N58" s="276"/>
      <c r="O58" s="278"/>
    </row>
    <row r="59" spans="1:15" s="349" customFormat="1" ht="12.75" customHeight="1">
      <c r="A59" s="342"/>
      <c r="B59" s="343"/>
      <c r="C59" s="344"/>
      <c r="D59" s="336" t="s">
        <v>473</v>
      </c>
      <c r="E59" s="345"/>
      <c r="F59" s="870">
        <f t="shared" si="0"/>
        <v>0</v>
      </c>
      <c r="G59" s="346"/>
      <c r="H59" s="346"/>
      <c r="I59" s="346"/>
      <c r="J59" s="346"/>
      <c r="K59" s="346"/>
      <c r="L59" s="346"/>
      <c r="M59" s="346"/>
      <c r="N59" s="346"/>
      <c r="O59" s="348"/>
    </row>
    <row r="60" spans="1:15" s="349" customFormat="1" ht="12.75" customHeight="1">
      <c r="A60" s="342"/>
      <c r="B60" s="343"/>
      <c r="C60" s="344"/>
      <c r="D60" s="336" t="s">
        <v>549</v>
      </c>
      <c r="E60" s="345"/>
      <c r="F60" s="870">
        <f t="shared" si="0"/>
        <v>0</v>
      </c>
      <c r="G60" s="346"/>
      <c r="H60" s="346"/>
      <c r="I60" s="346"/>
      <c r="J60" s="346"/>
      <c r="K60" s="346"/>
      <c r="L60" s="346"/>
      <c r="M60" s="346"/>
      <c r="N60" s="346"/>
      <c r="O60" s="348"/>
    </row>
    <row r="61" spans="1:15" s="279" customFormat="1" ht="12.75" customHeight="1">
      <c r="A61" s="267" t="s">
        <v>189</v>
      </c>
      <c r="B61" s="274">
        <v>882201</v>
      </c>
      <c r="C61" s="275" t="s">
        <v>26</v>
      </c>
      <c r="D61" s="270" t="s">
        <v>522</v>
      </c>
      <c r="E61" s="271"/>
      <c r="F61" s="870">
        <f t="shared" si="0"/>
        <v>8000</v>
      </c>
      <c r="G61" s="276"/>
      <c r="H61" s="276"/>
      <c r="I61" s="276"/>
      <c r="J61" s="276"/>
      <c r="K61" s="276">
        <v>8000</v>
      </c>
      <c r="L61" s="276"/>
      <c r="M61" s="276"/>
      <c r="N61" s="276"/>
      <c r="O61" s="278"/>
    </row>
    <row r="62" spans="1:15" s="349" customFormat="1" ht="12.75" customHeight="1">
      <c r="A62" s="342"/>
      <c r="B62" s="343"/>
      <c r="C62" s="344"/>
      <c r="D62" s="336" t="s">
        <v>473</v>
      </c>
      <c r="E62" s="345"/>
      <c r="F62" s="870">
        <f t="shared" si="0"/>
        <v>525</v>
      </c>
      <c r="G62" s="346"/>
      <c r="H62" s="346"/>
      <c r="I62" s="346"/>
      <c r="J62" s="346"/>
      <c r="K62" s="346">
        <v>525</v>
      </c>
      <c r="L62" s="346"/>
      <c r="M62" s="346"/>
      <c r="N62" s="346"/>
      <c r="O62" s="348"/>
    </row>
    <row r="63" spans="1:15" s="349" customFormat="1" ht="12.75" customHeight="1">
      <c r="A63" s="342"/>
      <c r="B63" s="343"/>
      <c r="C63" s="344"/>
      <c r="D63" s="336" t="s">
        <v>549</v>
      </c>
      <c r="E63" s="345"/>
      <c r="F63" s="870">
        <f t="shared" si="0"/>
        <v>525</v>
      </c>
      <c r="G63" s="346"/>
      <c r="H63" s="346"/>
      <c r="I63" s="346"/>
      <c r="J63" s="346"/>
      <c r="K63" s="346">
        <v>525</v>
      </c>
      <c r="L63" s="346"/>
      <c r="M63" s="346"/>
      <c r="N63" s="346"/>
      <c r="O63" s="348"/>
    </row>
    <row r="64" spans="1:15" ht="12.75" customHeight="1">
      <c r="A64" s="267" t="s">
        <v>207</v>
      </c>
      <c r="B64" s="274">
        <v>960900</v>
      </c>
      <c r="C64" s="275" t="s">
        <v>317</v>
      </c>
      <c r="D64" s="270" t="s">
        <v>522</v>
      </c>
      <c r="E64" s="271">
        <v>3600</v>
      </c>
      <c r="F64" s="870">
        <f t="shared" si="0"/>
        <v>3825</v>
      </c>
      <c r="G64" s="272">
        <v>1600</v>
      </c>
      <c r="H64" s="272">
        <v>725</v>
      </c>
      <c r="I64" s="272">
        <v>1500</v>
      </c>
      <c r="J64" s="272"/>
      <c r="K64" s="271"/>
      <c r="L64" s="271"/>
      <c r="M64" s="272"/>
      <c r="N64" s="272"/>
      <c r="O64" s="273"/>
    </row>
    <row r="65" spans="1:15" ht="12.75" customHeight="1">
      <c r="A65" s="267"/>
      <c r="B65" s="280"/>
      <c r="C65" s="281"/>
      <c r="D65" s="336" t="s">
        <v>473</v>
      </c>
      <c r="E65" s="282">
        <v>73</v>
      </c>
      <c r="F65" s="870">
        <f t="shared" si="0"/>
        <v>119</v>
      </c>
      <c r="G65" s="283">
        <v>75</v>
      </c>
      <c r="H65" s="283">
        <v>19</v>
      </c>
      <c r="I65" s="283">
        <v>25</v>
      </c>
      <c r="J65" s="283"/>
      <c r="K65" s="282"/>
      <c r="L65" s="282"/>
      <c r="M65" s="283"/>
      <c r="N65" s="283"/>
      <c r="O65" s="353"/>
    </row>
    <row r="66" spans="1:15" ht="12.75" customHeight="1">
      <c r="A66" s="267"/>
      <c r="B66" s="280"/>
      <c r="C66" s="281"/>
      <c r="D66" s="336" t="s">
        <v>549</v>
      </c>
      <c r="E66" s="282">
        <v>73</v>
      </c>
      <c r="F66" s="870">
        <f t="shared" si="0"/>
        <v>119</v>
      </c>
      <c r="G66" s="283">
        <v>75</v>
      </c>
      <c r="H66" s="283">
        <v>19</v>
      </c>
      <c r="I66" s="283">
        <v>25</v>
      </c>
      <c r="J66" s="283"/>
      <c r="K66" s="282"/>
      <c r="L66" s="282"/>
      <c r="M66" s="283"/>
      <c r="N66" s="283"/>
      <c r="O66" s="353"/>
    </row>
    <row r="67" spans="1:15" ht="12.75" customHeight="1">
      <c r="A67" s="267"/>
      <c r="B67" s="1197" t="s">
        <v>678</v>
      </c>
      <c r="C67" s="1198"/>
      <c r="D67" s="284" t="s">
        <v>522</v>
      </c>
      <c r="E67" s="297">
        <f aca="true" t="shared" si="1" ref="E67:O67">SUM(E13+E25+E28+E34+E37+E40+E43+E46+E49+E52+E55+E58+E61+E64)</f>
        <v>596726</v>
      </c>
      <c r="F67" s="297">
        <f t="shared" si="1"/>
        <v>596726</v>
      </c>
      <c r="G67" s="297">
        <f t="shared" si="1"/>
        <v>283587</v>
      </c>
      <c r="H67" s="297">
        <f t="shared" si="1"/>
        <v>72958</v>
      </c>
      <c r="I67" s="297">
        <f t="shared" si="1"/>
        <v>129278</v>
      </c>
      <c r="J67" s="297">
        <f t="shared" si="1"/>
        <v>13739</v>
      </c>
      <c r="K67" s="297">
        <f t="shared" si="1"/>
        <v>94364</v>
      </c>
      <c r="L67" s="297">
        <f t="shared" si="1"/>
        <v>0</v>
      </c>
      <c r="M67" s="297">
        <f t="shared" si="1"/>
        <v>1000</v>
      </c>
      <c r="N67" s="297">
        <f t="shared" si="1"/>
        <v>1800</v>
      </c>
      <c r="O67" s="354">
        <f t="shared" si="1"/>
        <v>0</v>
      </c>
    </row>
    <row r="68" spans="1:15" ht="12.75" customHeight="1">
      <c r="A68" s="331"/>
      <c r="B68" s="1197" t="s">
        <v>678</v>
      </c>
      <c r="C68" s="1201"/>
      <c r="D68" s="519" t="s">
        <v>473</v>
      </c>
      <c r="E68" s="297">
        <f aca="true" t="shared" si="2" ref="E68:O69">SUM(E11+E14+E17+E20+E23+E26+E29+E32+E35+E38+E41+E44+E47+E50+E53+E56+E59+E62+E65)</f>
        <v>130598</v>
      </c>
      <c r="F68" s="297">
        <f t="shared" si="2"/>
        <v>130598</v>
      </c>
      <c r="G68" s="297">
        <f t="shared" si="2"/>
        <v>66730</v>
      </c>
      <c r="H68" s="297">
        <f t="shared" si="2"/>
        <v>17470</v>
      </c>
      <c r="I68" s="297">
        <f t="shared" si="2"/>
        <v>21782</v>
      </c>
      <c r="J68" s="297">
        <f t="shared" si="2"/>
        <v>5349</v>
      </c>
      <c r="K68" s="297">
        <f t="shared" si="2"/>
        <v>18277</v>
      </c>
      <c r="L68" s="297">
        <f t="shared" si="2"/>
        <v>0</v>
      </c>
      <c r="M68" s="297">
        <f t="shared" si="2"/>
        <v>390</v>
      </c>
      <c r="N68" s="297">
        <f t="shared" si="2"/>
        <v>600</v>
      </c>
      <c r="O68" s="354">
        <f t="shared" si="2"/>
        <v>0</v>
      </c>
    </row>
    <row r="69" spans="1:15" ht="12.75" customHeight="1">
      <c r="A69" s="331"/>
      <c r="B69" s="723" t="s">
        <v>678</v>
      </c>
      <c r="C69" s="724"/>
      <c r="D69" s="519" t="s">
        <v>549</v>
      </c>
      <c r="E69" s="297">
        <f t="shared" si="2"/>
        <v>130598</v>
      </c>
      <c r="F69" s="297">
        <f t="shared" si="2"/>
        <v>130598</v>
      </c>
      <c r="G69" s="297">
        <f t="shared" si="2"/>
        <v>66730</v>
      </c>
      <c r="H69" s="297">
        <f t="shared" si="2"/>
        <v>17470</v>
      </c>
      <c r="I69" s="297">
        <f t="shared" si="2"/>
        <v>21782</v>
      </c>
      <c r="J69" s="297">
        <f t="shared" si="2"/>
        <v>5349</v>
      </c>
      <c r="K69" s="297">
        <f t="shared" si="2"/>
        <v>18277</v>
      </c>
      <c r="L69" s="297">
        <f t="shared" si="2"/>
        <v>0</v>
      </c>
      <c r="M69" s="297">
        <f t="shared" si="2"/>
        <v>390</v>
      </c>
      <c r="N69" s="297">
        <f t="shared" si="2"/>
        <v>600</v>
      </c>
      <c r="O69" s="354">
        <f t="shared" si="2"/>
        <v>0</v>
      </c>
    </row>
    <row r="70" spans="1:15" ht="12.75" customHeight="1">
      <c r="A70" s="267"/>
      <c r="B70" s="1124" t="s">
        <v>318</v>
      </c>
      <c r="C70" s="1124"/>
      <c r="D70" s="285" t="s">
        <v>522</v>
      </c>
      <c r="E70" s="294">
        <f aca="true" t="shared" si="3" ref="E70:O70">SUM(E10+E46+E52+E55+E58+E61)</f>
        <v>0</v>
      </c>
      <c r="F70" s="294">
        <f t="shared" si="3"/>
        <v>94328</v>
      </c>
      <c r="G70" s="294">
        <f t="shared" si="3"/>
        <v>0</v>
      </c>
      <c r="H70" s="294">
        <f t="shared" si="3"/>
        <v>0</v>
      </c>
      <c r="I70" s="294">
        <f t="shared" si="3"/>
        <v>0</v>
      </c>
      <c r="J70" s="294">
        <f t="shared" si="3"/>
        <v>0</v>
      </c>
      <c r="K70" s="294">
        <f t="shared" si="3"/>
        <v>94328</v>
      </c>
      <c r="L70" s="294">
        <f t="shared" si="3"/>
        <v>0</v>
      </c>
      <c r="M70" s="294">
        <f t="shared" si="3"/>
        <v>0</v>
      </c>
      <c r="N70" s="294">
        <f t="shared" si="3"/>
        <v>0</v>
      </c>
      <c r="O70" s="355">
        <f t="shared" si="3"/>
        <v>0</v>
      </c>
    </row>
    <row r="71" spans="1:15" ht="12.75" customHeight="1">
      <c r="A71" s="259"/>
      <c r="B71" s="1124" t="s">
        <v>318</v>
      </c>
      <c r="C71" s="1124"/>
      <c r="D71" s="519" t="s">
        <v>473</v>
      </c>
      <c r="E71" s="352">
        <f aca="true" t="shared" si="4" ref="E71:O72">SUM(E11+E47+E53+E56+E59+E62)</f>
        <v>0</v>
      </c>
      <c r="F71" s="352">
        <f t="shared" si="4"/>
        <v>18277</v>
      </c>
      <c r="G71" s="352">
        <f t="shared" si="4"/>
        <v>0</v>
      </c>
      <c r="H71" s="352">
        <f t="shared" si="4"/>
        <v>0</v>
      </c>
      <c r="I71" s="352">
        <f t="shared" si="4"/>
        <v>0</v>
      </c>
      <c r="J71" s="352">
        <f t="shared" si="4"/>
        <v>0</v>
      </c>
      <c r="K71" s="352">
        <f t="shared" si="4"/>
        <v>18277</v>
      </c>
      <c r="L71" s="352">
        <f t="shared" si="4"/>
        <v>0</v>
      </c>
      <c r="M71" s="352">
        <f t="shared" si="4"/>
        <v>0</v>
      </c>
      <c r="N71" s="352">
        <f t="shared" si="4"/>
        <v>0</v>
      </c>
      <c r="O71" s="356">
        <f t="shared" si="4"/>
        <v>0</v>
      </c>
    </row>
    <row r="72" spans="1:15" ht="12.75" customHeight="1">
      <c r="A72" s="259"/>
      <c r="B72" s="721" t="s">
        <v>318</v>
      </c>
      <c r="C72" s="721"/>
      <c r="D72" s="519" t="s">
        <v>549</v>
      </c>
      <c r="E72" s="352">
        <f t="shared" si="4"/>
        <v>0</v>
      </c>
      <c r="F72" s="352">
        <f t="shared" si="4"/>
        <v>18277</v>
      </c>
      <c r="G72" s="352">
        <f t="shared" si="4"/>
        <v>0</v>
      </c>
      <c r="H72" s="352">
        <f t="shared" si="4"/>
        <v>0</v>
      </c>
      <c r="I72" s="352">
        <f t="shared" si="4"/>
        <v>0</v>
      </c>
      <c r="J72" s="352">
        <f t="shared" si="4"/>
        <v>0</v>
      </c>
      <c r="K72" s="352">
        <f t="shared" si="4"/>
        <v>18277</v>
      </c>
      <c r="L72" s="352">
        <f t="shared" si="4"/>
        <v>0</v>
      </c>
      <c r="M72" s="352">
        <f t="shared" si="4"/>
        <v>0</v>
      </c>
      <c r="N72" s="352">
        <f t="shared" si="4"/>
        <v>0</v>
      </c>
      <c r="O72" s="356">
        <f t="shared" si="4"/>
        <v>0</v>
      </c>
    </row>
    <row r="73" spans="1:15" ht="12.75" customHeight="1">
      <c r="A73" s="267"/>
      <c r="B73" s="1124" t="s">
        <v>305</v>
      </c>
      <c r="C73" s="1200"/>
      <c r="D73" s="285" t="s">
        <v>522</v>
      </c>
      <c r="E73" s="294">
        <f aca="true" t="shared" si="5" ref="E73:O73">SUM(E13+E40+E43+E49)</f>
        <v>4132</v>
      </c>
      <c r="F73" s="294">
        <f t="shared" si="5"/>
        <v>6352</v>
      </c>
      <c r="G73" s="294">
        <f t="shared" si="5"/>
        <v>0</v>
      </c>
      <c r="H73" s="294">
        <f t="shared" si="5"/>
        <v>193</v>
      </c>
      <c r="I73" s="294">
        <f t="shared" si="5"/>
        <v>4323</v>
      </c>
      <c r="J73" s="294">
        <f t="shared" si="5"/>
        <v>0</v>
      </c>
      <c r="K73" s="294">
        <f t="shared" si="5"/>
        <v>36</v>
      </c>
      <c r="L73" s="294">
        <f t="shared" si="5"/>
        <v>0</v>
      </c>
      <c r="M73" s="294">
        <f t="shared" si="5"/>
        <v>0</v>
      </c>
      <c r="N73" s="294">
        <f t="shared" si="5"/>
        <v>1800</v>
      </c>
      <c r="O73" s="355">
        <f t="shared" si="5"/>
        <v>0</v>
      </c>
    </row>
    <row r="74" spans="1:15" ht="12.75" customHeight="1">
      <c r="A74" s="331"/>
      <c r="B74" s="1124" t="s">
        <v>305</v>
      </c>
      <c r="C74" s="1200"/>
      <c r="D74" s="519" t="s">
        <v>473</v>
      </c>
      <c r="E74" s="298">
        <f aca="true" t="shared" si="6" ref="E74:O75">SUM(E14+E41+E44+E50)</f>
        <v>216</v>
      </c>
      <c r="F74" s="298">
        <f t="shared" si="6"/>
        <v>1300</v>
      </c>
      <c r="G74" s="298">
        <f t="shared" si="6"/>
        <v>495</v>
      </c>
      <c r="H74" s="298">
        <f t="shared" si="6"/>
        <v>106</v>
      </c>
      <c r="I74" s="298">
        <f t="shared" si="6"/>
        <v>99</v>
      </c>
      <c r="J74" s="298">
        <f t="shared" si="6"/>
        <v>0</v>
      </c>
      <c r="K74" s="298">
        <f t="shared" si="6"/>
        <v>0</v>
      </c>
      <c r="L74" s="298">
        <f t="shared" si="6"/>
        <v>0</v>
      </c>
      <c r="M74" s="298">
        <f t="shared" si="6"/>
        <v>0</v>
      </c>
      <c r="N74" s="298">
        <f t="shared" si="6"/>
        <v>600</v>
      </c>
      <c r="O74" s="357">
        <f t="shared" si="6"/>
        <v>0</v>
      </c>
    </row>
    <row r="75" spans="1:15" ht="12.75" customHeight="1">
      <c r="A75" s="331"/>
      <c r="B75" s="725" t="s">
        <v>305</v>
      </c>
      <c r="C75" s="793"/>
      <c r="D75" s="519" t="s">
        <v>549</v>
      </c>
      <c r="E75" s="298">
        <f t="shared" si="6"/>
        <v>216</v>
      </c>
      <c r="F75" s="298">
        <f t="shared" si="6"/>
        <v>1300</v>
      </c>
      <c r="G75" s="298">
        <f t="shared" si="6"/>
        <v>495</v>
      </c>
      <c r="H75" s="298">
        <f t="shared" si="6"/>
        <v>106</v>
      </c>
      <c r="I75" s="298">
        <f t="shared" si="6"/>
        <v>99</v>
      </c>
      <c r="J75" s="298">
        <f t="shared" si="6"/>
        <v>0</v>
      </c>
      <c r="K75" s="298">
        <f t="shared" si="6"/>
        <v>0</v>
      </c>
      <c r="L75" s="298">
        <f t="shared" si="6"/>
        <v>0</v>
      </c>
      <c r="M75" s="298">
        <f t="shared" si="6"/>
        <v>0</v>
      </c>
      <c r="N75" s="298">
        <f t="shared" si="6"/>
        <v>600</v>
      </c>
      <c r="O75" s="355">
        <f t="shared" si="6"/>
        <v>0</v>
      </c>
    </row>
    <row r="76" spans="1:15" ht="12.75" customHeight="1">
      <c r="A76" s="331"/>
      <c r="B76" s="1199" t="s">
        <v>306</v>
      </c>
      <c r="C76" s="1199"/>
      <c r="D76" s="285" t="s">
        <v>522</v>
      </c>
      <c r="E76" s="298">
        <f aca="true" t="shared" si="7" ref="E76:O76">SUM(E16+E19+E22+E25+E28+E31+E34+E37+E64)</f>
        <v>592594</v>
      </c>
      <c r="F76" s="298">
        <f t="shared" si="7"/>
        <v>496046</v>
      </c>
      <c r="G76" s="298">
        <f t="shared" si="7"/>
        <v>283587</v>
      </c>
      <c r="H76" s="298">
        <f t="shared" si="7"/>
        <v>72765</v>
      </c>
      <c r="I76" s="298">
        <f t="shared" si="7"/>
        <v>124955</v>
      </c>
      <c r="J76" s="298">
        <f t="shared" si="7"/>
        <v>13739</v>
      </c>
      <c r="K76" s="298">
        <f t="shared" si="7"/>
        <v>0</v>
      </c>
      <c r="L76" s="298">
        <f t="shared" si="7"/>
        <v>0</v>
      </c>
      <c r="M76" s="298">
        <f t="shared" si="7"/>
        <v>1000</v>
      </c>
      <c r="N76" s="298">
        <f t="shared" si="7"/>
        <v>0</v>
      </c>
      <c r="O76" s="357">
        <f t="shared" si="7"/>
        <v>0</v>
      </c>
    </row>
    <row r="77" spans="1:15" ht="12.75" customHeight="1">
      <c r="A77" s="331"/>
      <c r="B77" s="1199" t="s">
        <v>306</v>
      </c>
      <c r="C77" s="1199"/>
      <c r="D77" s="794" t="s">
        <v>473</v>
      </c>
      <c r="E77" s="298">
        <f aca="true" t="shared" si="8" ref="E77:O78">SUM(E17+E20+E23+E26+E29+E32+E35+E38+E65)</f>
        <v>130382</v>
      </c>
      <c r="F77" s="298">
        <f t="shared" si="8"/>
        <v>111021</v>
      </c>
      <c r="G77" s="298">
        <f t="shared" si="8"/>
        <v>66235</v>
      </c>
      <c r="H77" s="298">
        <f t="shared" si="8"/>
        <v>17364</v>
      </c>
      <c r="I77" s="298">
        <f t="shared" si="8"/>
        <v>21683</v>
      </c>
      <c r="J77" s="298">
        <f t="shared" si="8"/>
        <v>5349</v>
      </c>
      <c r="K77" s="298">
        <f t="shared" si="8"/>
        <v>0</v>
      </c>
      <c r="L77" s="298">
        <f t="shared" si="8"/>
        <v>0</v>
      </c>
      <c r="M77" s="298">
        <f t="shared" si="8"/>
        <v>390</v>
      </c>
      <c r="N77" s="298">
        <f t="shared" si="8"/>
        <v>0</v>
      </c>
      <c r="O77" s="357">
        <f t="shared" si="8"/>
        <v>0</v>
      </c>
    </row>
    <row r="78" spans="1:15" ht="12.75" customHeight="1" thickBot="1">
      <c r="A78" s="332"/>
      <c r="B78" s="1188" t="s">
        <v>306</v>
      </c>
      <c r="C78" s="1189"/>
      <c r="D78" s="924" t="s">
        <v>549</v>
      </c>
      <c r="E78" s="866">
        <f t="shared" si="8"/>
        <v>130382</v>
      </c>
      <c r="F78" s="866">
        <f t="shared" si="8"/>
        <v>111021</v>
      </c>
      <c r="G78" s="866">
        <f t="shared" si="8"/>
        <v>66235</v>
      </c>
      <c r="H78" s="866">
        <f t="shared" si="8"/>
        <v>17364</v>
      </c>
      <c r="I78" s="866">
        <f t="shared" si="8"/>
        <v>21683</v>
      </c>
      <c r="J78" s="866">
        <f t="shared" si="8"/>
        <v>5349</v>
      </c>
      <c r="K78" s="866">
        <f t="shared" si="8"/>
        <v>0</v>
      </c>
      <c r="L78" s="866">
        <f t="shared" si="8"/>
        <v>0</v>
      </c>
      <c r="M78" s="866">
        <f t="shared" si="8"/>
        <v>390</v>
      </c>
      <c r="N78" s="866">
        <f t="shared" si="8"/>
        <v>0</v>
      </c>
      <c r="O78" s="868">
        <f t="shared" si="8"/>
        <v>0</v>
      </c>
    </row>
    <row r="79" spans="7:15" ht="12.75">
      <c r="G79" s="249"/>
      <c r="H79" s="249"/>
      <c r="I79" s="249"/>
      <c r="J79" s="249"/>
      <c r="K79" s="249"/>
      <c r="L79" s="249"/>
      <c r="M79" s="249"/>
      <c r="N79" s="252"/>
      <c r="O79" s="249"/>
    </row>
    <row r="80" spans="7:15" ht="12.75">
      <c r="G80" s="249"/>
      <c r="H80" s="249"/>
      <c r="I80" s="249"/>
      <c r="J80" s="249"/>
      <c r="K80" s="249"/>
      <c r="L80" s="249"/>
      <c r="M80" s="249"/>
      <c r="N80" s="252"/>
      <c r="O80" s="249"/>
    </row>
    <row r="81" spans="7:15" ht="12.75">
      <c r="G81" s="249"/>
      <c r="H81" s="249"/>
      <c r="I81" s="249"/>
      <c r="J81" s="249"/>
      <c r="K81" s="249"/>
      <c r="L81" s="249"/>
      <c r="M81" s="249"/>
      <c r="N81" s="252"/>
      <c r="O81" s="249"/>
    </row>
    <row r="82" spans="7:15" ht="12.75">
      <c r="G82" s="249"/>
      <c r="H82" s="249"/>
      <c r="I82" s="249"/>
      <c r="J82" s="249"/>
      <c r="K82" s="249"/>
      <c r="L82" s="249"/>
      <c r="M82" s="249"/>
      <c r="N82" s="252"/>
      <c r="O82" s="249"/>
    </row>
    <row r="83" spans="7:15" ht="12.75">
      <c r="G83" s="249"/>
      <c r="H83" s="249"/>
      <c r="I83" s="249"/>
      <c r="J83" s="249"/>
      <c r="K83" s="249"/>
      <c r="L83" s="249"/>
      <c r="M83" s="249"/>
      <c r="N83" s="252"/>
      <c r="O83" s="249"/>
    </row>
    <row r="84" spans="7:15" ht="12.75">
      <c r="G84" s="249"/>
      <c r="H84" s="249"/>
      <c r="I84" s="249"/>
      <c r="J84" s="249"/>
      <c r="K84" s="249"/>
      <c r="L84" s="249"/>
      <c r="M84" s="249"/>
      <c r="N84" s="252"/>
      <c r="O84" s="249"/>
    </row>
    <row r="85" spans="7:15" ht="12.75">
      <c r="G85" s="249"/>
      <c r="H85" s="249"/>
      <c r="I85" s="249"/>
      <c r="J85" s="249"/>
      <c r="K85" s="249"/>
      <c r="L85" s="249"/>
      <c r="M85" s="249"/>
      <c r="N85" s="252"/>
      <c r="O85" s="249"/>
    </row>
    <row r="86" spans="7:15" ht="12.75">
      <c r="G86" s="249"/>
      <c r="H86" s="249"/>
      <c r="I86" s="249"/>
      <c r="J86" s="249"/>
      <c r="K86" s="249"/>
      <c r="L86" s="249"/>
      <c r="M86" s="249"/>
      <c r="N86" s="252"/>
      <c r="O86" s="249"/>
    </row>
    <row r="87" spans="7:15" ht="12.75">
      <c r="G87" s="249"/>
      <c r="H87" s="249"/>
      <c r="I87" s="249"/>
      <c r="J87" s="249"/>
      <c r="K87" s="249"/>
      <c r="L87" s="249"/>
      <c r="M87" s="249"/>
      <c r="N87" s="252"/>
      <c r="O87" s="249"/>
    </row>
    <row r="88" spans="7:15" ht="12.75">
      <c r="G88" s="249"/>
      <c r="H88" s="249"/>
      <c r="I88" s="249"/>
      <c r="J88" s="249"/>
      <c r="K88" s="249"/>
      <c r="L88" s="249"/>
      <c r="M88" s="249"/>
      <c r="N88" s="252"/>
      <c r="O88" s="249"/>
    </row>
    <row r="89" spans="7:15" ht="12.75">
      <c r="G89" s="249"/>
      <c r="H89" s="249"/>
      <c r="I89" s="249"/>
      <c r="J89" s="249"/>
      <c r="K89" s="249"/>
      <c r="L89" s="249"/>
      <c r="M89" s="249"/>
      <c r="N89" s="252"/>
      <c r="O89" s="249"/>
    </row>
    <row r="90" spans="7:15" ht="12.75">
      <c r="G90" s="249"/>
      <c r="H90" s="249"/>
      <c r="I90" s="249"/>
      <c r="J90" s="249"/>
      <c r="K90" s="249"/>
      <c r="L90" s="249"/>
      <c r="M90" s="249"/>
      <c r="N90" s="252"/>
      <c r="O90" s="249"/>
    </row>
    <row r="91" spans="7:15" ht="12.75">
      <c r="G91" s="249"/>
      <c r="H91" s="249"/>
      <c r="I91" s="249"/>
      <c r="J91" s="249"/>
      <c r="K91" s="249"/>
      <c r="L91" s="249"/>
      <c r="M91" s="249"/>
      <c r="N91" s="252"/>
      <c r="O91" s="249"/>
    </row>
    <row r="92" spans="7:15" ht="12.75">
      <c r="G92" s="249"/>
      <c r="H92" s="249"/>
      <c r="I92" s="249"/>
      <c r="J92" s="249"/>
      <c r="K92" s="249"/>
      <c r="L92" s="249"/>
      <c r="M92" s="249"/>
      <c r="N92" s="252"/>
      <c r="O92" s="249"/>
    </row>
    <row r="93" spans="7:15" ht="12.75">
      <c r="G93" s="249"/>
      <c r="H93" s="249"/>
      <c r="I93" s="249"/>
      <c r="J93" s="249"/>
      <c r="K93" s="249"/>
      <c r="L93" s="249"/>
      <c r="M93" s="249"/>
      <c r="N93" s="252"/>
      <c r="O93" s="249"/>
    </row>
  </sheetData>
  <mergeCells count="27">
    <mergeCell ref="B67:C67"/>
    <mergeCell ref="M8:M9"/>
    <mergeCell ref="B77:C77"/>
    <mergeCell ref="B71:C71"/>
    <mergeCell ref="B74:C74"/>
    <mergeCell ref="B68:C68"/>
    <mergeCell ref="B70:C70"/>
    <mergeCell ref="B76:C76"/>
    <mergeCell ref="B73:C73"/>
    <mergeCell ref="A7:A9"/>
    <mergeCell ref="K8:K9"/>
    <mergeCell ref="O7:O9"/>
    <mergeCell ref="L8:L9"/>
    <mergeCell ref="G8:G9"/>
    <mergeCell ref="H8:H9"/>
    <mergeCell ref="I8:I9"/>
    <mergeCell ref="J8:J9"/>
    <mergeCell ref="B78:C78"/>
    <mergeCell ref="B2:C2"/>
    <mergeCell ref="B5:O5"/>
    <mergeCell ref="B7:D9"/>
    <mergeCell ref="E7:E9"/>
    <mergeCell ref="F7:F9"/>
    <mergeCell ref="G7:K7"/>
    <mergeCell ref="L7:M7"/>
    <mergeCell ref="N7:N9"/>
    <mergeCell ref="A4:O4"/>
  </mergeCells>
  <printOptions horizontalCentered="1"/>
  <pageMargins left="0.3937007874015748" right="0.3937007874015748" top="0.7086614173228347" bottom="0.4724409448818898" header="0.45" footer="0.4724409448818898"/>
  <pageSetup horizontalDpi="600" verticalDpi="600" orientation="landscape" paperSize="9" scale="63" r:id="rId1"/>
  <headerFooter alignWithMargins="0">
    <oddHeader>&amp;L5. melléklet a 24/2013.(IX.13.) önkormányzati rendelethez
"5. melléklet az 1/2013.(II.01.) önkormányzati rendelethez"</oddHeader>
  </headerFooter>
  <rowBreaks count="1" manualBreakCount="1">
    <brk id="5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SheetLayoutView="100" workbookViewId="0" topLeftCell="A1">
      <selection activeCell="E15" sqref="E15"/>
    </sheetView>
  </sheetViews>
  <sheetFormatPr defaultColWidth="9.00390625" defaultRowHeight="12.75"/>
  <cols>
    <col min="1" max="1" width="11.25390625" style="361" customWidth="1"/>
    <col min="2" max="2" width="8.00390625" style="362" customWidth="1"/>
    <col min="3" max="3" width="65.00390625" style="361" customWidth="1"/>
    <col min="4" max="4" width="11.25390625" style="363" customWidth="1"/>
    <col min="5" max="5" width="9.25390625" style="364" customWidth="1"/>
    <col min="6" max="6" width="9.00390625" style="361" customWidth="1"/>
    <col min="7" max="7" width="9.875" style="361" customWidth="1"/>
    <col min="8" max="8" width="8.75390625" style="361" customWidth="1"/>
    <col min="9" max="9" width="9.625" style="361" customWidth="1"/>
    <col min="10" max="10" width="9.375" style="361" customWidth="1"/>
    <col min="11" max="11" width="10.125" style="361" customWidth="1"/>
    <col min="12" max="12" width="9.375" style="361" customWidth="1"/>
    <col min="13" max="13" width="9.125" style="361" customWidth="1"/>
    <col min="14" max="14" width="8.875" style="381" customWidth="1"/>
    <col min="15" max="15" width="10.875" style="361" customWidth="1"/>
    <col min="16" max="16384" width="9.125" style="361" customWidth="1"/>
  </cols>
  <sheetData>
    <row r="1" spans="7:15" ht="12.75">
      <c r="G1" s="362"/>
      <c r="H1" s="362"/>
      <c r="I1" s="362"/>
      <c r="J1" s="362"/>
      <c r="K1" s="362"/>
      <c r="L1" s="362"/>
      <c r="M1" s="362"/>
      <c r="N1" s="365"/>
      <c r="O1" s="362"/>
    </row>
    <row r="3" spans="1:15" ht="14.25">
      <c r="A3" s="1228" t="s">
        <v>341</v>
      </c>
      <c r="B3" s="1228"/>
      <c r="C3" s="1228"/>
      <c r="D3" s="1228"/>
      <c r="E3" s="1228"/>
      <c r="F3" s="1228"/>
      <c r="G3" s="1228"/>
      <c r="H3" s="1228"/>
      <c r="I3" s="1228"/>
      <c r="J3" s="1228"/>
      <c r="K3" s="1228"/>
      <c r="L3" s="1228"/>
      <c r="M3" s="1228"/>
      <c r="N3" s="1228"/>
      <c r="O3" s="1228"/>
    </row>
    <row r="4" spans="2:15" ht="15">
      <c r="B4" s="1232"/>
      <c r="C4" s="1232"/>
      <c r="D4" s="1232"/>
      <c r="E4" s="1232"/>
      <c r="F4" s="1232"/>
      <c r="G4" s="1232"/>
      <c r="H4" s="1232"/>
      <c r="I4" s="1232"/>
      <c r="J4" s="1232"/>
      <c r="K4" s="1232"/>
      <c r="L4" s="1232"/>
      <c r="M4" s="1232"/>
      <c r="N4" s="1232"/>
      <c r="O4" s="1232"/>
    </row>
    <row r="5" spans="13:15" ht="13.5" thickBot="1">
      <c r="M5" s="364"/>
      <c r="N5" s="366"/>
      <c r="O5" s="366" t="s">
        <v>178</v>
      </c>
    </row>
    <row r="6" spans="1:15" ht="13.5" thickBot="1">
      <c r="A6" s="1204"/>
      <c r="B6" s="1210" t="s">
        <v>789</v>
      </c>
      <c r="C6" s="1211"/>
      <c r="D6" s="1211"/>
      <c r="E6" s="1221" t="s">
        <v>179</v>
      </c>
      <c r="F6" s="1224" t="s">
        <v>180</v>
      </c>
      <c r="G6" s="1227" t="s">
        <v>722</v>
      </c>
      <c r="H6" s="1227"/>
      <c r="I6" s="1227"/>
      <c r="J6" s="1227"/>
      <c r="K6" s="1227"/>
      <c r="L6" s="1227" t="s">
        <v>723</v>
      </c>
      <c r="M6" s="1227"/>
      <c r="N6" s="1207" t="s">
        <v>181</v>
      </c>
      <c r="O6" s="1216" t="s">
        <v>182</v>
      </c>
    </row>
    <row r="7" spans="1:15" ht="14.25" thickBot="1" thickTop="1">
      <c r="A7" s="1205"/>
      <c r="B7" s="1212"/>
      <c r="C7" s="1213"/>
      <c r="D7" s="1213"/>
      <c r="E7" s="1222"/>
      <c r="F7" s="1225"/>
      <c r="G7" s="1219" t="s">
        <v>184</v>
      </c>
      <c r="H7" s="1219" t="s">
        <v>185</v>
      </c>
      <c r="I7" s="1219" t="s">
        <v>186</v>
      </c>
      <c r="J7" s="1219" t="s">
        <v>342</v>
      </c>
      <c r="K7" s="1219" t="s">
        <v>188</v>
      </c>
      <c r="L7" s="1229" t="s">
        <v>682</v>
      </c>
      <c r="M7" s="1229" t="s">
        <v>680</v>
      </c>
      <c r="N7" s="1208"/>
      <c r="O7" s="1217"/>
    </row>
    <row r="8" spans="1:15" ht="40.5" customHeight="1" thickBot="1" thickTop="1">
      <c r="A8" s="1206"/>
      <c r="B8" s="1214"/>
      <c r="C8" s="1215"/>
      <c r="D8" s="1215"/>
      <c r="E8" s="1223"/>
      <c r="F8" s="1226"/>
      <c r="G8" s="1220"/>
      <c r="H8" s="1220"/>
      <c r="I8" s="1220"/>
      <c r="J8" s="1220"/>
      <c r="K8" s="1220"/>
      <c r="L8" s="1230"/>
      <c r="M8" s="1230"/>
      <c r="N8" s="1209"/>
      <c r="O8" s="1218"/>
    </row>
    <row r="9" spans="1:15" ht="15" customHeight="1">
      <c r="A9" s="367" t="s">
        <v>195</v>
      </c>
      <c r="B9" s="368">
        <v>842421</v>
      </c>
      <c r="C9" s="369" t="s">
        <v>343</v>
      </c>
      <c r="D9" s="370" t="s">
        <v>522</v>
      </c>
      <c r="E9" s="371">
        <v>2000</v>
      </c>
      <c r="F9" s="371">
        <v>16726</v>
      </c>
      <c r="G9" s="371">
        <v>10203</v>
      </c>
      <c r="H9" s="371">
        <v>2388</v>
      </c>
      <c r="I9" s="371">
        <v>4135</v>
      </c>
      <c r="J9" s="371"/>
      <c r="K9" s="371"/>
      <c r="L9" s="371"/>
      <c r="M9" s="371"/>
      <c r="N9" s="371"/>
      <c r="O9" s="372"/>
    </row>
    <row r="10" spans="1:15" ht="15" customHeight="1">
      <c r="A10" s="373"/>
      <c r="B10" s="374"/>
      <c r="C10" s="375"/>
      <c r="D10" s="376" t="s">
        <v>473</v>
      </c>
      <c r="E10" s="377">
        <v>4000</v>
      </c>
      <c r="F10" s="377">
        <f aca="true" t="shared" si="0" ref="F10:F20">SUM(G10:O10)</f>
        <v>18726</v>
      </c>
      <c r="G10" s="377">
        <v>11540</v>
      </c>
      <c r="H10" s="377">
        <v>2749</v>
      </c>
      <c r="I10" s="377">
        <v>4335</v>
      </c>
      <c r="J10" s="377">
        <v>102</v>
      </c>
      <c r="K10" s="377"/>
      <c r="L10" s="377"/>
      <c r="M10" s="377"/>
      <c r="N10" s="377"/>
      <c r="O10" s="378"/>
    </row>
    <row r="11" spans="1:15" ht="15" customHeight="1">
      <c r="A11" s="373"/>
      <c r="B11" s="374"/>
      <c r="C11" s="375"/>
      <c r="D11" s="376" t="s">
        <v>549</v>
      </c>
      <c r="E11" s="377">
        <v>4000</v>
      </c>
      <c r="F11" s="377">
        <f t="shared" si="0"/>
        <v>19714</v>
      </c>
      <c r="G11" s="377">
        <v>12323</v>
      </c>
      <c r="H11" s="377">
        <v>2954</v>
      </c>
      <c r="I11" s="377">
        <v>4335</v>
      </c>
      <c r="J11" s="377">
        <v>102</v>
      </c>
      <c r="K11" s="377"/>
      <c r="L11" s="377"/>
      <c r="M11" s="377"/>
      <c r="N11" s="377"/>
      <c r="O11" s="378"/>
    </row>
    <row r="12" spans="1:15" ht="15" customHeight="1">
      <c r="A12" s="373" t="s">
        <v>195</v>
      </c>
      <c r="B12" s="379">
        <v>841907</v>
      </c>
      <c r="C12" s="375" t="s">
        <v>313</v>
      </c>
      <c r="D12" s="376" t="s">
        <v>522</v>
      </c>
      <c r="E12" s="377">
        <v>14726</v>
      </c>
      <c r="F12" s="377">
        <f t="shared" si="0"/>
        <v>0</v>
      </c>
      <c r="G12" s="377"/>
      <c r="H12" s="377"/>
      <c r="I12" s="377"/>
      <c r="J12" s="377"/>
      <c r="K12" s="377"/>
      <c r="L12" s="377"/>
      <c r="M12" s="377"/>
      <c r="N12" s="377"/>
      <c r="O12" s="378"/>
    </row>
    <row r="13" spans="1:15" ht="15" customHeight="1">
      <c r="A13" s="373"/>
      <c r="B13" s="380"/>
      <c r="C13" s="520"/>
      <c r="D13" s="376" t="s">
        <v>473</v>
      </c>
      <c r="E13" s="521">
        <v>14726</v>
      </c>
      <c r="F13" s="377">
        <f t="shared" si="0"/>
        <v>0</v>
      </c>
      <c r="G13" s="521"/>
      <c r="H13" s="521"/>
      <c r="I13" s="521"/>
      <c r="J13" s="521"/>
      <c r="K13" s="521"/>
      <c r="L13" s="521"/>
      <c r="M13" s="521"/>
      <c r="N13" s="521"/>
      <c r="O13" s="522"/>
    </row>
    <row r="14" spans="1:15" ht="15" customHeight="1">
      <c r="A14" s="373"/>
      <c r="B14" s="380"/>
      <c r="C14" s="520"/>
      <c r="D14" s="376" t="s">
        <v>549</v>
      </c>
      <c r="E14" s="521">
        <v>15714</v>
      </c>
      <c r="F14" s="377">
        <f t="shared" si="0"/>
        <v>0</v>
      </c>
      <c r="G14" s="521"/>
      <c r="H14" s="521"/>
      <c r="I14" s="521"/>
      <c r="J14" s="521"/>
      <c r="K14" s="521"/>
      <c r="L14" s="521"/>
      <c r="M14" s="521"/>
      <c r="N14" s="521"/>
      <c r="O14" s="522"/>
    </row>
    <row r="15" spans="1:15" ht="15" customHeight="1">
      <c r="A15" s="373"/>
      <c r="B15" s="1231" t="s">
        <v>678</v>
      </c>
      <c r="C15" s="1231"/>
      <c r="D15" s="523" t="s">
        <v>522</v>
      </c>
      <c r="E15" s="524">
        <f>SUM(E9+E12)</f>
        <v>16726</v>
      </c>
      <c r="F15" s="524">
        <f t="shared" si="0"/>
        <v>16726</v>
      </c>
      <c r="G15" s="524">
        <f>SUM(G9+G12)</f>
        <v>10203</v>
      </c>
      <c r="H15" s="524">
        <f aca="true" t="shared" si="1" ref="H15:O15">SUM(H9+H12)</f>
        <v>2388</v>
      </c>
      <c r="I15" s="524">
        <f t="shared" si="1"/>
        <v>4135</v>
      </c>
      <c r="J15" s="524">
        <f t="shared" si="1"/>
        <v>0</v>
      </c>
      <c r="K15" s="524">
        <f t="shared" si="1"/>
        <v>0</v>
      </c>
      <c r="L15" s="524">
        <f t="shared" si="1"/>
        <v>0</v>
      </c>
      <c r="M15" s="524">
        <f t="shared" si="1"/>
        <v>0</v>
      </c>
      <c r="N15" s="524">
        <f t="shared" si="1"/>
        <v>0</v>
      </c>
      <c r="O15" s="874">
        <f t="shared" si="1"/>
        <v>0</v>
      </c>
    </row>
    <row r="16" spans="1:15" ht="15" customHeight="1">
      <c r="A16" s="373"/>
      <c r="B16" s="1231" t="s">
        <v>678</v>
      </c>
      <c r="C16" s="1231"/>
      <c r="D16" s="525" t="s">
        <v>473</v>
      </c>
      <c r="E16" s="524">
        <f>SUM(E10+E13)</f>
        <v>18726</v>
      </c>
      <c r="F16" s="524">
        <f t="shared" si="0"/>
        <v>18726</v>
      </c>
      <c r="G16" s="524">
        <f>SUM(G10+G13)</f>
        <v>11540</v>
      </c>
      <c r="H16" s="524">
        <f aca="true" t="shared" si="2" ref="H16:O16">SUM(H10+H13)</f>
        <v>2749</v>
      </c>
      <c r="I16" s="524">
        <f t="shared" si="2"/>
        <v>4335</v>
      </c>
      <c r="J16" s="524">
        <f t="shared" si="2"/>
        <v>102</v>
      </c>
      <c r="K16" s="524">
        <f t="shared" si="2"/>
        <v>0</v>
      </c>
      <c r="L16" s="524">
        <f t="shared" si="2"/>
        <v>0</v>
      </c>
      <c r="M16" s="524">
        <f t="shared" si="2"/>
        <v>0</v>
      </c>
      <c r="N16" s="524">
        <f t="shared" si="2"/>
        <v>0</v>
      </c>
      <c r="O16" s="874">
        <f t="shared" si="2"/>
        <v>0</v>
      </c>
    </row>
    <row r="17" spans="1:15" ht="15" customHeight="1">
      <c r="A17" s="373"/>
      <c r="B17" s="726"/>
      <c r="C17" s="726"/>
      <c r="D17" s="525" t="s">
        <v>549</v>
      </c>
      <c r="E17" s="524">
        <f>SUM(E11+E14)</f>
        <v>19714</v>
      </c>
      <c r="F17" s="524">
        <f t="shared" si="0"/>
        <v>19714</v>
      </c>
      <c r="G17" s="524">
        <f aca="true" t="shared" si="3" ref="G17:O20">SUM(G11+G14)</f>
        <v>12323</v>
      </c>
      <c r="H17" s="524">
        <f aca="true" t="shared" si="4" ref="H17:O17">SUM(H11+H14)</f>
        <v>2954</v>
      </c>
      <c r="I17" s="524">
        <f t="shared" si="4"/>
        <v>4335</v>
      </c>
      <c r="J17" s="524">
        <f t="shared" si="4"/>
        <v>102</v>
      </c>
      <c r="K17" s="524">
        <f t="shared" si="4"/>
        <v>0</v>
      </c>
      <c r="L17" s="524">
        <f t="shared" si="4"/>
        <v>0</v>
      </c>
      <c r="M17" s="524">
        <f t="shared" si="4"/>
        <v>0</v>
      </c>
      <c r="N17" s="524">
        <f t="shared" si="4"/>
        <v>0</v>
      </c>
      <c r="O17" s="874">
        <f t="shared" si="4"/>
        <v>0</v>
      </c>
    </row>
    <row r="18" spans="1:15" ht="12.75">
      <c r="A18" s="373"/>
      <c r="B18" s="1202" t="s">
        <v>319</v>
      </c>
      <c r="C18" s="1202"/>
      <c r="D18" s="523" t="s">
        <v>522</v>
      </c>
      <c r="E18" s="526">
        <f>SUM(E9+E12)</f>
        <v>16726</v>
      </c>
      <c r="F18" s="524">
        <f t="shared" si="0"/>
        <v>16726</v>
      </c>
      <c r="G18" s="524">
        <f t="shared" si="3"/>
        <v>10203</v>
      </c>
      <c r="H18" s="524">
        <f t="shared" si="3"/>
        <v>2388</v>
      </c>
      <c r="I18" s="524">
        <f t="shared" si="3"/>
        <v>4135</v>
      </c>
      <c r="J18" s="524">
        <f t="shared" si="3"/>
        <v>0</v>
      </c>
      <c r="K18" s="524">
        <f t="shared" si="3"/>
        <v>0</v>
      </c>
      <c r="L18" s="524">
        <f t="shared" si="3"/>
        <v>0</v>
      </c>
      <c r="M18" s="524">
        <f t="shared" si="3"/>
        <v>0</v>
      </c>
      <c r="N18" s="524">
        <f t="shared" si="3"/>
        <v>0</v>
      </c>
      <c r="O18" s="874">
        <f t="shared" si="3"/>
        <v>0</v>
      </c>
    </row>
    <row r="19" spans="1:15" ht="12.75">
      <c r="A19" s="373"/>
      <c r="B19" s="1202" t="s">
        <v>319</v>
      </c>
      <c r="C19" s="1202"/>
      <c r="D19" s="796" t="s">
        <v>473</v>
      </c>
      <c r="E19" s="526">
        <f>SUM(E10+E13)</f>
        <v>18726</v>
      </c>
      <c r="F19" s="524">
        <f t="shared" si="0"/>
        <v>18726</v>
      </c>
      <c r="G19" s="524">
        <f t="shared" si="3"/>
        <v>11540</v>
      </c>
      <c r="H19" s="524">
        <f t="shared" si="3"/>
        <v>2749</v>
      </c>
      <c r="I19" s="524">
        <f t="shared" si="3"/>
        <v>4335</v>
      </c>
      <c r="J19" s="524">
        <f t="shared" si="3"/>
        <v>102</v>
      </c>
      <c r="K19" s="524">
        <f t="shared" si="3"/>
        <v>0</v>
      </c>
      <c r="L19" s="524">
        <f t="shared" si="3"/>
        <v>0</v>
      </c>
      <c r="M19" s="524">
        <f t="shared" si="3"/>
        <v>0</v>
      </c>
      <c r="N19" s="524">
        <f t="shared" si="3"/>
        <v>0</v>
      </c>
      <c r="O19" s="874">
        <f t="shared" si="3"/>
        <v>0</v>
      </c>
    </row>
    <row r="20" spans="1:15" ht="13.5" thickBot="1">
      <c r="A20" s="795"/>
      <c r="B20" s="1203" t="s">
        <v>319</v>
      </c>
      <c r="C20" s="1203"/>
      <c r="D20" s="925" t="s">
        <v>549</v>
      </c>
      <c r="E20" s="873">
        <f>SUM(E11+E14)</f>
        <v>19714</v>
      </c>
      <c r="F20" s="875">
        <f t="shared" si="0"/>
        <v>19714</v>
      </c>
      <c r="G20" s="875">
        <f t="shared" si="3"/>
        <v>12323</v>
      </c>
      <c r="H20" s="875">
        <f t="shared" si="3"/>
        <v>2954</v>
      </c>
      <c r="I20" s="875">
        <f t="shared" si="3"/>
        <v>4335</v>
      </c>
      <c r="J20" s="875">
        <f t="shared" si="3"/>
        <v>102</v>
      </c>
      <c r="K20" s="875">
        <f t="shared" si="3"/>
        <v>0</v>
      </c>
      <c r="L20" s="875">
        <f t="shared" si="3"/>
        <v>0</v>
      </c>
      <c r="M20" s="875">
        <f t="shared" si="3"/>
        <v>0</v>
      </c>
      <c r="N20" s="875">
        <f t="shared" si="3"/>
        <v>0</v>
      </c>
      <c r="O20" s="876">
        <f t="shared" si="3"/>
        <v>0</v>
      </c>
    </row>
    <row r="21" spans="2:14" ht="12.75">
      <c r="B21" s="361"/>
      <c r="D21" s="361"/>
      <c r="E21" s="361"/>
      <c r="N21" s="361"/>
    </row>
    <row r="22" spans="2:14" ht="12.75">
      <c r="B22" s="361"/>
      <c r="D22" s="361"/>
      <c r="E22" s="361"/>
      <c r="N22" s="361"/>
    </row>
    <row r="23" spans="2:14" ht="13.5" customHeight="1">
      <c r="B23" s="361"/>
      <c r="D23" s="361"/>
      <c r="E23" s="361"/>
      <c r="N23" s="361"/>
    </row>
    <row r="24" spans="2:14" ht="14.25" customHeight="1">
      <c r="B24" s="361"/>
      <c r="D24" s="361"/>
      <c r="E24" s="361"/>
      <c r="N24" s="361"/>
    </row>
    <row r="25" spans="2:14" ht="40.5" customHeight="1">
      <c r="B25" s="361"/>
      <c r="D25" s="361"/>
      <c r="E25" s="361"/>
      <c r="N25" s="361"/>
    </row>
    <row r="26" spans="2:14" ht="15" customHeight="1">
      <c r="B26" s="361"/>
      <c r="D26" s="361"/>
      <c r="E26" s="361"/>
      <c r="N26" s="361"/>
    </row>
    <row r="27" spans="2:14" ht="15" customHeight="1">
      <c r="B27" s="361"/>
      <c r="D27" s="361"/>
      <c r="E27" s="361"/>
      <c r="N27" s="361"/>
    </row>
    <row r="28" spans="2:14" ht="15" customHeight="1">
      <c r="B28" s="361"/>
      <c r="D28" s="361"/>
      <c r="E28" s="361"/>
      <c r="N28" s="361"/>
    </row>
    <row r="29" spans="7:15" ht="12.75">
      <c r="G29" s="362"/>
      <c r="H29" s="362"/>
      <c r="I29" s="362"/>
      <c r="J29" s="362"/>
      <c r="K29" s="362"/>
      <c r="L29" s="362"/>
      <c r="M29" s="362"/>
      <c r="N29" s="365"/>
      <c r="O29" s="362"/>
    </row>
    <row r="30" spans="7:15" ht="12.75">
      <c r="G30" s="362"/>
      <c r="H30" s="362"/>
      <c r="I30" s="362"/>
      <c r="J30" s="362"/>
      <c r="K30" s="362"/>
      <c r="L30" s="362"/>
      <c r="M30" s="362"/>
      <c r="N30" s="365"/>
      <c r="O30" s="362"/>
    </row>
    <row r="31" spans="7:15" ht="12.75">
      <c r="G31" s="362"/>
      <c r="H31" s="362"/>
      <c r="I31" s="362"/>
      <c r="J31" s="362"/>
      <c r="K31" s="362"/>
      <c r="L31" s="362"/>
      <c r="M31" s="362"/>
      <c r="N31" s="365"/>
      <c r="O31" s="362"/>
    </row>
    <row r="32" spans="7:15" ht="12.75">
      <c r="G32" s="362"/>
      <c r="H32" s="362"/>
      <c r="I32" s="362"/>
      <c r="J32" s="362"/>
      <c r="K32" s="362"/>
      <c r="L32" s="362"/>
      <c r="M32" s="362"/>
      <c r="N32" s="365"/>
      <c r="O32" s="362"/>
    </row>
    <row r="33" spans="7:15" ht="12.75">
      <c r="G33" s="362"/>
      <c r="H33" s="362"/>
      <c r="I33" s="362"/>
      <c r="J33" s="362"/>
      <c r="K33" s="362"/>
      <c r="L33" s="362"/>
      <c r="M33" s="362"/>
      <c r="N33" s="365"/>
      <c r="O33" s="362"/>
    </row>
    <row r="34" spans="7:15" ht="12.75">
      <c r="G34" s="362"/>
      <c r="H34" s="362"/>
      <c r="I34" s="362"/>
      <c r="J34" s="362"/>
      <c r="K34" s="362"/>
      <c r="L34" s="362"/>
      <c r="M34" s="362"/>
      <c r="N34" s="365"/>
      <c r="O34" s="362"/>
    </row>
    <row r="35" spans="7:15" ht="12.75">
      <c r="G35" s="362"/>
      <c r="H35" s="362"/>
      <c r="I35" s="362"/>
      <c r="J35" s="362"/>
      <c r="K35" s="362"/>
      <c r="L35" s="362"/>
      <c r="M35" s="362"/>
      <c r="N35" s="365"/>
      <c r="O35" s="362"/>
    </row>
    <row r="36" spans="7:15" ht="12.75">
      <c r="G36" s="362"/>
      <c r="H36" s="362"/>
      <c r="I36" s="362"/>
      <c r="J36" s="362"/>
      <c r="K36" s="362"/>
      <c r="L36" s="362"/>
      <c r="M36" s="362"/>
      <c r="N36" s="365"/>
      <c r="O36" s="362"/>
    </row>
    <row r="37" spans="7:15" ht="12.75">
      <c r="G37" s="362"/>
      <c r="H37" s="362"/>
      <c r="I37" s="362"/>
      <c r="J37" s="362"/>
      <c r="K37" s="362"/>
      <c r="L37" s="362"/>
      <c r="M37" s="362"/>
      <c r="N37" s="365"/>
      <c r="O37" s="362"/>
    </row>
    <row r="38" spans="7:15" ht="12.75">
      <c r="G38" s="362"/>
      <c r="H38" s="362"/>
      <c r="I38" s="362"/>
      <c r="J38" s="362"/>
      <c r="K38" s="362"/>
      <c r="L38" s="362"/>
      <c r="M38" s="362"/>
      <c r="N38" s="365"/>
      <c r="O38" s="362"/>
    </row>
    <row r="39" spans="7:15" ht="12.75">
      <c r="G39" s="362"/>
      <c r="H39" s="362"/>
      <c r="I39" s="362"/>
      <c r="J39" s="362"/>
      <c r="K39" s="362"/>
      <c r="L39" s="362"/>
      <c r="M39" s="362"/>
      <c r="N39" s="365"/>
      <c r="O39" s="362"/>
    </row>
    <row r="40" spans="7:15" ht="12.75">
      <c r="G40" s="362"/>
      <c r="H40" s="362"/>
      <c r="I40" s="362"/>
      <c r="J40" s="362"/>
      <c r="K40" s="362"/>
      <c r="L40" s="362"/>
      <c r="M40" s="362"/>
      <c r="N40" s="365"/>
      <c r="O40" s="362"/>
    </row>
    <row r="41" spans="7:15" ht="12.75">
      <c r="G41" s="362"/>
      <c r="H41" s="362"/>
      <c r="I41" s="362"/>
      <c r="J41" s="362"/>
      <c r="K41" s="362"/>
      <c r="L41" s="362"/>
      <c r="M41" s="362"/>
      <c r="N41" s="365"/>
      <c r="O41" s="362"/>
    </row>
    <row r="42" spans="7:15" ht="12.75">
      <c r="G42" s="362"/>
      <c r="H42" s="362"/>
      <c r="I42" s="362"/>
      <c r="J42" s="362"/>
      <c r="K42" s="362"/>
      <c r="L42" s="362"/>
      <c r="M42" s="362"/>
      <c r="N42" s="365"/>
      <c r="O42" s="362"/>
    </row>
    <row r="43" spans="7:15" ht="12.75">
      <c r="G43" s="362"/>
      <c r="H43" s="362"/>
      <c r="I43" s="362"/>
      <c r="J43" s="362"/>
      <c r="K43" s="362"/>
      <c r="L43" s="362"/>
      <c r="M43" s="362"/>
      <c r="N43" s="365"/>
      <c r="O43" s="362"/>
    </row>
    <row r="44" spans="7:15" ht="12.75">
      <c r="G44" s="362"/>
      <c r="H44" s="362"/>
      <c r="I44" s="362"/>
      <c r="J44" s="362"/>
      <c r="K44" s="362"/>
      <c r="L44" s="362"/>
      <c r="M44" s="362"/>
      <c r="N44" s="365"/>
      <c r="O44" s="362"/>
    </row>
    <row r="45" spans="7:15" ht="12.75">
      <c r="G45" s="362"/>
      <c r="H45" s="362"/>
      <c r="I45" s="362"/>
      <c r="J45" s="362"/>
      <c r="K45" s="362"/>
      <c r="L45" s="362"/>
      <c r="M45" s="362"/>
      <c r="N45" s="365"/>
      <c r="O45" s="362"/>
    </row>
    <row r="46" spans="7:15" ht="12.75">
      <c r="G46" s="362"/>
      <c r="H46" s="362"/>
      <c r="I46" s="362"/>
      <c r="J46" s="362"/>
      <c r="K46" s="362"/>
      <c r="L46" s="362"/>
      <c r="M46" s="362"/>
      <c r="N46" s="365"/>
      <c r="O46" s="362"/>
    </row>
  </sheetData>
  <mergeCells count="22">
    <mergeCell ref="A3:O3"/>
    <mergeCell ref="B18:C18"/>
    <mergeCell ref="M7:M8"/>
    <mergeCell ref="B15:C15"/>
    <mergeCell ref="I7:I8"/>
    <mergeCell ref="J7:J8"/>
    <mergeCell ref="K7:K8"/>
    <mergeCell ref="L7:L8"/>
    <mergeCell ref="B16:C16"/>
    <mergeCell ref="B4:O4"/>
    <mergeCell ref="O6:O8"/>
    <mergeCell ref="G7:G8"/>
    <mergeCell ref="H7:H8"/>
    <mergeCell ref="E6:E8"/>
    <mergeCell ref="F6:F8"/>
    <mergeCell ref="G6:K6"/>
    <mergeCell ref="L6:M6"/>
    <mergeCell ref="B19:C19"/>
    <mergeCell ref="B20:C20"/>
    <mergeCell ref="A6:A8"/>
    <mergeCell ref="N6:N8"/>
    <mergeCell ref="B6:D8"/>
  </mergeCells>
  <printOptions horizontalCentered="1"/>
  <pageMargins left="0.3937007874015748" right="0.3937007874015748" top="0.7086614173228347" bottom="0.4724409448818898" header="0.45" footer="0.4724409448818898"/>
  <pageSetup horizontalDpi="600" verticalDpi="600" orientation="landscape" paperSize="9" scale="70" r:id="rId1"/>
  <headerFooter alignWithMargins="0">
    <oddHeader>&amp;L&amp;8 5. melléklet a 24/2013.(IX.13.) önkormányzati rendelethez
"5. melléklet az 1/2013.(II.01.) önkormányzati rendelethez"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37"/>
  <sheetViews>
    <sheetView zoomScaleSheetLayoutView="100" workbookViewId="0" topLeftCell="A1">
      <selection activeCell="B2" sqref="B2:C2"/>
    </sheetView>
  </sheetViews>
  <sheetFormatPr defaultColWidth="9.00390625" defaultRowHeight="12.75"/>
  <cols>
    <col min="1" max="1" width="13.875" style="248" customWidth="1"/>
    <col min="2" max="2" width="8.00390625" style="249" customWidth="1"/>
    <col min="3" max="3" width="65.00390625" style="248" customWidth="1"/>
    <col min="4" max="4" width="13.625" style="250" customWidth="1"/>
    <col min="5" max="5" width="9.25390625" style="251" customWidth="1"/>
    <col min="6" max="6" width="9.00390625" style="248" customWidth="1"/>
    <col min="7" max="7" width="9.875" style="248" customWidth="1"/>
    <col min="8" max="8" width="8.75390625" style="248" customWidth="1"/>
    <col min="9" max="9" width="9.625" style="248" customWidth="1"/>
    <col min="10" max="10" width="9.375" style="248" customWidth="1"/>
    <col min="11" max="11" width="10.125" style="248" customWidth="1"/>
    <col min="12" max="12" width="9.375" style="248" customWidth="1"/>
    <col min="13" max="13" width="9.125" style="248" customWidth="1"/>
    <col min="14" max="14" width="8.875" style="253" customWidth="1"/>
    <col min="15" max="15" width="10.875" style="248" customWidth="1"/>
    <col min="16" max="16384" width="9.125" style="248" customWidth="1"/>
  </cols>
  <sheetData>
    <row r="1" spans="7:15" ht="12.75">
      <c r="G1" s="249"/>
      <c r="H1" s="249"/>
      <c r="I1" s="249"/>
      <c r="J1" s="249"/>
      <c r="K1" s="249"/>
      <c r="L1" s="249"/>
      <c r="M1" s="249"/>
      <c r="N1" s="252"/>
      <c r="O1" s="249"/>
    </row>
    <row r="2" spans="2:3" ht="12.75">
      <c r="B2" s="1110"/>
      <c r="C2" s="1190"/>
    </row>
    <row r="4" spans="1:15" ht="14.25">
      <c r="A4" s="1112" t="s">
        <v>325</v>
      </c>
      <c r="B4" s="1112"/>
      <c r="C4" s="1112"/>
      <c r="D4" s="1112"/>
      <c r="E4" s="1112"/>
      <c r="F4" s="1112"/>
      <c r="G4" s="1112"/>
      <c r="H4" s="1112"/>
      <c r="I4" s="1112"/>
      <c r="J4" s="1112"/>
      <c r="K4" s="1112"/>
      <c r="L4" s="1112"/>
      <c r="M4" s="1112"/>
      <c r="N4" s="1112"/>
      <c r="O4" s="1112"/>
    </row>
    <row r="5" spans="2:15" ht="15">
      <c r="B5" s="1113"/>
      <c r="C5" s="1113"/>
      <c r="D5" s="1113"/>
      <c r="E5" s="1113"/>
      <c r="F5" s="1113"/>
      <c r="G5" s="1113"/>
      <c r="H5" s="1113"/>
      <c r="I5" s="1113"/>
      <c r="J5" s="1113"/>
      <c r="K5" s="1113"/>
      <c r="L5" s="1113"/>
      <c r="M5" s="1113"/>
      <c r="N5" s="1113"/>
      <c r="O5" s="1113"/>
    </row>
    <row r="6" spans="13:15" ht="13.5" thickBot="1">
      <c r="M6" s="251"/>
      <c r="N6" s="254"/>
      <c r="O6" s="254"/>
    </row>
    <row r="7" spans="1:15" ht="13.5" thickBot="1">
      <c r="A7" s="1191"/>
      <c r="B7" s="1172" t="s">
        <v>789</v>
      </c>
      <c r="C7" s="1173"/>
      <c r="D7" s="1173"/>
      <c r="E7" s="1178" t="s">
        <v>179</v>
      </c>
      <c r="F7" s="1181" t="s">
        <v>180</v>
      </c>
      <c r="G7" s="1123" t="s">
        <v>722</v>
      </c>
      <c r="H7" s="1123"/>
      <c r="I7" s="1123"/>
      <c r="J7" s="1123"/>
      <c r="K7" s="1123"/>
      <c r="L7" s="1123" t="s">
        <v>723</v>
      </c>
      <c r="M7" s="1123"/>
      <c r="N7" s="1131" t="s">
        <v>181</v>
      </c>
      <c r="O7" s="1194" t="s">
        <v>182</v>
      </c>
    </row>
    <row r="8" spans="1:15" ht="14.25" thickBot="1" thickTop="1">
      <c r="A8" s="1192"/>
      <c r="B8" s="1174"/>
      <c r="C8" s="1175"/>
      <c r="D8" s="1175"/>
      <c r="E8" s="1179"/>
      <c r="F8" s="1182"/>
      <c r="G8" s="1136" t="s">
        <v>184</v>
      </c>
      <c r="H8" s="1136" t="s">
        <v>185</v>
      </c>
      <c r="I8" s="1136" t="s">
        <v>186</v>
      </c>
      <c r="J8" s="1136" t="s">
        <v>187</v>
      </c>
      <c r="K8" s="1136" t="s">
        <v>188</v>
      </c>
      <c r="L8" s="1138" t="s">
        <v>682</v>
      </c>
      <c r="M8" s="1138" t="s">
        <v>680</v>
      </c>
      <c r="N8" s="1125"/>
      <c r="O8" s="1195"/>
    </row>
    <row r="9" spans="1:15" ht="39" customHeight="1" thickBot="1" thickTop="1">
      <c r="A9" s="1193"/>
      <c r="B9" s="1176"/>
      <c r="C9" s="1177"/>
      <c r="D9" s="1177"/>
      <c r="E9" s="1180"/>
      <c r="F9" s="1183"/>
      <c r="G9" s="1137"/>
      <c r="H9" s="1137"/>
      <c r="I9" s="1137"/>
      <c r="J9" s="1137"/>
      <c r="K9" s="1137"/>
      <c r="L9" s="1139"/>
      <c r="M9" s="1139"/>
      <c r="N9" s="1122"/>
      <c r="O9" s="1196"/>
    </row>
    <row r="10" spans="1:15" ht="12.75" customHeight="1">
      <c r="A10" s="1236" t="s">
        <v>49</v>
      </c>
      <c r="B10" s="1237"/>
      <c r="C10" s="1237"/>
      <c r="D10" s="1238"/>
      <c r="E10" s="255"/>
      <c r="F10" s="256"/>
      <c r="G10" s="257"/>
      <c r="H10" s="257"/>
      <c r="I10" s="257"/>
      <c r="J10" s="257"/>
      <c r="K10" s="257"/>
      <c r="L10" s="256"/>
      <c r="M10" s="256"/>
      <c r="N10" s="257"/>
      <c r="O10" s="258"/>
    </row>
    <row r="11" spans="1:15" ht="12.75" customHeight="1">
      <c r="A11" s="259" t="s">
        <v>189</v>
      </c>
      <c r="B11" s="260">
        <v>421100</v>
      </c>
      <c r="C11" s="261" t="s">
        <v>308</v>
      </c>
      <c r="D11" s="262" t="s">
        <v>522</v>
      </c>
      <c r="E11" s="263"/>
      <c r="F11" s="872">
        <f>SUM(G11:O11)</f>
        <v>0</v>
      </c>
      <c r="G11" s="265"/>
      <c r="H11" s="265"/>
      <c r="I11" s="265"/>
      <c r="J11" s="265"/>
      <c r="K11" s="265"/>
      <c r="L11" s="264"/>
      <c r="M11" s="264"/>
      <c r="N11" s="265"/>
      <c r="O11" s="266"/>
    </row>
    <row r="12" spans="1:15" ht="12.75" customHeight="1">
      <c r="A12" s="267"/>
      <c r="B12" s="260"/>
      <c r="C12" s="261"/>
      <c r="D12" s="262" t="s">
        <v>473</v>
      </c>
      <c r="E12" s="263"/>
      <c r="F12" s="872">
        <f aca="true" t="shared" si="0" ref="F12:F58">SUM(G12:O12)</f>
        <v>0</v>
      </c>
      <c r="G12" s="265"/>
      <c r="H12" s="265"/>
      <c r="I12" s="265"/>
      <c r="J12" s="265"/>
      <c r="K12" s="265"/>
      <c r="L12" s="264"/>
      <c r="M12" s="264"/>
      <c r="N12" s="265"/>
      <c r="O12" s="266"/>
    </row>
    <row r="13" spans="1:15" ht="12.75" customHeight="1">
      <c r="A13" s="267"/>
      <c r="B13" s="260"/>
      <c r="C13" s="261"/>
      <c r="D13" s="262" t="s">
        <v>549</v>
      </c>
      <c r="E13" s="263"/>
      <c r="F13" s="872">
        <f t="shared" si="0"/>
        <v>0</v>
      </c>
      <c r="G13" s="265"/>
      <c r="H13" s="265"/>
      <c r="I13" s="265"/>
      <c r="J13" s="265"/>
      <c r="K13" s="265"/>
      <c r="L13" s="264"/>
      <c r="M13" s="264"/>
      <c r="N13" s="265"/>
      <c r="O13" s="266"/>
    </row>
    <row r="14" spans="1:15" ht="12.75" customHeight="1">
      <c r="A14" s="267" t="s">
        <v>195</v>
      </c>
      <c r="B14" s="268" t="s">
        <v>309</v>
      </c>
      <c r="C14" s="269" t="s">
        <v>310</v>
      </c>
      <c r="D14" s="270" t="s">
        <v>522</v>
      </c>
      <c r="E14" s="271"/>
      <c r="F14" s="872">
        <f t="shared" si="0"/>
        <v>0</v>
      </c>
      <c r="G14" s="272"/>
      <c r="H14" s="272"/>
      <c r="I14" s="272"/>
      <c r="J14" s="272"/>
      <c r="K14" s="272"/>
      <c r="L14" s="272"/>
      <c r="M14" s="272"/>
      <c r="N14" s="272"/>
      <c r="O14" s="273"/>
    </row>
    <row r="15" spans="1:15" ht="12.75" customHeight="1">
      <c r="A15" s="267"/>
      <c r="B15" s="268"/>
      <c r="C15" s="269"/>
      <c r="D15" s="262" t="s">
        <v>473</v>
      </c>
      <c r="E15" s="271">
        <v>2433</v>
      </c>
      <c r="F15" s="872">
        <f t="shared" si="0"/>
        <v>3576</v>
      </c>
      <c r="G15" s="272"/>
      <c r="H15" s="272"/>
      <c r="I15" s="272">
        <v>3576</v>
      </c>
      <c r="J15" s="272"/>
      <c r="K15" s="272"/>
      <c r="L15" s="272"/>
      <c r="M15" s="272"/>
      <c r="N15" s="272"/>
      <c r="O15" s="273"/>
    </row>
    <row r="16" spans="1:15" ht="12.75" customHeight="1">
      <c r="A16" s="267"/>
      <c r="B16" s="268"/>
      <c r="C16" s="269"/>
      <c r="D16" s="262" t="s">
        <v>549</v>
      </c>
      <c r="E16" s="271">
        <v>2433</v>
      </c>
      <c r="F16" s="872">
        <f t="shared" si="0"/>
        <v>3576</v>
      </c>
      <c r="G16" s="272"/>
      <c r="H16" s="272"/>
      <c r="I16" s="272">
        <v>3576</v>
      </c>
      <c r="J16" s="272"/>
      <c r="K16" s="272"/>
      <c r="L16" s="272"/>
      <c r="M16" s="272"/>
      <c r="N16" s="272"/>
      <c r="O16" s="273"/>
    </row>
    <row r="17" spans="1:15" ht="12.75" customHeight="1">
      <c r="A17" s="267" t="s">
        <v>207</v>
      </c>
      <c r="B17" s="274">
        <v>841126</v>
      </c>
      <c r="C17" s="275" t="s">
        <v>311</v>
      </c>
      <c r="D17" s="270" t="s">
        <v>522</v>
      </c>
      <c r="E17" s="271"/>
      <c r="F17" s="872">
        <f t="shared" si="0"/>
        <v>0</v>
      </c>
      <c r="G17" s="272"/>
      <c r="H17" s="272"/>
      <c r="I17" s="272"/>
      <c r="J17" s="272"/>
      <c r="K17" s="272"/>
      <c r="L17" s="272"/>
      <c r="M17" s="272"/>
      <c r="N17" s="272"/>
      <c r="O17" s="273"/>
    </row>
    <row r="18" spans="1:15" ht="12.75" customHeight="1">
      <c r="A18" s="267"/>
      <c r="B18" s="274"/>
      <c r="C18" s="275"/>
      <c r="D18" s="262" t="s">
        <v>473</v>
      </c>
      <c r="E18" s="271">
        <v>10788</v>
      </c>
      <c r="F18" s="872">
        <f t="shared" si="0"/>
        <v>318629</v>
      </c>
      <c r="G18" s="272">
        <v>163471</v>
      </c>
      <c r="H18" s="272">
        <v>39257</v>
      </c>
      <c r="I18" s="272">
        <v>102522</v>
      </c>
      <c r="J18" s="272">
        <v>7769</v>
      </c>
      <c r="K18" s="272"/>
      <c r="L18" s="272"/>
      <c r="M18" s="272">
        <v>5610</v>
      </c>
      <c r="N18" s="272"/>
      <c r="O18" s="273"/>
    </row>
    <row r="19" spans="1:15" ht="12.75" customHeight="1">
      <c r="A19" s="267"/>
      <c r="B19" s="274"/>
      <c r="C19" s="275"/>
      <c r="D19" s="262" t="s">
        <v>549</v>
      </c>
      <c r="E19" s="271">
        <v>11306</v>
      </c>
      <c r="F19" s="872">
        <f t="shared" si="0"/>
        <v>319589</v>
      </c>
      <c r="G19" s="272">
        <v>164227</v>
      </c>
      <c r="H19" s="272">
        <v>39461</v>
      </c>
      <c r="I19" s="272">
        <v>102522</v>
      </c>
      <c r="J19" s="272">
        <v>7769</v>
      </c>
      <c r="K19" s="272"/>
      <c r="L19" s="272"/>
      <c r="M19" s="272">
        <v>5610</v>
      </c>
      <c r="N19" s="272"/>
      <c r="O19" s="273"/>
    </row>
    <row r="20" spans="1:15" ht="12.75" customHeight="1">
      <c r="A20" s="267" t="s">
        <v>207</v>
      </c>
      <c r="B20" s="274">
        <v>841133</v>
      </c>
      <c r="C20" s="275" t="s">
        <v>210</v>
      </c>
      <c r="D20" s="270" t="s">
        <v>522</v>
      </c>
      <c r="E20" s="271"/>
      <c r="F20" s="872">
        <f t="shared" si="0"/>
        <v>0</v>
      </c>
      <c r="G20" s="272"/>
      <c r="H20" s="272"/>
      <c r="I20" s="272"/>
      <c r="J20" s="272"/>
      <c r="K20" s="272"/>
      <c r="L20" s="272"/>
      <c r="M20" s="272"/>
      <c r="N20" s="272"/>
      <c r="O20" s="273"/>
    </row>
    <row r="21" spans="1:15" ht="12.75" customHeight="1">
      <c r="A21" s="267"/>
      <c r="B21" s="274"/>
      <c r="C21" s="275"/>
      <c r="D21" s="262" t="s">
        <v>473</v>
      </c>
      <c r="E21" s="271"/>
      <c r="F21" s="872">
        <f t="shared" si="0"/>
        <v>29150</v>
      </c>
      <c r="G21" s="272">
        <v>22463</v>
      </c>
      <c r="H21" s="272">
        <v>5820</v>
      </c>
      <c r="I21" s="272">
        <v>867</v>
      </c>
      <c r="J21" s="272"/>
      <c r="K21" s="272"/>
      <c r="L21" s="272"/>
      <c r="M21" s="272"/>
      <c r="N21" s="272"/>
      <c r="O21" s="273"/>
    </row>
    <row r="22" spans="1:15" ht="12.75" customHeight="1">
      <c r="A22" s="267"/>
      <c r="B22" s="274"/>
      <c r="C22" s="275"/>
      <c r="D22" s="262" t="s">
        <v>549</v>
      </c>
      <c r="E22" s="271"/>
      <c r="F22" s="872">
        <f t="shared" si="0"/>
        <v>29150</v>
      </c>
      <c r="G22" s="272">
        <v>22463</v>
      </c>
      <c r="H22" s="272">
        <v>5820</v>
      </c>
      <c r="I22" s="272">
        <v>867</v>
      </c>
      <c r="J22" s="272"/>
      <c r="K22" s="272"/>
      <c r="L22" s="272"/>
      <c r="M22" s="272"/>
      <c r="N22" s="272"/>
      <c r="O22" s="273"/>
    </row>
    <row r="23" spans="1:15" ht="12.75" customHeight="1">
      <c r="A23" s="267" t="s">
        <v>207</v>
      </c>
      <c r="B23" s="274">
        <v>841403</v>
      </c>
      <c r="C23" s="275" t="s">
        <v>312</v>
      </c>
      <c r="D23" s="270" t="s">
        <v>522</v>
      </c>
      <c r="E23" s="271"/>
      <c r="F23" s="872">
        <f t="shared" si="0"/>
        <v>0</v>
      </c>
      <c r="G23" s="272"/>
      <c r="H23" s="272"/>
      <c r="I23" s="272"/>
      <c r="J23" s="272"/>
      <c r="K23" s="272"/>
      <c r="L23" s="272"/>
      <c r="M23" s="272"/>
      <c r="N23" s="272"/>
      <c r="O23" s="273"/>
    </row>
    <row r="24" spans="1:15" ht="12.75" customHeight="1">
      <c r="A24" s="267"/>
      <c r="B24" s="274"/>
      <c r="C24" s="275"/>
      <c r="D24" s="262" t="s">
        <v>473</v>
      </c>
      <c r="E24" s="271">
        <v>835</v>
      </c>
      <c r="F24" s="872">
        <f t="shared" si="0"/>
        <v>59863</v>
      </c>
      <c r="G24" s="272">
        <v>47625</v>
      </c>
      <c r="H24" s="272">
        <v>11891</v>
      </c>
      <c r="I24" s="272">
        <v>347</v>
      </c>
      <c r="J24" s="272"/>
      <c r="K24" s="272"/>
      <c r="L24" s="272"/>
      <c r="M24" s="272"/>
      <c r="N24" s="272"/>
      <c r="O24" s="273"/>
    </row>
    <row r="25" spans="1:15" ht="12.75" customHeight="1">
      <c r="A25" s="267"/>
      <c r="B25" s="274"/>
      <c r="C25" s="275"/>
      <c r="D25" s="262" t="s">
        <v>549</v>
      </c>
      <c r="E25" s="271">
        <v>0</v>
      </c>
      <c r="F25" s="872">
        <f t="shared" si="0"/>
        <v>59863</v>
      </c>
      <c r="G25" s="272">
        <v>47625</v>
      </c>
      <c r="H25" s="272">
        <v>11891</v>
      </c>
      <c r="I25" s="272">
        <v>347</v>
      </c>
      <c r="J25" s="272"/>
      <c r="K25" s="272"/>
      <c r="L25" s="272"/>
      <c r="M25" s="272"/>
      <c r="N25" s="272"/>
      <c r="O25" s="273"/>
    </row>
    <row r="26" spans="1:15" ht="12.75" customHeight="1">
      <c r="A26" s="267" t="s">
        <v>207</v>
      </c>
      <c r="B26" s="274">
        <v>841907</v>
      </c>
      <c r="C26" s="275" t="s">
        <v>313</v>
      </c>
      <c r="D26" s="270" t="s">
        <v>522</v>
      </c>
      <c r="E26" s="271"/>
      <c r="F26" s="872">
        <f t="shared" si="0"/>
        <v>0</v>
      </c>
      <c r="G26" s="272"/>
      <c r="H26" s="272"/>
      <c r="I26" s="272"/>
      <c r="J26" s="272"/>
      <c r="K26" s="272"/>
      <c r="L26" s="272"/>
      <c r="M26" s="272"/>
      <c r="N26" s="272"/>
      <c r="O26" s="273"/>
    </row>
    <row r="27" spans="1:15" ht="12.75" customHeight="1">
      <c r="A27" s="267"/>
      <c r="B27" s="274"/>
      <c r="C27" s="275"/>
      <c r="D27" s="262" t="s">
        <v>473</v>
      </c>
      <c r="E27" s="271">
        <v>473880</v>
      </c>
      <c r="F27" s="872">
        <f t="shared" si="0"/>
        <v>0</v>
      </c>
      <c r="G27" s="272"/>
      <c r="H27" s="272"/>
      <c r="I27" s="272"/>
      <c r="J27" s="272"/>
      <c r="K27" s="272"/>
      <c r="L27" s="272"/>
      <c r="M27" s="272"/>
      <c r="N27" s="272"/>
      <c r="O27" s="273"/>
    </row>
    <row r="28" spans="1:15" ht="12.75" customHeight="1">
      <c r="A28" s="267"/>
      <c r="B28" s="274"/>
      <c r="C28" s="275"/>
      <c r="D28" s="262" t="s">
        <v>549</v>
      </c>
      <c r="E28" s="271">
        <v>475157</v>
      </c>
      <c r="F28" s="872">
        <f t="shared" si="0"/>
        <v>0</v>
      </c>
      <c r="G28" s="272"/>
      <c r="H28" s="272"/>
      <c r="I28" s="272"/>
      <c r="J28" s="272"/>
      <c r="K28" s="272"/>
      <c r="L28" s="272"/>
      <c r="M28" s="272"/>
      <c r="N28" s="272"/>
      <c r="O28" s="273"/>
    </row>
    <row r="29" spans="1:15" ht="12.75" customHeight="1">
      <c r="A29" s="267" t="s">
        <v>195</v>
      </c>
      <c r="B29" s="274">
        <v>882129</v>
      </c>
      <c r="C29" s="275" t="s">
        <v>314</v>
      </c>
      <c r="D29" s="270" t="s">
        <v>522</v>
      </c>
      <c r="E29" s="271"/>
      <c r="F29" s="872">
        <f t="shared" si="0"/>
        <v>0</v>
      </c>
      <c r="G29" s="272"/>
      <c r="H29" s="272"/>
      <c r="I29" s="272"/>
      <c r="J29" s="272"/>
      <c r="K29" s="272"/>
      <c r="L29" s="272"/>
      <c r="M29" s="272"/>
      <c r="N29" s="272"/>
      <c r="O29" s="273"/>
    </row>
    <row r="30" spans="1:15" ht="12.75" customHeight="1">
      <c r="A30" s="267"/>
      <c r="B30" s="274"/>
      <c r="C30" s="275"/>
      <c r="D30" s="262" t="s">
        <v>473</v>
      </c>
      <c r="E30" s="271"/>
      <c r="F30" s="872">
        <f t="shared" si="0"/>
        <v>735</v>
      </c>
      <c r="G30" s="272"/>
      <c r="H30" s="272">
        <v>87</v>
      </c>
      <c r="I30" s="272">
        <v>648</v>
      </c>
      <c r="J30" s="272"/>
      <c r="K30" s="272"/>
      <c r="L30" s="272"/>
      <c r="M30" s="272"/>
      <c r="N30" s="272"/>
      <c r="O30" s="273"/>
    </row>
    <row r="31" spans="1:15" ht="12.75" customHeight="1">
      <c r="A31" s="267"/>
      <c r="B31" s="274"/>
      <c r="C31" s="275"/>
      <c r="D31" s="262" t="s">
        <v>549</v>
      </c>
      <c r="E31" s="271"/>
      <c r="F31" s="872">
        <f t="shared" si="0"/>
        <v>735</v>
      </c>
      <c r="G31" s="272"/>
      <c r="H31" s="272">
        <v>87</v>
      </c>
      <c r="I31" s="272">
        <v>648</v>
      </c>
      <c r="J31" s="272"/>
      <c r="K31" s="272"/>
      <c r="L31" s="272"/>
      <c r="M31" s="272"/>
      <c r="N31" s="272"/>
      <c r="O31" s="273"/>
    </row>
    <row r="32" spans="1:15" ht="12.75" customHeight="1">
      <c r="A32" s="267" t="s">
        <v>195</v>
      </c>
      <c r="B32" s="274">
        <v>889943</v>
      </c>
      <c r="C32" s="275" t="s">
        <v>315</v>
      </c>
      <c r="D32" s="270" t="s">
        <v>522</v>
      </c>
      <c r="E32" s="271"/>
      <c r="F32" s="872">
        <f t="shared" si="0"/>
        <v>0</v>
      </c>
      <c r="G32" s="272"/>
      <c r="H32" s="272"/>
      <c r="I32" s="272"/>
      <c r="J32" s="272"/>
      <c r="K32" s="272"/>
      <c r="L32" s="272"/>
      <c r="M32" s="272"/>
      <c r="N32" s="272"/>
      <c r="O32" s="273"/>
    </row>
    <row r="33" spans="1:15" ht="12.75" customHeight="1">
      <c r="A33" s="267"/>
      <c r="B33" s="274"/>
      <c r="C33" s="275"/>
      <c r="D33" s="262" t="s">
        <v>473</v>
      </c>
      <c r="E33" s="271">
        <v>1483</v>
      </c>
      <c r="F33" s="872">
        <f t="shared" si="0"/>
        <v>1200</v>
      </c>
      <c r="G33" s="272"/>
      <c r="H33" s="272"/>
      <c r="I33" s="272"/>
      <c r="J33" s="272"/>
      <c r="K33" s="272"/>
      <c r="L33" s="272"/>
      <c r="M33" s="272"/>
      <c r="N33" s="272">
        <v>1200</v>
      </c>
      <c r="O33" s="273"/>
    </row>
    <row r="34" spans="1:15" ht="12.75" customHeight="1">
      <c r="A34" s="267"/>
      <c r="B34" s="274"/>
      <c r="C34" s="275"/>
      <c r="D34" s="262" t="s">
        <v>549</v>
      </c>
      <c r="E34" s="271">
        <v>1483</v>
      </c>
      <c r="F34" s="872">
        <f t="shared" si="0"/>
        <v>1200</v>
      </c>
      <c r="G34" s="272"/>
      <c r="H34" s="272"/>
      <c r="I34" s="272"/>
      <c r="J34" s="272"/>
      <c r="K34" s="272"/>
      <c r="L34" s="272"/>
      <c r="M34" s="272"/>
      <c r="N34" s="272">
        <v>1200</v>
      </c>
      <c r="O34" s="273"/>
    </row>
    <row r="35" spans="1:15" s="279" customFormat="1" ht="12.75" customHeight="1">
      <c r="A35" s="270" t="s">
        <v>189</v>
      </c>
      <c r="B35" s="274">
        <v>882111</v>
      </c>
      <c r="C35" s="275" t="s">
        <v>259</v>
      </c>
      <c r="D35" s="270" t="s">
        <v>522</v>
      </c>
      <c r="E35" s="271"/>
      <c r="F35" s="872">
        <f t="shared" si="0"/>
        <v>0</v>
      </c>
      <c r="G35" s="276"/>
      <c r="H35" s="276"/>
      <c r="I35" s="276"/>
      <c r="J35" s="276"/>
      <c r="K35" s="276"/>
      <c r="L35" s="276"/>
      <c r="M35" s="276"/>
      <c r="N35" s="277"/>
      <c r="O35" s="278"/>
    </row>
    <row r="36" spans="1:15" s="279" customFormat="1" ht="12.75" customHeight="1">
      <c r="A36" s="270"/>
      <c r="B36" s="274"/>
      <c r="C36" s="275"/>
      <c r="D36" s="262" t="s">
        <v>473</v>
      </c>
      <c r="E36" s="271"/>
      <c r="F36" s="872">
        <f t="shared" si="0"/>
        <v>51658</v>
      </c>
      <c r="G36" s="276"/>
      <c r="H36" s="276"/>
      <c r="I36" s="276"/>
      <c r="J36" s="276"/>
      <c r="K36" s="276">
        <v>51658</v>
      </c>
      <c r="L36" s="276"/>
      <c r="M36" s="276"/>
      <c r="N36" s="277"/>
      <c r="O36" s="278"/>
    </row>
    <row r="37" spans="1:15" s="279" customFormat="1" ht="12.75" customHeight="1">
      <c r="A37" s="270"/>
      <c r="B37" s="274"/>
      <c r="C37" s="275"/>
      <c r="D37" s="262" t="s">
        <v>549</v>
      </c>
      <c r="E37" s="271"/>
      <c r="F37" s="872">
        <f t="shared" si="0"/>
        <v>51658</v>
      </c>
      <c r="G37" s="276"/>
      <c r="H37" s="276"/>
      <c r="I37" s="276"/>
      <c r="J37" s="276"/>
      <c r="K37" s="276">
        <v>51658</v>
      </c>
      <c r="L37" s="276"/>
      <c r="M37" s="276"/>
      <c r="N37" s="277"/>
      <c r="O37" s="278"/>
    </row>
    <row r="38" spans="1:15" s="279" customFormat="1" ht="12.75" customHeight="1">
      <c r="A38" s="270" t="s">
        <v>195</v>
      </c>
      <c r="B38" s="274">
        <v>882112</v>
      </c>
      <c r="C38" s="275" t="s">
        <v>24</v>
      </c>
      <c r="D38" s="270" t="s">
        <v>522</v>
      </c>
      <c r="E38" s="271"/>
      <c r="F38" s="872">
        <f t="shared" si="0"/>
        <v>0</v>
      </c>
      <c r="G38" s="276"/>
      <c r="H38" s="276"/>
      <c r="I38" s="276"/>
      <c r="J38" s="276"/>
      <c r="K38" s="276"/>
      <c r="L38" s="276"/>
      <c r="M38" s="276"/>
      <c r="N38" s="276"/>
      <c r="O38" s="278"/>
    </row>
    <row r="39" spans="1:15" s="279" customFormat="1" ht="12.75" customHeight="1">
      <c r="A39" s="270"/>
      <c r="B39" s="274"/>
      <c r="C39" s="275"/>
      <c r="D39" s="262" t="s">
        <v>473</v>
      </c>
      <c r="E39" s="271"/>
      <c r="F39" s="872">
        <f t="shared" si="0"/>
        <v>336</v>
      </c>
      <c r="G39" s="276"/>
      <c r="H39" s="276"/>
      <c r="I39" s="276"/>
      <c r="J39" s="276"/>
      <c r="K39" s="276">
        <v>336</v>
      </c>
      <c r="L39" s="276"/>
      <c r="M39" s="276"/>
      <c r="N39" s="276"/>
      <c r="O39" s="278"/>
    </row>
    <row r="40" spans="1:15" s="279" customFormat="1" ht="12.75" customHeight="1">
      <c r="A40" s="270"/>
      <c r="B40" s="274"/>
      <c r="C40" s="275"/>
      <c r="D40" s="262" t="s">
        <v>549</v>
      </c>
      <c r="E40" s="271"/>
      <c r="F40" s="872">
        <f t="shared" si="0"/>
        <v>336</v>
      </c>
      <c r="G40" s="276"/>
      <c r="H40" s="276"/>
      <c r="I40" s="276"/>
      <c r="J40" s="276"/>
      <c r="K40" s="276">
        <v>336</v>
      </c>
      <c r="L40" s="276"/>
      <c r="M40" s="276"/>
      <c r="N40" s="276"/>
      <c r="O40" s="278"/>
    </row>
    <row r="41" spans="1:15" s="279" customFormat="1" ht="12.75" customHeight="1">
      <c r="A41" s="270" t="s">
        <v>189</v>
      </c>
      <c r="B41" s="274">
        <v>882113</v>
      </c>
      <c r="C41" s="275" t="s">
        <v>25</v>
      </c>
      <c r="D41" s="270" t="s">
        <v>522</v>
      </c>
      <c r="E41" s="271"/>
      <c r="F41" s="872">
        <f t="shared" si="0"/>
        <v>0</v>
      </c>
      <c r="G41" s="276"/>
      <c r="H41" s="276"/>
      <c r="I41" s="276"/>
      <c r="J41" s="276"/>
      <c r="K41" s="276"/>
      <c r="L41" s="276"/>
      <c r="M41" s="276"/>
      <c r="N41" s="276"/>
      <c r="O41" s="278"/>
    </row>
    <row r="42" spans="1:15" s="279" customFormat="1" ht="12.75" customHeight="1">
      <c r="A42" s="270"/>
      <c r="B42" s="274"/>
      <c r="C42" s="275"/>
      <c r="D42" s="262" t="s">
        <v>473</v>
      </c>
      <c r="E42" s="271"/>
      <c r="F42" s="872">
        <f t="shared" si="0"/>
        <v>16618</v>
      </c>
      <c r="G42" s="276"/>
      <c r="H42" s="276"/>
      <c r="I42" s="276"/>
      <c r="J42" s="276"/>
      <c r="K42" s="276">
        <v>16618</v>
      </c>
      <c r="L42" s="276"/>
      <c r="M42" s="276"/>
      <c r="N42" s="276"/>
      <c r="O42" s="278"/>
    </row>
    <row r="43" spans="1:15" s="279" customFormat="1" ht="12.75" customHeight="1">
      <c r="A43" s="270"/>
      <c r="B43" s="274"/>
      <c r="C43" s="275"/>
      <c r="D43" s="262" t="s">
        <v>549</v>
      </c>
      <c r="E43" s="271"/>
      <c r="F43" s="872">
        <f t="shared" si="0"/>
        <v>16618</v>
      </c>
      <c r="G43" s="276"/>
      <c r="H43" s="276"/>
      <c r="I43" s="276"/>
      <c r="J43" s="276"/>
      <c r="K43" s="276">
        <v>16618</v>
      </c>
      <c r="L43" s="276"/>
      <c r="M43" s="276"/>
      <c r="N43" s="276"/>
      <c r="O43" s="278"/>
    </row>
    <row r="44" spans="1:15" s="279" customFormat="1" ht="12.75" customHeight="1">
      <c r="A44" s="270" t="s">
        <v>189</v>
      </c>
      <c r="B44" s="274">
        <v>882115</v>
      </c>
      <c r="C44" s="275" t="s">
        <v>316</v>
      </c>
      <c r="D44" s="270" t="s">
        <v>522</v>
      </c>
      <c r="E44" s="271"/>
      <c r="F44" s="872">
        <f t="shared" si="0"/>
        <v>0</v>
      </c>
      <c r="G44" s="276"/>
      <c r="H44" s="276"/>
      <c r="I44" s="276"/>
      <c r="J44" s="276"/>
      <c r="K44" s="276"/>
      <c r="L44" s="276"/>
      <c r="M44" s="276"/>
      <c r="N44" s="276"/>
      <c r="O44" s="278"/>
    </row>
    <row r="45" spans="1:15" s="279" customFormat="1" ht="12.75" customHeight="1">
      <c r="A45" s="270"/>
      <c r="B45" s="274"/>
      <c r="C45" s="275"/>
      <c r="D45" s="262" t="s">
        <v>473</v>
      </c>
      <c r="E45" s="271"/>
      <c r="F45" s="872">
        <f t="shared" si="0"/>
        <v>0</v>
      </c>
      <c r="G45" s="276"/>
      <c r="H45" s="276"/>
      <c r="I45" s="276"/>
      <c r="J45" s="276"/>
      <c r="K45" s="276"/>
      <c r="L45" s="276"/>
      <c r="M45" s="276"/>
      <c r="N45" s="276"/>
      <c r="O45" s="278"/>
    </row>
    <row r="46" spans="1:15" s="279" customFormat="1" ht="12.75" customHeight="1">
      <c r="A46" s="270"/>
      <c r="B46" s="274"/>
      <c r="C46" s="275"/>
      <c r="D46" s="262" t="s">
        <v>549</v>
      </c>
      <c r="E46" s="271"/>
      <c r="F46" s="872">
        <f t="shared" si="0"/>
        <v>0</v>
      </c>
      <c r="G46" s="276"/>
      <c r="H46" s="276"/>
      <c r="I46" s="276"/>
      <c r="J46" s="276"/>
      <c r="K46" s="276"/>
      <c r="L46" s="276"/>
      <c r="M46" s="276"/>
      <c r="N46" s="276"/>
      <c r="O46" s="278"/>
    </row>
    <row r="47" spans="1:15" s="279" customFormat="1" ht="12.75" customHeight="1">
      <c r="A47" s="270" t="s">
        <v>189</v>
      </c>
      <c r="B47" s="274">
        <v>882119</v>
      </c>
      <c r="C47" s="275" t="s">
        <v>34</v>
      </c>
      <c r="D47" s="270" t="s">
        <v>522</v>
      </c>
      <c r="E47" s="271"/>
      <c r="F47" s="872">
        <f t="shared" si="0"/>
        <v>0</v>
      </c>
      <c r="G47" s="276"/>
      <c r="H47" s="276"/>
      <c r="I47" s="276"/>
      <c r="J47" s="276"/>
      <c r="K47" s="276"/>
      <c r="L47" s="276"/>
      <c r="M47" s="276"/>
      <c r="N47" s="276"/>
      <c r="O47" s="278"/>
    </row>
    <row r="48" spans="1:15" s="279" customFormat="1" ht="12.75" customHeight="1">
      <c r="A48" s="270"/>
      <c r="B48" s="274"/>
      <c r="C48" s="275"/>
      <c r="D48" s="262" t="s">
        <v>473</v>
      </c>
      <c r="E48" s="293"/>
      <c r="F48" s="872">
        <f t="shared" si="0"/>
        <v>0</v>
      </c>
      <c r="G48" s="295"/>
      <c r="H48" s="295"/>
      <c r="I48" s="295"/>
      <c r="J48" s="295"/>
      <c r="K48" s="295"/>
      <c r="L48" s="295"/>
      <c r="M48" s="295"/>
      <c r="N48" s="295"/>
      <c r="O48" s="296"/>
    </row>
    <row r="49" spans="1:15" s="279" customFormat="1" ht="12.75" customHeight="1">
      <c r="A49" s="270"/>
      <c r="B49" s="274"/>
      <c r="C49" s="275"/>
      <c r="D49" s="262" t="s">
        <v>549</v>
      </c>
      <c r="E49" s="293"/>
      <c r="F49" s="872">
        <f t="shared" si="0"/>
        <v>0</v>
      </c>
      <c r="G49" s="295"/>
      <c r="H49" s="295"/>
      <c r="I49" s="295"/>
      <c r="J49" s="295"/>
      <c r="K49" s="295"/>
      <c r="L49" s="295"/>
      <c r="M49" s="295"/>
      <c r="N49" s="295"/>
      <c r="O49" s="296"/>
    </row>
    <row r="50" spans="1:15" s="279" customFormat="1" ht="12.75" customHeight="1">
      <c r="A50" s="267" t="s">
        <v>207</v>
      </c>
      <c r="B50" s="274">
        <v>882201</v>
      </c>
      <c r="C50" s="275" t="s">
        <v>26</v>
      </c>
      <c r="D50" s="270" t="s">
        <v>522</v>
      </c>
      <c r="E50" s="293"/>
      <c r="F50" s="872">
        <f t="shared" si="0"/>
        <v>0</v>
      </c>
      <c r="G50" s="295"/>
      <c r="H50" s="295"/>
      <c r="I50" s="295"/>
      <c r="J50" s="295"/>
      <c r="K50" s="295"/>
      <c r="L50" s="295"/>
      <c r="M50" s="295"/>
      <c r="N50" s="295"/>
      <c r="O50" s="296"/>
    </row>
    <row r="51" spans="1:15" s="279" customFormat="1" ht="12.75" customHeight="1">
      <c r="A51" s="270"/>
      <c r="B51" s="274"/>
      <c r="C51" s="275"/>
      <c r="D51" s="262" t="s">
        <v>473</v>
      </c>
      <c r="E51" s="293"/>
      <c r="F51" s="872">
        <f t="shared" si="0"/>
        <v>7475</v>
      </c>
      <c r="G51" s="295"/>
      <c r="H51" s="295"/>
      <c r="I51" s="295"/>
      <c r="J51" s="295"/>
      <c r="K51" s="295">
        <v>7475</v>
      </c>
      <c r="L51" s="295"/>
      <c r="M51" s="295"/>
      <c r="N51" s="295"/>
      <c r="O51" s="296"/>
    </row>
    <row r="52" spans="1:15" s="279" customFormat="1" ht="12.75" customHeight="1">
      <c r="A52" s="270"/>
      <c r="B52" s="274"/>
      <c r="C52" s="275"/>
      <c r="D52" s="262" t="s">
        <v>549</v>
      </c>
      <c r="E52" s="293"/>
      <c r="F52" s="872">
        <f t="shared" si="0"/>
        <v>7475</v>
      </c>
      <c r="G52" s="295"/>
      <c r="H52" s="295"/>
      <c r="I52" s="295"/>
      <c r="J52" s="295"/>
      <c r="K52" s="295">
        <v>7475</v>
      </c>
      <c r="L52" s="295"/>
      <c r="M52" s="295"/>
      <c r="N52" s="295"/>
      <c r="O52" s="296"/>
    </row>
    <row r="53" spans="1:15" ht="12.75" customHeight="1">
      <c r="A53" s="267" t="s">
        <v>207</v>
      </c>
      <c r="B53" s="274">
        <v>960900</v>
      </c>
      <c r="C53" s="275" t="s">
        <v>317</v>
      </c>
      <c r="D53" s="270" t="s">
        <v>522</v>
      </c>
      <c r="E53" s="293"/>
      <c r="F53" s="872">
        <f t="shared" si="0"/>
        <v>0</v>
      </c>
      <c r="G53" s="295"/>
      <c r="H53" s="295"/>
      <c r="I53" s="295"/>
      <c r="J53" s="295"/>
      <c r="K53" s="293"/>
      <c r="L53" s="293"/>
      <c r="M53" s="295"/>
      <c r="N53" s="295"/>
      <c r="O53" s="296"/>
    </row>
    <row r="54" spans="1:15" ht="12.75" customHeight="1">
      <c r="A54" s="670"/>
      <c r="B54" s="671"/>
      <c r="C54" s="672"/>
      <c r="D54" s="262" t="s">
        <v>473</v>
      </c>
      <c r="E54" s="298">
        <v>3527</v>
      </c>
      <c r="F54" s="872">
        <f t="shared" si="0"/>
        <v>3706</v>
      </c>
      <c r="G54" s="299">
        <v>1525</v>
      </c>
      <c r="H54" s="299">
        <v>706</v>
      </c>
      <c r="I54" s="299">
        <v>1475</v>
      </c>
      <c r="J54" s="299"/>
      <c r="K54" s="297"/>
      <c r="L54" s="297"/>
      <c r="M54" s="299"/>
      <c r="N54" s="299"/>
      <c r="O54" s="358"/>
    </row>
    <row r="55" spans="1:15" ht="12.75" customHeight="1">
      <c r="A55" s="670"/>
      <c r="B55" s="671"/>
      <c r="C55" s="672"/>
      <c r="D55" s="262" t="s">
        <v>549</v>
      </c>
      <c r="E55" s="298">
        <v>3527</v>
      </c>
      <c r="F55" s="872">
        <f t="shared" si="0"/>
        <v>3706</v>
      </c>
      <c r="G55" s="299">
        <v>1525</v>
      </c>
      <c r="H55" s="299">
        <v>706</v>
      </c>
      <c r="I55" s="299">
        <v>1475</v>
      </c>
      <c r="J55" s="299"/>
      <c r="K55" s="297"/>
      <c r="L55" s="297"/>
      <c r="M55" s="299"/>
      <c r="N55" s="299"/>
      <c r="O55" s="358"/>
    </row>
    <row r="56" spans="1:15" ht="12.75" customHeight="1">
      <c r="A56" s="1239" t="s">
        <v>340</v>
      </c>
      <c r="B56" s="1240"/>
      <c r="C56" s="1241"/>
      <c r="D56" s="284" t="s">
        <v>522</v>
      </c>
      <c r="E56" s="297">
        <f>SUM(E11+E14+E17+E20+E23+E26+E29+E32+E35+E38+E41+E44+E47+E50+E53)</f>
        <v>0</v>
      </c>
      <c r="F56" s="872">
        <f t="shared" si="0"/>
        <v>0</v>
      </c>
      <c r="G56" s="297">
        <f aca="true" t="shared" si="1" ref="G56:O56">SUM(G11+G14+G17+G20+G23+G26+G29+G32+G35+G38+G41+G44+G47+G50+G53)</f>
        <v>0</v>
      </c>
      <c r="H56" s="297">
        <f t="shared" si="1"/>
        <v>0</v>
      </c>
      <c r="I56" s="297">
        <f t="shared" si="1"/>
        <v>0</v>
      </c>
      <c r="J56" s="297">
        <f t="shared" si="1"/>
        <v>0</v>
      </c>
      <c r="K56" s="297">
        <f t="shared" si="1"/>
        <v>0</v>
      </c>
      <c r="L56" s="297">
        <f t="shared" si="1"/>
        <v>0</v>
      </c>
      <c r="M56" s="297">
        <f t="shared" si="1"/>
        <v>0</v>
      </c>
      <c r="N56" s="297">
        <f t="shared" si="1"/>
        <v>0</v>
      </c>
      <c r="O56" s="354">
        <f t="shared" si="1"/>
        <v>0</v>
      </c>
    </row>
    <row r="57" spans="1:15" ht="12.75" customHeight="1">
      <c r="A57" s="1242"/>
      <c r="B57" s="1243"/>
      <c r="C57" s="1244"/>
      <c r="D57" s="285" t="s">
        <v>473</v>
      </c>
      <c r="E57" s="293">
        <f>SUM(E12+E15+E18+E21+E24+E27+E30+E33+E36+E39+E42+E45+E48+E51+E54)</f>
        <v>492946</v>
      </c>
      <c r="F57" s="872">
        <f t="shared" si="0"/>
        <v>492946</v>
      </c>
      <c r="G57" s="293">
        <f aca="true" t="shared" si="2" ref="G57:O58">SUM(G12+G15+G18+G21+G24+G27+G30+G33+G36+G39+G42+G45+G48+G51+G54)</f>
        <v>235084</v>
      </c>
      <c r="H57" s="293">
        <f t="shared" si="2"/>
        <v>57761</v>
      </c>
      <c r="I57" s="293">
        <f t="shared" si="2"/>
        <v>109435</v>
      </c>
      <c r="J57" s="293">
        <f t="shared" si="2"/>
        <v>7769</v>
      </c>
      <c r="K57" s="293">
        <f t="shared" si="2"/>
        <v>76087</v>
      </c>
      <c r="L57" s="293">
        <f t="shared" si="2"/>
        <v>0</v>
      </c>
      <c r="M57" s="293">
        <f t="shared" si="2"/>
        <v>5610</v>
      </c>
      <c r="N57" s="293">
        <f t="shared" si="2"/>
        <v>1200</v>
      </c>
      <c r="O57" s="359">
        <f t="shared" si="2"/>
        <v>0</v>
      </c>
    </row>
    <row r="58" spans="1:15" ht="12.75" customHeight="1" thickBot="1">
      <c r="A58" s="1245"/>
      <c r="B58" s="1246"/>
      <c r="C58" s="1247"/>
      <c r="D58" s="927" t="s">
        <v>549</v>
      </c>
      <c r="E58" s="877">
        <f>SUM(E13+E16+E19+E22+E25+E28+E31+E34+E37+E40+E43+E46+E49+E52+E55)</f>
        <v>493906</v>
      </c>
      <c r="F58" s="871">
        <f t="shared" si="0"/>
        <v>493906</v>
      </c>
      <c r="G58" s="877">
        <f t="shared" si="2"/>
        <v>235840</v>
      </c>
      <c r="H58" s="877">
        <f t="shared" si="2"/>
        <v>57965</v>
      </c>
      <c r="I58" s="877">
        <f t="shared" si="2"/>
        <v>109435</v>
      </c>
      <c r="J58" s="877">
        <f t="shared" si="2"/>
        <v>7769</v>
      </c>
      <c r="K58" s="877">
        <f t="shared" si="2"/>
        <v>76087</v>
      </c>
      <c r="L58" s="877">
        <f t="shared" si="2"/>
        <v>0</v>
      </c>
      <c r="M58" s="877">
        <f t="shared" si="2"/>
        <v>5610</v>
      </c>
      <c r="N58" s="877">
        <f t="shared" si="2"/>
        <v>1200</v>
      </c>
      <c r="O58" s="878">
        <f t="shared" si="2"/>
        <v>0</v>
      </c>
    </row>
    <row r="59" spans="1:15" s="326" customFormat="1" ht="12.75" customHeight="1">
      <c r="A59" s="1084"/>
      <c r="B59" s="1085"/>
      <c r="C59" s="1085"/>
      <c r="D59" s="1086"/>
      <c r="E59" s="1087"/>
      <c r="F59" s="1087"/>
      <c r="G59" s="1087"/>
      <c r="H59" s="1087"/>
      <c r="I59" s="1087"/>
      <c r="J59" s="1087"/>
      <c r="K59" s="1087"/>
      <c r="L59" s="1087"/>
      <c r="M59" s="1087"/>
      <c r="N59" s="1087"/>
      <c r="O59" s="1087"/>
    </row>
    <row r="60" spans="1:15" ht="12.75" customHeight="1" thickBot="1">
      <c r="A60" s="801"/>
      <c r="B60" s="799"/>
      <c r="C60" s="799"/>
      <c r="D60" s="802"/>
      <c r="E60" s="803"/>
      <c r="F60" s="803"/>
      <c r="G60" s="803"/>
      <c r="H60" s="803"/>
      <c r="I60" s="803"/>
      <c r="J60" s="803"/>
      <c r="K60" s="803"/>
      <c r="L60" s="803"/>
      <c r="M60" s="803"/>
      <c r="N60" s="803"/>
      <c r="O60" s="803"/>
    </row>
    <row r="61" spans="1:15" ht="12.75" customHeight="1" thickBot="1">
      <c r="A61" s="1191"/>
      <c r="B61" s="1172" t="s">
        <v>789</v>
      </c>
      <c r="C61" s="1173"/>
      <c r="D61" s="1173"/>
      <c r="E61" s="1178" t="s">
        <v>179</v>
      </c>
      <c r="F61" s="1181" t="s">
        <v>180</v>
      </c>
      <c r="G61" s="1123" t="s">
        <v>722</v>
      </c>
      <c r="H61" s="1123"/>
      <c r="I61" s="1123"/>
      <c r="J61" s="1123"/>
      <c r="K61" s="1123"/>
      <c r="L61" s="1123" t="s">
        <v>723</v>
      </c>
      <c r="M61" s="1123"/>
      <c r="N61" s="1131" t="s">
        <v>181</v>
      </c>
      <c r="O61" s="1194" t="s">
        <v>182</v>
      </c>
    </row>
    <row r="62" spans="1:15" ht="12.75" customHeight="1" thickBot="1" thickTop="1">
      <c r="A62" s="1192"/>
      <c r="B62" s="1174"/>
      <c r="C62" s="1175"/>
      <c r="D62" s="1175"/>
      <c r="E62" s="1179"/>
      <c r="F62" s="1182"/>
      <c r="G62" s="1136" t="s">
        <v>184</v>
      </c>
      <c r="H62" s="1136" t="s">
        <v>185</v>
      </c>
      <c r="I62" s="1136" t="s">
        <v>186</v>
      </c>
      <c r="J62" s="1136" t="s">
        <v>187</v>
      </c>
      <c r="K62" s="1136" t="s">
        <v>188</v>
      </c>
      <c r="L62" s="1138" t="s">
        <v>682</v>
      </c>
      <c r="M62" s="1138" t="s">
        <v>680</v>
      </c>
      <c r="N62" s="1125"/>
      <c r="O62" s="1195"/>
    </row>
    <row r="63" spans="1:15" ht="12.75" customHeight="1" thickBot="1" thickTop="1">
      <c r="A63" s="1193"/>
      <c r="B63" s="1176"/>
      <c r="C63" s="1177"/>
      <c r="D63" s="1177"/>
      <c r="E63" s="1180"/>
      <c r="F63" s="1183"/>
      <c r="G63" s="1137"/>
      <c r="H63" s="1137"/>
      <c r="I63" s="1137"/>
      <c r="J63" s="1137"/>
      <c r="K63" s="1137"/>
      <c r="L63" s="1139"/>
      <c r="M63" s="1139"/>
      <c r="N63" s="1122"/>
      <c r="O63" s="1196"/>
    </row>
    <row r="64" spans="1:15" ht="12.75" customHeight="1">
      <c r="A64" s="1251" t="s">
        <v>327</v>
      </c>
      <c r="B64" s="1252"/>
      <c r="C64" s="1253"/>
      <c r="D64" s="262"/>
      <c r="E64" s="300"/>
      <c r="F64" s="306">
        <f>SUM(G64:O64)</f>
        <v>0</v>
      </c>
      <c r="G64" s="302"/>
      <c r="H64" s="302"/>
      <c r="I64" s="302"/>
      <c r="J64" s="302"/>
      <c r="K64" s="302"/>
      <c r="L64" s="301"/>
      <c r="M64" s="301"/>
      <c r="N64" s="302"/>
      <c r="O64" s="303"/>
    </row>
    <row r="65" spans="1:15" ht="12.75" customHeight="1">
      <c r="A65" s="267" t="s">
        <v>189</v>
      </c>
      <c r="B65" s="260">
        <v>841126</v>
      </c>
      <c r="C65" s="261" t="s">
        <v>328</v>
      </c>
      <c r="D65" s="262" t="s">
        <v>473</v>
      </c>
      <c r="E65" s="304">
        <v>3052</v>
      </c>
      <c r="F65" s="294">
        <f>SUM(G65:O65)</f>
        <v>18128</v>
      </c>
      <c r="G65" s="709">
        <v>11817</v>
      </c>
      <c r="H65" s="709">
        <v>3023</v>
      </c>
      <c r="I65" s="709">
        <v>3288</v>
      </c>
      <c r="J65" s="710"/>
      <c r="K65" s="710"/>
      <c r="L65" s="293"/>
      <c r="M65" s="293"/>
      <c r="N65" s="710"/>
      <c r="O65" s="305"/>
    </row>
    <row r="66" spans="1:15" ht="12.75" customHeight="1">
      <c r="A66" s="267"/>
      <c r="B66" s="260"/>
      <c r="C66" s="261"/>
      <c r="D66" s="262" t="s">
        <v>549</v>
      </c>
      <c r="E66" s="304">
        <v>15385</v>
      </c>
      <c r="F66" s="294">
        <f aca="true" t="shared" si="3" ref="F66:F76">SUM(G66:O66)</f>
        <v>21276</v>
      </c>
      <c r="G66" s="709">
        <v>14295</v>
      </c>
      <c r="H66" s="709">
        <v>3693</v>
      </c>
      <c r="I66" s="709">
        <v>3288</v>
      </c>
      <c r="J66" s="710"/>
      <c r="K66" s="710"/>
      <c r="L66" s="293"/>
      <c r="M66" s="293"/>
      <c r="N66" s="710"/>
      <c r="O66" s="305"/>
    </row>
    <row r="67" spans="1:15" ht="12.75" customHeight="1">
      <c r="A67" s="267" t="s">
        <v>189</v>
      </c>
      <c r="B67" s="260">
        <v>882111</v>
      </c>
      <c r="C67" s="261" t="s">
        <v>330</v>
      </c>
      <c r="D67" s="262" t="s">
        <v>473</v>
      </c>
      <c r="E67" s="304">
        <v>1728</v>
      </c>
      <c r="F67" s="294">
        <f t="shared" si="3"/>
        <v>1920</v>
      </c>
      <c r="G67" s="710"/>
      <c r="H67" s="710"/>
      <c r="I67" s="709"/>
      <c r="J67" s="710"/>
      <c r="K67" s="709">
        <v>1920</v>
      </c>
      <c r="L67" s="293"/>
      <c r="M67" s="293"/>
      <c r="N67" s="710"/>
      <c r="O67" s="305"/>
    </row>
    <row r="68" spans="1:15" ht="12.75" customHeight="1">
      <c r="A68" s="267"/>
      <c r="B68" s="260"/>
      <c r="C68" s="261"/>
      <c r="D68" s="262" t="s">
        <v>549</v>
      </c>
      <c r="E68" s="304">
        <v>1728</v>
      </c>
      <c r="F68" s="294">
        <f t="shared" si="3"/>
        <v>1920</v>
      </c>
      <c r="G68" s="710"/>
      <c r="H68" s="710"/>
      <c r="I68" s="709"/>
      <c r="J68" s="710"/>
      <c r="K68" s="709">
        <v>1920</v>
      </c>
      <c r="L68" s="293"/>
      <c r="M68" s="293"/>
      <c r="N68" s="710"/>
      <c r="O68" s="305"/>
    </row>
    <row r="69" spans="1:15" ht="12.75" customHeight="1">
      <c r="A69" s="267" t="s">
        <v>189</v>
      </c>
      <c r="B69" s="268" t="s">
        <v>332</v>
      </c>
      <c r="C69" s="269" t="s">
        <v>333</v>
      </c>
      <c r="D69" s="262" t="s">
        <v>473</v>
      </c>
      <c r="E69" s="293">
        <v>185</v>
      </c>
      <c r="F69" s="294">
        <f t="shared" si="3"/>
        <v>205</v>
      </c>
      <c r="G69" s="295"/>
      <c r="H69" s="295"/>
      <c r="I69" s="295"/>
      <c r="J69" s="295"/>
      <c r="K69" s="295">
        <v>205</v>
      </c>
      <c r="L69" s="295"/>
      <c r="M69" s="295"/>
      <c r="N69" s="295"/>
      <c r="O69" s="296"/>
    </row>
    <row r="70" spans="1:15" ht="12.75" customHeight="1">
      <c r="A70" s="267"/>
      <c r="B70" s="268"/>
      <c r="C70" s="269"/>
      <c r="D70" s="262" t="s">
        <v>549</v>
      </c>
      <c r="E70" s="293">
        <v>185</v>
      </c>
      <c r="F70" s="294">
        <f t="shared" si="3"/>
        <v>205</v>
      </c>
      <c r="G70" s="295"/>
      <c r="H70" s="295"/>
      <c r="I70" s="295"/>
      <c r="J70" s="295"/>
      <c r="K70" s="295">
        <v>205</v>
      </c>
      <c r="L70" s="295"/>
      <c r="M70" s="295"/>
      <c r="N70" s="295"/>
      <c r="O70" s="296"/>
    </row>
    <row r="71" spans="1:15" ht="12.75" customHeight="1">
      <c r="A71" s="267" t="s">
        <v>189</v>
      </c>
      <c r="B71" s="286" t="s">
        <v>331</v>
      </c>
      <c r="C71" s="275" t="s">
        <v>25</v>
      </c>
      <c r="D71" s="262" t="s">
        <v>473</v>
      </c>
      <c r="E71" s="293">
        <v>401</v>
      </c>
      <c r="F71" s="294">
        <f t="shared" si="3"/>
        <v>446</v>
      </c>
      <c r="G71" s="295"/>
      <c r="H71" s="295"/>
      <c r="I71" s="295"/>
      <c r="J71" s="295"/>
      <c r="K71" s="295">
        <v>446</v>
      </c>
      <c r="L71" s="295"/>
      <c r="M71" s="295"/>
      <c r="N71" s="295"/>
      <c r="O71" s="296"/>
    </row>
    <row r="72" spans="1:15" ht="12.75" customHeight="1">
      <c r="A72" s="670"/>
      <c r="B72" s="797"/>
      <c r="C72" s="798"/>
      <c r="D72" s="262" t="s">
        <v>549</v>
      </c>
      <c r="E72" s="293">
        <v>401</v>
      </c>
      <c r="F72" s="294">
        <f t="shared" si="3"/>
        <v>446</v>
      </c>
      <c r="G72" s="295"/>
      <c r="H72" s="295"/>
      <c r="I72" s="295"/>
      <c r="J72" s="295"/>
      <c r="K72" s="295">
        <v>446</v>
      </c>
      <c r="L72" s="295"/>
      <c r="M72" s="295"/>
      <c r="N72" s="295"/>
      <c r="O72" s="296"/>
    </row>
    <row r="73" spans="1:15" ht="12.75" customHeight="1">
      <c r="A73" s="670" t="s">
        <v>189</v>
      </c>
      <c r="B73" s="707" t="s">
        <v>379</v>
      </c>
      <c r="C73" s="706" t="s">
        <v>225</v>
      </c>
      <c r="D73" s="262" t="s">
        <v>473</v>
      </c>
      <c r="E73" s="293">
        <v>15333</v>
      </c>
      <c r="F73" s="294">
        <f t="shared" si="3"/>
        <v>0</v>
      </c>
      <c r="G73" s="295"/>
      <c r="H73" s="295"/>
      <c r="I73" s="295"/>
      <c r="J73" s="295"/>
      <c r="K73" s="295"/>
      <c r="L73" s="295"/>
      <c r="M73" s="295"/>
      <c r="N73" s="295"/>
      <c r="O73" s="296"/>
    </row>
    <row r="74" spans="1:15" ht="12.75" customHeight="1">
      <c r="A74" s="670"/>
      <c r="B74" s="797"/>
      <c r="C74" s="706"/>
      <c r="D74" s="262" t="s">
        <v>549</v>
      </c>
      <c r="E74" s="293">
        <v>6148</v>
      </c>
      <c r="F74" s="294">
        <f t="shared" si="3"/>
        <v>0</v>
      </c>
      <c r="G74" s="295"/>
      <c r="H74" s="295"/>
      <c r="I74" s="295"/>
      <c r="J74" s="295"/>
      <c r="K74" s="295"/>
      <c r="L74" s="295"/>
      <c r="M74" s="295"/>
      <c r="N74" s="295"/>
      <c r="O74" s="296"/>
    </row>
    <row r="75" spans="1:15" ht="12.75" customHeight="1">
      <c r="A75" s="1233" t="s">
        <v>336</v>
      </c>
      <c r="B75" s="1234"/>
      <c r="C75" s="1235"/>
      <c r="D75" s="285" t="s">
        <v>473</v>
      </c>
      <c r="E75" s="293">
        <f>SUM(E65+E67+E69+E71+E73)</f>
        <v>20699</v>
      </c>
      <c r="F75" s="294">
        <f t="shared" si="3"/>
        <v>20699</v>
      </c>
      <c r="G75" s="293">
        <f aca="true" t="shared" si="4" ref="G75:O76">SUM(G65+G67+G69+G71+G73)</f>
        <v>11817</v>
      </c>
      <c r="H75" s="293">
        <f t="shared" si="4"/>
        <v>3023</v>
      </c>
      <c r="I75" s="293">
        <f t="shared" si="4"/>
        <v>3288</v>
      </c>
      <c r="J75" s="293">
        <f t="shared" si="4"/>
        <v>0</v>
      </c>
      <c r="K75" s="293">
        <f t="shared" si="4"/>
        <v>2571</v>
      </c>
      <c r="L75" s="293">
        <f t="shared" si="4"/>
        <v>0</v>
      </c>
      <c r="M75" s="293">
        <f t="shared" si="4"/>
        <v>0</v>
      </c>
      <c r="N75" s="293">
        <f t="shared" si="4"/>
        <v>0</v>
      </c>
      <c r="O75" s="359">
        <f t="shared" si="4"/>
        <v>0</v>
      </c>
    </row>
    <row r="76" spans="1:15" ht="12.75" customHeight="1">
      <c r="A76" s="1233"/>
      <c r="B76" s="1254"/>
      <c r="C76" s="1255"/>
      <c r="D76" s="926" t="s">
        <v>549</v>
      </c>
      <c r="E76" s="293">
        <f>SUM(E66+E68+E70+E72+E74)</f>
        <v>23847</v>
      </c>
      <c r="F76" s="294">
        <f t="shared" si="3"/>
        <v>23847</v>
      </c>
      <c r="G76" s="293">
        <f t="shared" si="4"/>
        <v>14295</v>
      </c>
      <c r="H76" s="293">
        <f t="shared" si="4"/>
        <v>3693</v>
      </c>
      <c r="I76" s="293">
        <f t="shared" si="4"/>
        <v>3288</v>
      </c>
      <c r="J76" s="293">
        <f t="shared" si="4"/>
        <v>0</v>
      </c>
      <c r="K76" s="293">
        <f t="shared" si="4"/>
        <v>2571</v>
      </c>
      <c r="L76" s="293">
        <f t="shared" si="4"/>
        <v>0</v>
      </c>
      <c r="M76" s="293">
        <f t="shared" si="4"/>
        <v>0</v>
      </c>
      <c r="N76" s="293">
        <f t="shared" si="4"/>
        <v>0</v>
      </c>
      <c r="O76" s="359">
        <f t="shared" si="4"/>
        <v>0</v>
      </c>
    </row>
    <row r="77" spans="1:15" ht="12.75" customHeight="1">
      <c r="A77" s="1248"/>
      <c r="B77" s="1249"/>
      <c r="C77" s="1250"/>
      <c r="D77" s="270"/>
      <c r="E77" s="293"/>
      <c r="F77" s="294"/>
      <c r="G77" s="295"/>
      <c r="H77" s="295"/>
      <c r="I77" s="295"/>
      <c r="J77" s="295"/>
      <c r="K77" s="295"/>
      <c r="L77" s="295"/>
      <c r="M77" s="295"/>
      <c r="N77" s="295"/>
      <c r="O77" s="296"/>
    </row>
    <row r="78" spans="1:15" ht="12.75" customHeight="1">
      <c r="A78" s="1233" t="s">
        <v>334</v>
      </c>
      <c r="B78" s="1234"/>
      <c r="C78" s="1235"/>
      <c r="D78" s="270"/>
      <c r="E78" s="293"/>
      <c r="F78" s="294"/>
      <c r="G78" s="295"/>
      <c r="H78" s="295"/>
      <c r="I78" s="295"/>
      <c r="J78" s="295"/>
      <c r="K78" s="295"/>
      <c r="L78" s="295"/>
      <c r="M78" s="295"/>
      <c r="N78" s="295"/>
      <c r="O78" s="296"/>
    </row>
    <row r="79" spans="1:15" ht="12.75" customHeight="1">
      <c r="A79" s="267" t="s">
        <v>189</v>
      </c>
      <c r="B79" s="286" t="s">
        <v>335</v>
      </c>
      <c r="C79" s="275" t="s">
        <v>328</v>
      </c>
      <c r="D79" s="262" t="s">
        <v>473</v>
      </c>
      <c r="E79" s="293">
        <v>707</v>
      </c>
      <c r="F79" s="294">
        <f aca="true" t="shared" si="5" ref="F79:F90">SUM(G79:O79)</f>
        <v>17082</v>
      </c>
      <c r="G79" s="299">
        <v>10232</v>
      </c>
      <c r="H79" s="295">
        <v>2675</v>
      </c>
      <c r="I79" s="295">
        <v>4175</v>
      </c>
      <c r="J79" s="295"/>
      <c r="K79" s="295"/>
      <c r="L79" s="295"/>
      <c r="M79" s="295"/>
      <c r="N79" s="295"/>
      <c r="O79" s="296"/>
    </row>
    <row r="80" spans="1:15" ht="12.75" customHeight="1">
      <c r="A80" s="267"/>
      <c r="B80" s="286"/>
      <c r="C80" s="275"/>
      <c r="D80" s="262" t="s">
        <v>549</v>
      </c>
      <c r="E80" s="293">
        <v>10797</v>
      </c>
      <c r="F80" s="294">
        <f t="shared" si="5"/>
        <v>17211</v>
      </c>
      <c r="G80" s="299">
        <v>10333</v>
      </c>
      <c r="H80" s="295">
        <v>2703</v>
      </c>
      <c r="I80" s="295">
        <v>4175</v>
      </c>
      <c r="J80" s="295"/>
      <c r="K80" s="295"/>
      <c r="L80" s="295"/>
      <c r="M80" s="295"/>
      <c r="N80" s="295"/>
      <c r="O80" s="296"/>
    </row>
    <row r="81" spans="1:15" ht="12.75" customHeight="1">
      <c r="A81" s="267" t="s">
        <v>189</v>
      </c>
      <c r="B81" s="274">
        <v>882111</v>
      </c>
      <c r="C81" s="287" t="s">
        <v>330</v>
      </c>
      <c r="D81" s="262" t="s">
        <v>473</v>
      </c>
      <c r="E81" s="293">
        <v>1193</v>
      </c>
      <c r="F81" s="294">
        <f t="shared" si="5"/>
        <v>1326</v>
      </c>
      <c r="G81" s="295"/>
      <c r="H81" s="295"/>
      <c r="I81" s="295"/>
      <c r="J81" s="295"/>
      <c r="K81" s="295">
        <v>1326</v>
      </c>
      <c r="L81" s="295"/>
      <c r="M81" s="295"/>
      <c r="N81" s="295"/>
      <c r="O81" s="296"/>
    </row>
    <row r="82" spans="1:15" ht="12.75" customHeight="1">
      <c r="A82" s="267"/>
      <c r="B82" s="274"/>
      <c r="C82" s="287"/>
      <c r="D82" s="262" t="s">
        <v>549</v>
      </c>
      <c r="E82" s="293">
        <v>1193</v>
      </c>
      <c r="F82" s="294">
        <f t="shared" si="5"/>
        <v>1326</v>
      </c>
      <c r="G82" s="295"/>
      <c r="H82" s="295"/>
      <c r="I82" s="295"/>
      <c r="J82" s="295"/>
      <c r="K82" s="295">
        <v>1326</v>
      </c>
      <c r="L82" s="295"/>
      <c r="M82" s="295"/>
      <c r="N82" s="295"/>
      <c r="O82" s="296"/>
    </row>
    <row r="83" spans="1:15" ht="12.75" customHeight="1">
      <c r="A83" s="267" t="s">
        <v>189</v>
      </c>
      <c r="B83" s="274">
        <v>882113</v>
      </c>
      <c r="C83" s="287" t="s">
        <v>25</v>
      </c>
      <c r="D83" s="262" t="s">
        <v>473</v>
      </c>
      <c r="E83" s="293">
        <v>90</v>
      </c>
      <c r="F83" s="294">
        <f t="shared" si="5"/>
        <v>100</v>
      </c>
      <c r="G83" s="295"/>
      <c r="H83" s="295"/>
      <c r="I83" s="295"/>
      <c r="J83" s="295"/>
      <c r="K83" s="295">
        <v>100</v>
      </c>
      <c r="L83" s="295"/>
      <c r="M83" s="295"/>
      <c r="N83" s="295"/>
      <c r="O83" s="296"/>
    </row>
    <row r="84" spans="1:15" ht="12.75" customHeight="1">
      <c r="A84" s="267"/>
      <c r="B84" s="274"/>
      <c r="C84" s="287"/>
      <c r="D84" s="262" t="s">
        <v>549</v>
      </c>
      <c r="E84" s="293">
        <v>90</v>
      </c>
      <c r="F84" s="294">
        <f t="shared" si="5"/>
        <v>100</v>
      </c>
      <c r="G84" s="295"/>
      <c r="H84" s="295"/>
      <c r="I84" s="295"/>
      <c r="J84" s="295"/>
      <c r="K84" s="295">
        <v>100</v>
      </c>
      <c r="L84" s="295"/>
      <c r="M84" s="295"/>
      <c r="N84" s="295"/>
      <c r="O84" s="296"/>
    </row>
    <row r="85" spans="1:15" ht="12.75" customHeight="1">
      <c r="A85" s="267" t="s">
        <v>189</v>
      </c>
      <c r="B85" s="274">
        <v>882115</v>
      </c>
      <c r="C85" s="287" t="s">
        <v>55</v>
      </c>
      <c r="D85" s="262" t="s">
        <v>473</v>
      </c>
      <c r="E85" s="293">
        <v>1350</v>
      </c>
      <c r="F85" s="294">
        <f t="shared" si="5"/>
        <v>1500</v>
      </c>
      <c r="G85" s="295"/>
      <c r="H85" s="295"/>
      <c r="I85" s="295"/>
      <c r="J85" s="295"/>
      <c r="K85" s="295">
        <v>1500</v>
      </c>
      <c r="L85" s="295"/>
      <c r="M85" s="295"/>
      <c r="N85" s="295"/>
      <c r="O85" s="296"/>
    </row>
    <row r="86" spans="1:15" ht="12.75" customHeight="1">
      <c r="A86" s="670"/>
      <c r="B86" s="527"/>
      <c r="C86" s="800"/>
      <c r="D86" s="262" t="s">
        <v>549</v>
      </c>
      <c r="E86" s="293">
        <v>1350</v>
      </c>
      <c r="F86" s="294">
        <f t="shared" si="5"/>
        <v>1500</v>
      </c>
      <c r="G86" s="295"/>
      <c r="H86" s="295"/>
      <c r="I86" s="295"/>
      <c r="J86" s="295"/>
      <c r="K86" s="295">
        <v>1500</v>
      </c>
      <c r="L86" s="295"/>
      <c r="M86" s="295"/>
      <c r="N86" s="295"/>
      <c r="O86" s="296"/>
    </row>
    <row r="87" spans="1:15" ht="12.75" customHeight="1">
      <c r="A87" s="670" t="s">
        <v>189</v>
      </c>
      <c r="B87" s="708">
        <v>841907</v>
      </c>
      <c r="C87" s="706" t="s">
        <v>225</v>
      </c>
      <c r="D87" s="262" t="s">
        <v>473</v>
      </c>
      <c r="E87" s="293">
        <v>16668</v>
      </c>
      <c r="F87" s="294">
        <f t="shared" si="5"/>
        <v>0</v>
      </c>
      <c r="G87" s="295"/>
      <c r="H87" s="295"/>
      <c r="I87" s="295"/>
      <c r="J87" s="295"/>
      <c r="K87" s="295"/>
      <c r="L87" s="295"/>
      <c r="M87" s="295"/>
      <c r="N87" s="295"/>
      <c r="O87" s="296"/>
    </row>
    <row r="88" spans="1:15" ht="12.75" customHeight="1">
      <c r="A88" s="670"/>
      <c r="B88" s="527"/>
      <c r="C88" s="706"/>
      <c r="D88" s="262" t="s">
        <v>549</v>
      </c>
      <c r="E88" s="293">
        <v>6707</v>
      </c>
      <c r="F88" s="294">
        <f t="shared" si="5"/>
        <v>0</v>
      </c>
      <c r="G88" s="295"/>
      <c r="H88" s="295"/>
      <c r="I88" s="295"/>
      <c r="J88" s="295"/>
      <c r="K88" s="295"/>
      <c r="L88" s="295"/>
      <c r="M88" s="295"/>
      <c r="N88" s="295"/>
      <c r="O88" s="296"/>
    </row>
    <row r="89" spans="1:15" ht="12.75" customHeight="1">
      <c r="A89" s="1233" t="s">
        <v>337</v>
      </c>
      <c r="B89" s="1234"/>
      <c r="C89" s="1235"/>
      <c r="D89" s="285" t="s">
        <v>473</v>
      </c>
      <c r="E89" s="293">
        <f aca="true" t="shared" si="6" ref="E89:O90">SUM(E79+E81+E83+E85+E87)</f>
        <v>20008</v>
      </c>
      <c r="F89" s="294">
        <f t="shared" si="5"/>
        <v>20008</v>
      </c>
      <c r="G89" s="293">
        <f t="shared" si="6"/>
        <v>10232</v>
      </c>
      <c r="H89" s="293">
        <f t="shared" si="6"/>
        <v>2675</v>
      </c>
      <c r="I89" s="293">
        <f t="shared" si="6"/>
        <v>4175</v>
      </c>
      <c r="J89" s="293">
        <f t="shared" si="6"/>
        <v>0</v>
      </c>
      <c r="K89" s="293">
        <f t="shared" si="6"/>
        <v>2926</v>
      </c>
      <c r="L89" s="293">
        <f t="shared" si="6"/>
        <v>0</v>
      </c>
      <c r="M89" s="293">
        <f t="shared" si="6"/>
        <v>0</v>
      </c>
      <c r="N89" s="293">
        <f t="shared" si="6"/>
        <v>0</v>
      </c>
      <c r="O89" s="359">
        <f t="shared" si="6"/>
        <v>0</v>
      </c>
    </row>
    <row r="90" spans="1:15" ht="12.75" customHeight="1">
      <c r="A90" s="727"/>
      <c r="B90" s="728"/>
      <c r="C90" s="729"/>
      <c r="D90" s="926" t="s">
        <v>549</v>
      </c>
      <c r="E90" s="293">
        <f t="shared" si="6"/>
        <v>20137</v>
      </c>
      <c r="F90" s="294">
        <f t="shared" si="5"/>
        <v>20137</v>
      </c>
      <c r="G90" s="293">
        <f t="shared" si="6"/>
        <v>10333</v>
      </c>
      <c r="H90" s="293">
        <f t="shared" si="6"/>
        <v>2703</v>
      </c>
      <c r="I90" s="293">
        <f t="shared" si="6"/>
        <v>4175</v>
      </c>
      <c r="J90" s="293">
        <f t="shared" si="6"/>
        <v>0</v>
      </c>
      <c r="K90" s="293">
        <f t="shared" si="6"/>
        <v>2926</v>
      </c>
      <c r="L90" s="293">
        <f t="shared" si="6"/>
        <v>0</v>
      </c>
      <c r="M90" s="293">
        <f t="shared" si="6"/>
        <v>0</v>
      </c>
      <c r="N90" s="293">
        <f t="shared" si="6"/>
        <v>0</v>
      </c>
      <c r="O90" s="359">
        <f t="shared" si="6"/>
        <v>0</v>
      </c>
    </row>
    <row r="91" spans="1:15" ht="12.75" customHeight="1">
      <c r="A91" s="1248"/>
      <c r="B91" s="1249"/>
      <c r="C91" s="1250"/>
      <c r="D91" s="270"/>
      <c r="E91" s="293"/>
      <c r="F91" s="294"/>
      <c r="G91" s="295"/>
      <c r="H91" s="295"/>
      <c r="I91" s="295"/>
      <c r="J91" s="295"/>
      <c r="K91" s="295"/>
      <c r="L91" s="295"/>
      <c r="M91" s="295"/>
      <c r="N91" s="295"/>
      <c r="O91" s="296"/>
    </row>
    <row r="92" spans="1:15" ht="12.75" customHeight="1">
      <c r="A92" s="1233" t="s">
        <v>338</v>
      </c>
      <c r="B92" s="1234"/>
      <c r="C92" s="1235"/>
      <c r="D92" s="270"/>
      <c r="E92" s="293"/>
      <c r="F92" s="294"/>
      <c r="G92" s="295"/>
      <c r="H92" s="295"/>
      <c r="I92" s="295"/>
      <c r="J92" s="295"/>
      <c r="K92" s="295"/>
      <c r="L92" s="295"/>
      <c r="M92" s="295"/>
      <c r="N92" s="295"/>
      <c r="O92" s="296"/>
    </row>
    <row r="93" spans="1:15" ht="12.75" customHeight="1">
      <c r="A93" s="267" t="s">
        <v>189</v>
      </c>
      <c r="B93" s="274">
        <v>841126</v>
      </c>
      <c r="C93" s="275" t="s">
        <v>328</v>
      </c>
      <c r="D93" s="262" t="s">
        <v>473</v>
      </c>
      <c r="E93" s="293">
        <v>957</v>
      </c>
      <c r="F93" s="294">
        <f>SUM(G93:O93)</f>
        <v>5802</v>
      </c>
      <c r="G93" s="295">
        <v>3681</v>
      </c>
      <c r="H93" s="295">
        <v>924</v>
      </c>
      <c r="I93" s="295">
        <v>1197</v>
      </c>
      <c r="J93" s="295"/>
      <c r="K93" s="295"/>
      <c r="L93" s="295"/>
      <c r="M93" s="295"/>
      <c r="N93" s="295"/>
      <c r="O93" s="296"/>
    </row>
    <row r="94" spans="1:15" ht="12.75" customHeight="1">
      <c r="A94" s="267"/>
      <c r="B94" s="274"/>
      <c r="C94" s="275"/>
      <c r="D94" s="262" t="s">
        <v>549</v>
      </c>
      <c r="E94" s="293">
        <v>4017</v>
      </c>
      <c r="F94" s="294">
        <f>SUM(G94:O94)</f>
        <v>5889</v>
      </c>
      <c r="G94" s="295">
        <v>3750</v>
      </c>
      <c r="H94" s="295">
        <v>942</v>
      </c>
      <c r="I94" s="295">
        <v>1197</v>
      </c>
      <c r="J94" s="295"/>
      <c r="K94" s="295"/>
      <c r="L94" s="295"/>
      <c r="M94" s="295"/>
      <c r="N94" s="295"/>
      <c r="O94" s="296"/>
    </row>
    <row r="95" spans="1:15" ht="12.75" customHeight="1">
      <c r="A95" s="267" t="s">
        <v>189</v>
      </c>
      <c r="B95" s="274">
        <v>882111</v>
      </c>
      <c r="C95" s="275" t="s">
        <v>330</v>
      </c>
      <c r="D95" s="262" t="s">
        <v>473</v>
      </c>
      <c r="E95" s="293">
        <v>185</v>
      </c>
      <c r="F95" s="294">
        <f aca="true" t="shared" si="7" ref="F95:F102">SUM(G95:O95)</f>
        <v>205</v>
      </c>
      <c r="G95" s="295"/>
      <c r="H95" s="295"/>
      <c r="I95" s="295"/>
      <c r="J95" s="295"/>
      <c r="K95" s="295">
        <v>205</v>
      </c>
      <c r="L95" s="295"/>
      <c r="M95" s="295"/>
      <c r="N95" s="295"/>
      <c r="O95" s="296"/>
    </row>
    <row r="96" spans="1:15" ht="12.75" customHeight="1">
      <c r="A96" s="267"/>
      <c r="B96" s="274"/>
      <c r="C96" s="275"/>
      <c r="D96" s="262" t="s">
        <v>549</v>
      </c>
      <c r="E96" s="293">
        <v>185</v>
      </c>
      <c r="F96" s="294">
        <f t="shared" si="7"/>
        <v>205</v>
      </c>
      <c r="G96" s="295"/>
      <c r="H96" s="295"/>
      <c r="I96" s="295"/>
      <c r="J96" s="295"/>
      <c r="K96" s="295">
        <v>205</v>
      </c>
      <c r="L96" s="295"/>
      <c r="M96" s="295"/>
      <c r="N96" s="295"/>
      <c r="O96" s="296"/>
    </row>
    <row r="97" spans="1:15" ht="12.75" customHeight="1">
      <c r="A97" s="267" t="s">
        <v>189</v>
      </c>
      <c r="B97" s="274">
        <v>882113</v>
      </c>
      <c r="C97" s="275" t="s">
        <v>25</v>
      </c>
      <c r="D97" s="262" t="s">
        <v>473</v>
      </c>
      <c r="E97" s="293">
        <v>11</v>
      </c>
      <c r="F97" s="294">
        <f t="shared" si="7"/>
        <v>13</v>
      </c>
      <c r="G97" s="295"/>
      <c r="H97" s="295"/>
      <c r="I97" s="295"/>
      <c r="J97" s="295"/>
      <c r="K97" s="295">
        <v>13</v>
      </c>
      <c r="L97" s="295"/>
      <c r="M97" s="295"/>
      <c r="N97" s="295"/>
      <c r="O97" s="296"/>
    </row>
    <row r="98" spans="1:15" ht="12.75" customHeight="1">
      <c r="A98" s="670"/>
      <c r="B98" s="527"/>
      <c r="C98" s="798"/>
      <c r="D98" s="262" t="s">
        <v>549</v>
      </c>
      <c r="E98" s="293">
        <v>11</v>
      </c>
      <c r="F98" s="294">
        <f t="shared" si="7"/>
        <v>13</v>
      </c>
      <c r="G98" s="295"/>
      <c r="H98" s="295"/>
      <c r="I98" s="295"/>
      <c r="J98" s="295"/>
      <c r="K98" s="295">
        <v>13</v>
      </c>
      <c r="L98" s="295"/>
      <c r="M98" s="295"/>
      <c r="N98" s="295"/>
      <c r="O98" s="296"/>
    </row>
    <row r="99" spans="1:15" ht="12.75" customHeight="1">
      <c r="A99" s="670" t="s">
        <v>189</v>
      </c>
      <c r="B99" s="708">
        <v>847907</v>
      </c>
      <c r="C99" s="706" t="s">
        <v>225</v>
      </c>
      <c r="D99" s="262" t="s">
        <v>473</v>
      </c>
      <c r="E99" s="293">
        <v>4867</v>
      </c>
      <c r="F99" s="294">
        <f t="shared" si="7"/>
        <v>0</v>
      </c>
      <c r="G99" s="295"/>
      <c r="H99" s="295"/>
      <c r="I99" s="295"/>
      <c r="J99" s="295"/>
      <c r="K99" s="295"/>
      <c r="L99" s="295"/>
      <c r="M99" s="295"/>
      <c r="N99" s="295"/>
      <c r="O99" s="296"/>
    </row>
    <row r="100" spans="1:15" ht="12.75" customHeight="1">
      <c r="A100" s="670"/>
      <c r="B100" s="527"/>
      <c r="C100" s="706"/>
      <c r="D100" s="262" t="s">
        <v>549</v>
      </c>
      <c r="E100" s="293">
        <v>1894</v>
      </c>
      <c r="F100" s="294">
        <f t="shared" si="7"/>
        <v>0</v>
      </c>
      <c r="G100" s="295"/>
      <c r="H100" s="295"/>
      <c r="I100" s="295"/>
      <c r="J100" s="295"/>
      <c r="K100" s="295"/>
      <c r="L100" s="295"/>
      <c r="M100" s="295"/>
      <c r="N100" s="295"/>
      <c r="O100" s="296"/>
    </row>
    <row r="101" spans="1:15" ht="12.75" customHeight="1">
      <c r="A101" s="1233" t="s">
        <v>339</v>
      </c>
      <c r="B101" s="1234"/>
      <c r="C101" s="1235"/>
      <c r="D101" s="285" t="s">
        <v>473</v>
      </c>
      <c r="E101" s="293">
        <f aca="true" t="shared" si="8" ref="E101:O102">SUM(E93+E95+E97+E99)</f>
        <v>6020</v>
      </c>
      <c r="F101" s="294">
        <f t="shared" si="7"/>
        <v>6020</v>
      </c>
      <c r="G101" s="293">
        <f t="shared" si="8"/>
        <v>3681</v>
      </c>
      <c r="H101" s="293">
        <f t="shared" si="8"/>
        <v>924</v>
      </c>
      <c r="I101" s="293">
        <f t="shared" si="8"/>
        <v>1197</v>
      </c>
      <c r="J101" s="293">
        <f t="shared" si="8"/>
        <v>0</v>
      </c>
      <c r="K101" s="293">
        <f t="shared" si="8"/>
        <v>218</v>
      </c>
      <c r="L101" s="293">
        <f t="shared" si="8"/>
        <v>0</v>
      </c>
      <c r="M101" s="293">
        <f t="shared" si="8"/>
        <v>0</v>
      </c>
      <c r="N101" s="293">
        <f t="shared" si="8"/>
        <v>0</v>
      </c>
      <c r="O101" s="359">
        <f t="shared" si="8"/>
        <v>0</v>
      </c>
    </row>
    <row r="102" spans="1:15" ht="12.75" customHeight="1">
      <c r="A102" s="727"/>
      <c r="B102" s="728"/>
      <c r="C102" s="729"/>
      <c r="D102" s="926" t="s">
        <v>549</v>
      </c>
      <c r="E102" s="293">
        <f t="shared" si="8"/>
        <v>6107</v>
      </c>
      <c r="F102" s="294">
        <f t="shared" si="7"/>
        <v>6107</v>
      </c>
      <c r="G102" s="293">
        <f t="shared" si="8"/>
        <v>3750</v>
      </c>
      <c r="H102" s="293">
        <f t="shared" si="8"/>
        <v>942</v>
      </c>
      <c r="I102" s="293">
        <f t="shared" si="8"/>
        <v>1197</v>
      </c>
      <c r="J102" s="293">
        <f t="shared" si="8"/>
        <v>0</v>
      </c>
      <c r="K102" s="293">
        <f t="shared" si="8"/>
        <v>218</v>
      </c>
      <c r="L102" s="293">
        <f t="shared" si="8"/>
        <v>0</v>
      </c>
      <c r="M102" s="293">
        <f t="shared" si="8"/>
        <v>0</v>
      </c>
      <c r="N102" s="293">
        <f t="shared" si="8"/>
        <v>0</v>
      </c>
      <c r="O102" s="359">
        <f t="shared" si="8"/>
        <v>0</v>
      </c>
    </row>
    <row r="103" spans="1:15" ht="12.75" customHeight="1">
      <c r="A103" s="1248"/>
      <c r="B103" s="1249"/>
      <c r="C103" s="1250"/>
      <c r="D103" s="290"/>
      <c r="E103" s="293"/>
      <c r="F103" s="293"/>
      <c r="G103" s="293"/>
      <c r="H103" s="293"/>
      <c r="I103" s="1068"/>
      <c r="J103" s="293"/>
      <c r="K103" s="293"/>
      <c r="L103" s="295"/>
      <c r="M103" s="295"/>
      <c r="N103" s="295"/>
      <c r="O103" s="296"/>
    </row>
    <row r="104" spans="1:15" ht="12.75" customHeight="1">
      <c r="A104" s="1233" t="s">
        <v>461</v>
      </c>
      <c r="B104" s="1234"/>
      <c r="C104" s="1235"/>
      <c r="D104" s="292" t="s">
        <v>521</v>
      </c>
      <c r="E104" s="293">
        <v>0</v>
      </c>
      <c r="F104" s="293">
        <v>0</v>
      </c>
      <c r="G104" s="294">
        <v>0</v>
      </c>
      <c r="H104" s="294">
        <v>0</v>
      </c>
      <c r="I104" s="1069">
        <v>0</v>
      </c>
      <c r="J104" s="294">
        <v>0</v>
      </c>
      <c r="K104" s="294">
        <v>0</v>
      </c>
      <c r="L104" s="294">
        <v>0</v>
      </c>
      <c r="M104" s="294">
        <v>0</v>
      </c>
      <c r="N104" s="294">
        <v>0</v>
      </c>
      <c r="O104" s="355">
        <v>0</v>
      </c>
    </row>
    <row r="105" spans="1:15" ht="12.75" customHeight="1">
      <c r="A105" s="1233"/>
      <c r="B105" s="1234"/>
      <c r="C105" s="1235"/>
      <c r="D105" s="285" t="s">
        <v>473</v>
      </c>
      <c r="E105" s="293">
        <f>SUM(E75+E89+E101)</f>
        <v>46727</v>
      </c>
      <c r="F105" s="293">
        <f aca="true" t="shared" si="9" ref="F105:O106">SUM(F75+F89+F101)</f>
        <v>46727</v>
      </c>
      <c r="G105" s="293">
        <f t="shared" si="9"/>
        <v>25730</v>
      </c>
      <c r="H105" s="293">
        <f t="shared" si="9"/>
        <v>6622</v>
      </c>
      <c r="I105" s="293">
        <f t="shared" si="9"/>
        <v>8660</v>
      </c>
      <c r="J105" s="293">
        <f t="shared" si="9"/>
        <v>0</v>
      </c>
      <c r="K105" s="293">
        <f t="shared" si="9"/>
        <v>5715</v>
      </c>
      <c r="L105" s="293">
        <f t="shared" si="9"/>
        <v>0</v>
      </c>
      <c r="M105" s="293">
        <f t="shared" si="9"/>
        <v>0</v>
      </c>
      <c r="N105" s="293">
        <f t="shared" si="9"/>
        <v>0</v>
      </c>
      <c r="O105" s="359">
        <f t="shared" si="9"/>
        <v>0</v>
      </c>
    </row>
    <row r="106" spans="1:15" ht="12.75" customHeight="1">
      <c r="A106" s="1257"/>
      <c r="B106" s="1258"/>
      <c r="C106" s="1259"/>
      <c r="D106" s="926" t="s">
        <v>549</v>
      </c>
      <c r="E106" s="293">
        <f>SUM(E76+E90+E102)</f>
        <v>50091</v>
      </c>
      <c r="F106" s="293">
        <f t="shared" si="9"/>
        <v>50091</v>
      </c>
      <c r="G106" s="293">
        <f t="shared" si="9"/>
        <v>28378</v>
      </c>
      <c r="H106" s="293">
        <f t="shared" si="9"/>
        <v>7338</v>
      </c>
      <c r="I106" s="293">
        <f t="shared" si="9"/>
        <v>8660</v>
      </c>
      <c r="J106" s="293">
        <f t="shared" si="9"/>
        <v>0</v>
      </c>
      <c r="K106" s="293">
        <f t="shared" si="9"/>
        <v>5715</v>
      </c>
      <c r="L106" s="293">
        <f t="shared" si="9"/>
        <v>0</v>
      </c>
      <c r="M106" s="293">
        <f t="shared" si="9"/>
        <v>0</v>
      </c>
      <c r="N106" s="293">
        <f t="shared" si="9"/>
        <v>0</v>
      </c>
      <c r="O106" s="359">
        <f t="shared" si="9"/>
        <v>0</v>
      </c>
    </row>
    <row r="107" spans="1:15" ht="12.75" customHeight="1">
      <c r="A107" s="730"/>
      <c r="B107" s="731"/>
      <c r="C107" s="732"/>
      <c r="D107" s="289"/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  <c r="O107" s="359"/>
    </row>
    <row r="108" spans="1:15" ht="12.75" customHeight="1">
      <c r="A108" s="1233" t="s">
        <v>462</v>
      </c>
      <c r="B108" s="1234"/>
      <c r="C108" s="1235"/>
      <c r="D108" s="528" t="s">
        <v>521</v>
      </c>
      <c r="E108" s="293">
        <f>SUM(E56+E104)</f>
        <v>0</v>
      </c>
      <c r="F108" s="293">
        <f>SUM(F112+F116+F120)</f>
        <v>0</v>
      </c>
      <c r="G108" s="293">
        <f aca="true" t="shared" si="10" ref="G108:O108">SUM(G56)</f>
        <v>0</v>
      </c>
      <c r="H108" s="293">
        <f t="shared" si="10"/>
        <v>0</v>
      </c>
      <c r="I108" s="293">
        <f t="shared" si="10"/>
        <v>0</v>
      </c>
      <c r="J108" s="293">
        <f t="shared" si="10"/>
        <v>0</v>
      </c>
      <c r="K108" s="293">
        <f t="shared" si="10"/>
        <v>0</v>
      </c>
      <c r="L108" s="293">
        <f t="shared" si="10"/>
        <v>0</v>
      </c>
      <c r="M108" s="293">
        <f t="shared" si="10"/>
        <v>0</v>
      </c>
      <c r="N108" s="293">
        <f t="shared" si="10"/>
        <v>0</v>
      </c>
      <c r="O108" s="359">
        <f t="shared" si="10"/>
        <v>0</v>
      </c>
    </row>
    <row r="109" spans="1:15" ht="12.75" customHeight="1">
      <c r="A109" s="1233" t="s">
        <v>463</v>
      </c>
      <c r="B109" s="1234"/>
      <c r="C109" s="1235"/>
      <c r="D109" s="285" t="s">
        <v>473</v>
      </c>
      <c r="E109" s="306">
        <f aca="true" t="shared" si="11" ref="E109:O110">SUM(E57+E75+E89+E101)</f>
        <v>539673</v>
      </c>
      <c r="F109" s="293">
        <f>SUM(F113+F117+F121)</f>
        <v>539673</v>
      </c>
      <c r="G109" s="306">
        <f t="shared" si="11"/>
        <v>260814</v>
      </c>
      <c r="H109" s="306">
        <f t="shared" si="11"/>
        <v>64383</v>
      </c>
      <c r="I109" s="306">
        <f t="shared" si="11"/>
        <v>118095</v>
      </c>
      <c r="J109" s="306">
        <f t="shared" si="11"/>
        <v>7769</v>
      </c>
      <c r="K109" s="306">
        <f t="shared" si="11"/>
        <v>81802</v>
      </c>
      <c r="L109" s="306">
        <f t="shared" si="11"/>
        <v>0</v>
      </c>
      <c r="M109" s="306">
        <f t="shared" si="11"/>
        <v>5610</v>
      </c>
      <c r="N109" s="306">
        <f t="shared" si="11"/>
        <v>1200</v>
      </c>
      <c r="O109" s="360">
        <f t="shared" si="11"/>
        <v>0</v>
      </c>
    </row>
    <row r="110" spans="1:15" ht="12.75" customHeight="1">
      <c r="A110" s="727" t="s">
        <v>463</v>
      </c>
      <c r="B110" s="728"/>
      <c r="C110" s="729"/>
      <c r="D110" s="926" t="s">
        <v>549</v>
      </c>
      <c r="E110" s="306">
        <f t="shared" si="11"/>
        <v>543997</v>
      </c>
      <c r="F110" s="293">
        <f>SUM(F114+F118+F122)</f>
        <v>543997</v>
      </c>
      <c r="G110" s="306">
        <f t="shared" si="11"/>
        <v>264218</v>
      </c>
      <c r="H110" s="306">
        <f t="shared" si="11"/>
        <v>65303</v>
      </c>
      <c r="I110" s="306">
        <f t="shared" si="11"/>
        <v>118095</v>
      </c>
      <c r="J110" s="306">
        <f t="shared" si="11"/>
        <v>7769</v>
      </c>
      <c r="K110" s="306">
        <f t="shared" si="11"/>
        <v>81802</v>
      </c>
      <c r="L110" s="306">
        <f t="shared" si="11"/>
        <v>0</v>
      </c>
      <c r="M110" s="306">
        <f t="shared" si="11"/>
        <v>5610</v>
      </c>
      <c r="N110" s="306">
        <f t="shared" si="11"/>
        <v>1200</v>
      </c>
      <c r="O110" s="360">
        <f t="shared" si="11"/>
        <v>0</v>
      </c>
    </row>
    <row r="111" spans="1:15" ht="12.75" customHeight="1">
      <c r="A111" s="727"/>
      <c r="B111" s="728"/>
      <c r="C111" s="729"/>
      <c r="D111" s="292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60"/>
    </row>
    <row r="112" spans="1:15" ht="12.75" customHeight="1">
      <c r="A112" s="1256" t="s">
        <v>318</v>
      </c>
      <c r="B112" s="1184"/>
      <c r="C112" s="1185"/>
      <c r="D112" s="291" t="s">
        <v>522</v>
      </c>
      <c r="E112" s="293">
        <f>SUM(E11+E35+E41+E44+E47+E103)</f>
        <v>0</v>
      </c>
      <c r="F112" s="293">
        <f>SUM(G112:O112)</f>
        <v>0</v>
      </c>
      <c r="G112" s="293">
        <f aca="true" t="shared" si="12" ref="G112:O112">SUM(G11,G35,G41,G44,G47)</f>
        <v>0</v>
      </c>
      <c r="H112" s="293">
        <f t="shared" si="12"/>
        <v>0</v>
      </c>
      <c r="I112" s="293">
        <f t="shared" si="12"/>
        <v>0</v>
      </c>
      <c r="J112" s="293">
        <f t="shared" si="12"/>
        <v>0</v>
      </c>
      <c r="K112" s="293">
        <f t="shared" si="12"/>
        <v>0</v>
      </c>
      <c r="L112" s="293">
        <f t="shared" si="12"/>
        <v>0</v>
      </c>
      <c r="M112" s="293">
        <f t="shared" si="12"/>
        <v>0</v>
      </c>
      <c r="N112" s="293">
        <f t="shared" si="12"/>
        <v>0</v>
      </c>
      <c r="O112" s="359">
        <f t="shared" si="12"/>
        <v>0</v>
      </c>
    </row>
    <row r="113" spans="1:15" ht="12.75" customHeight="1">
      <c r="A113" s="1257"/>
      <c r="B113" s="1258"/>
      <c r="C113" s="1259"/>
      <c r="D113" s="285" t="s">
        <v>473</v>
      </c>
      <c r="E113" s="293">
        <f>SUM(E12+E36+E42+E45+E48+E105)</f>
        <v>46727</v>
      </c>
      <c r="F113" s="293">
        <f>SUM(G113:O113)</f>
        <v>115003</v>
      </c>
      <c r="G113" s="293">
        <f>SUM(G12+G36+G42+G45+G48+G65+G67+G69+G71+G73+G79+G81+G83+G85+G87+G93+G95+G97+G99)</f>
        <v>25730</v>
      </c>
      <c r="H113" s="293">
        <f aca="true" t="shared" si="13" ref="H113:O113">SUM(H12+H36+H42+H45+H48+H65+H67+H69+H71+H73+H79+H81+H83+H85+H87+H93+H95+H97+H99)</f>
        <v>6622</v>
      </c>
      <c r="I113" s="293">
        <f t="shared" si="13"/>
        <v>8660</v>
      </c>
      <c r="J113" s="293">
        <f t="shared" si="13"/>
        <v>0</v>
      </c>
      <c r="K113" s="293">
        <f t="shared" si="13"/>
        <v>73991</v>
      </c>
      <c r="L113" s="293">
        <f t="shared" si="13"/>
        <v>0</v>
      </c>
      <c r="M113" s="293">
        <f t="shared" si="13"/>
        <v>0</v>
      </c>
      <c r="N113" s="293">
        <f t="shared" si="13"/>
        <v>0</v>
      </c>
      <c r="O113" s="359">
        <f t="shared" si="13"/>
        <v>0</v>
      </c>
    </row>
    <row r="114" spans="1:15" ht="12.75" customHeight="1">
      <c r="A114" s="730"/>
      <c r="B114" s="731"/>
      <c r="C114" s="732"/>
      <c r="D114" s="926" t="s">
        <v>549</v>
      </c>
      <c r="E114" s="293">
        <f>SUM(E13+E37+E43+E46+E49+E106)</f>
        <v>50091</v>
      </c>
      <c r="F114" s="293">
        <f>SUM(G114:O114)</f>
        <v>118367</v>
      </c>
      <c r="G114" s="293">
        <f>SUM(G13+G37+G43+G46+G49+G66+G68+G70+G72+G74+G80+G82+G84+G86+G88+G94+G96+G98+G100)</f>
        <v>28378</v>
      </c>
      <c r="H114" s="293">
        <f aca="true" t="shared" si="14" ref="H114:O114">SUM(H13+H37+H43+H46+H49+H66+H68+H70+H72+H74+H80+H82+H84+H86+H88+H94+H96+H98+H100)</f>
        <v>7338</v>
      </c>
      <c r="I114" s="293">
        <f t="shared" si="14"/>
        <v>8660</v>
      </c>
      <c r="J114" s="293">
        <f t="shared" si="14"/>
        <v>0</v>
      </c>
      <c r="K114" s="293">
        <f t="shared" si="14"/>
        <v>73991</v>
      </c>
      <c r="L114" s="293">
        <f t="shared" si="14"/>
        <v>0</v>
      </c>
      <c r="M114" s="293">
        <f t="shared" si="14"/>
        <v>0</v>
      </c>
      <c r="N114" s="293">
        <f t="shared" si="14"/>
        <v>0</v>
      </c>
      <c r="O114" s="359">
        <f t="shared" si="14"/>
        <v>0</v>
      </c>
    </row>
    <row r="115" spans="1:15" ht="12.75" customHeight="1">
      <c r="A115" s="730"/>
      <c r="B115" s="731"/>
      <c r="C115" s="732"/>
      <c r="D115" s="292"/>
      <c r="E115" s="293"/>
      <c r="F115" s="293"/>
      <c r="G115" s="293"/>
      <c r="H115" s="293"/>
      <c r="I115" s="293"/>
      <c r="J115" s="293"/>
      <c r="K115" s="293"/>
      <c r="L115" s="293"/>
      <c r="M115" s="293"/>
      <c r="N115" s="293"/>
      <c r="O115" s="359"/>
    </row>
    <row r="116" spans="1:15" ht="12.75" customHeight="1">
      <c r="A116" s="1256" t="s">
        <v>305</v>
      </c>
      <c r="B116" s="1184"/>
      <c r="C116" s="1185"/>
      <c r="D116" s="291" t="s">
        <v>522</v>
      </c>
      <c r="E116" s="293">
        <f>SUM(E14+E29+E32+E38)</f>
        <v>0</v>
      </c>
      <c r="F116" s="293">
        <f>SUM(G116:O116)</f>
        <v>0</v>
      </c>
      <c r="G116" s="293">
        <f aca="true" t="shared" si="15" ref="G116:O116">SUM(G14+G29+G32+G38)</f>
        <v>0</v>
      </c>
      <c r="H116" s="293">
        <f t="shared" si="15"/>
        <v>0</v>
      </c>
      <c r="I116" s="293">
        <f t="shared" si="15"/>
        <v>0</v>
      </c>
      <c r="J116" s="293">
        <f t="shared" si="15"/>
        <v>0</v>
      </c>
      <c r="K116" s="293">
        <f t="shared" si="15"/>
        <v>0</v>
      </c>
      <c r="L116" s="293">
        <f t="shared" si="15"/>
        <v>0</v>
      </c>
      <c r="M116" s="293">
        <f t="shared" si="15"/>
        <v>0</v>
      </c>
      <c r="N116" s="293">
        <f t="shared" si="15"/>
        <v>0</v>
      </c>
      <c r="O116" s="359">
        <f t="shared" si="15"/>
        <v>0</v>
      </c>
    </row>
    <row r="117" spans="1:15" ht="12.75" customHeight="1">
      <c r="A117" s="1257"/>
      <c r="B117" s="1258"/>
      <c r="C117" s="1259"/>
      <c r="D117" s="285" t="s">
        <v>473</v>
      </c>
      <c r="E117" s="293">
        <f>SUM(E15+E30+E33+E39)</f>
        <v>3916</v>
      </c>
      <c r="F117" s="293">
        <f>SUM(G117:O117)</f>
        <v>5847</v>
      </c>
      <c r="G117" s="293">
        <f aca="true" t="shared" si="16" ref="G117:O117">SUM(G15+G30+G33+G39)</f>
        <v>0</v>
      </c>
      <c r="H117" s="293">
        <f t="shared" si="16"/>
        <v>87</v>
      </c>
      <c r="I117" s="293">
        <f t="shared" si="16"/>
        <v>4224</v>
      </c>
      <c r="J117" s="293">
        <f t="shared" si="16"/>
        <v>0</v>
      </c>
      <c r="K117" s="293">
        <f t="shared" si="16"/>
        <v>336</v>
      </c>
      <c r="L117" s="293">
        <f t="shared" si="16"/>
        <v>0</v>
      </c>
      <c r="M117" s="293">
        <f t="shared" si="16"/>
        <v>0</v>
      </c>
      <c r="N117" s="293">
        <f t="shared" si="16"/>
        <v>1200</v>
      </c>
      <c r="O117" s="359">
        <f t="shared" si="16"/>
        <v>0</v>
      </c>
    </row>
    <row r="118" spans="1:15" ht="12.75" customHeight="1">
      <c r="A118" s="730"/>
      <c r="B118" s="731"/>
      <c r="C118" s="732"/>
      <c r="D118" s="926" t="s">
        <v>549</v>
      </c>
      <c r="E118" s="293">
        <f aca="true" t="shared" si="17" ref="E118:O118">SUM(E16+E31+E34+E40)</f>
        <v>3916</v>
      </c>
      <c r="F118" s="293">
        <f>SUM(G118:O118)</f>
        <v>5847</v>
      </c>
      <c r="G118" s="293">
        <f t="shared" si="17"/>
        <v>0</v>
      </c>
      <c r="H118" s="293">
        <f t="shared" si="17"/>
        <v>87</v>
      </c>
      <c r="I118" s="293">
        <f t="shared" si="17"/>
        <v>4224</v>
      </c>
      <c r="J118" s="293">
        <f t="shared" si="17"/>
        <v>0</v>
      </c>
      <c r="K118" s="293">
        <f t="shared" si="17"/>
        <v>336</v>
      </c>
      <c r="L118" s="293">
        <f t="shared" si="17"/>
        <v>0</v>
      </c>
      <c r="M118" s="293">
        <f t="shared" si="17"/>
        <v>0</v>
      </c>
      <c r="N118" s="293">
        <f t="shared" si="17"/>
        <v>1200</v>
      </c>
      <c r="O118" s="359">
        <f t="shared" si="17"/>
        <v>0</v>
      </c>
    </row>
    <row r="119" spans="1:15" ht="12.75" customHeight="1">
      <c r="A119" s="730"/>
      <c r="B119" s="731"/>
      <c r="C119" s="732"/>
      <c r="D119" s="292"/>
      <c r="E119" s="293"/>
      <c r="F119" s="293"/>
      <c r="G119" s="293"/>
      <c r="H119" s="293"/>
      <c r="I119" s="293"/>
      <c r="J119" s="293"/>
      <c r="K119" s="293"/>
      <c r="L119" s="293"/>
      <c r="M119" s="293"/>
      <c r="N119" s="293"/>
      <c r="O119" s="359"/>
    </row>
    <row r="120" spans="1:15" ht="12.75" customHeight="1">
      <c r="A120" s="1233" t="s">
        <v>306</v>
      </c>
      <c r="B120" s="1234"/>
      <c r="C120" s="1235"/>
      <c r="D120" s="291" t="s">
        <v>522</v>
      </c>
      <c r="E120" s="293">
        <f aca="true" t="shared" si="18" ref="E120:O120">SUM(E17+E20+E23+E26+E50+E53)</f>
        <v>0</v>
      </c>
      <c r="F120" s="293">
        <f>SUM(G120:O120)</f>
        <v>0</v>
      </c>
      <c r="G120" s="293">
        <f t="shared" si="18"/>
        <v>0</v>
      </c>
      <c r="H120" s="293">
        <f t="shared" si="18"/>
        <v>0</v>
      </c>
      <c r="I120" s="293">
        <f t="shared" si="18"/>
        <v>0</v>
      </c>
      <c r="J120" s="293">
        <f t="shared" si="18"/>
        <v>0</v>
      </c>
      <c r="K120" s="293">
        <f t="shared" si="18"/>
        <v>0</v>
      </c>
      <c r="L120" s="293">
        <f t="shared" si="18"/>
        <v>0</v>
      </c>
      <c r="M120" s="293">
        <f t="shared" si="18"/>
        <v>0</v>
      </c>
      <c r="N120" s="293">
        <f t="shared" si="18"/>
        <v>0</v>
      </c>
      <c r="O120" s="359">
        <f t="shared" si="18"/>
        <v>0</v>
      </c>
    </row>
    <row r="121" spans="1:15" ht="12.75" customHeight="1">
      <c r="A121" s="1260"/>
      <c r="B121" s="1261"/>
      <c r="C121" s="1262"/>
      <c r="D121" s="879" t="s">
        <v>473</v>
      </c>
      <c r="E121" s="293">
        <f>SUM(E18+E21+E24+E27+E51+E54)</f>
        <v>489030</v>
      </c>
      <c r="F121" s="293">
        <f>SUM(G121:O121)</f>
        <v>418823</v>
      </c>
      <c r="G121" s="297">
        <f aca="true" t="shared" si="19" ref="G121:O121">SUM(G18+G21+G24+G27+G51+G54)</f>
        <v>235084</v>
      </c>
      <c r="H121" s="297">
        <f t="shared" si="19"/>
        <v>57674</v>
      </c>
      <c r="I121" s="297">
        <f t="shared" si="19"/>
        <v>105211</v>
      </c>
      <c r="J121" s="297">
        <f t="shared" si="19"/>
        <v>7769</v>
      </c>
      <c r="K121" s="297">
        <f t="shared" si="19"/>
        <v>7475</v>
      </c>
      <c r="L121" s="297">
        <f t="shared" si="19"/>
        <v>0</v>
      </c>
      <c r="M121" s="297">
        <f t="shared" si="19"/>
        <v>5610</v>
      </c>
      <c r="N121" s="297">
        <f t="shared" si="19"/>
        <v>0</v>
      </c>
      <c r="O121" s="354">
        <f t="shared" si="19"/>
        <v>0</v>
      </c>
    </row>
    <row r="122" spans="1:15" ht="12.75" customHeight="1" thickBot="1">
      <c r="A122" s="332"/>
      <c r="B122" s="791"/>
      <c r="C122" s="792"/>
      <c r="D122" s="927" t="s">
        <v>549</v>
      </c>
      <c r="E122" s="877">
        <f>SUM(E19+E22+E25+E28+E52+E55)</f>
        <v>489990</v>
      </c>
      <c r="F122" s="877">
        <f>SUM(G122:O122)</f>
        <v>419783</v>
      </c>
      <c r="G122" s="877">
        <f aca="true" t="shared" si="20" ref="G122:O122">SUM(G19+G22+G25+G28+G52+G55)</f>
        <v>235840</v>
      </c>
      <c r="H122" s="877">
        <f t="shared" si="20"/>
        <v>57878</v>
      </c>
      <c r="I122" s="877">
        <f t="shared" si="20"/>
        <v>105211</v>
      </c>
      <c r="J122" s="877">
        <f t="shared" si="20"/>
        <v>7769</v>
      </c>
      <c r="K122" s="877">
        <f t="shared" si="20"/>
        <v>7475</v>
      </c>
      <c r="L122" s="877">
        <f t="shared" si="20"/>
        <v>0</v>
      </c>
      <c r="M122" s="877">
        <f t="shared" si="20"/>
        <v>5610</v>
      </c>
      <c r="N122" s="877">
        <f t="shared" si="20"/>
        <v>0</v>
      </c>
      <c r="O122" s="878">
        <f t="shared" si="20"/>
        <v>0</v>
      </c>
    </row>
    <row r="123" spans="7:15" ht="12.75">
      <c r="G123" s="249"/>
      <c r="H123" s="249"/>
      <c r="I123" s="249"/>
      <c r="J123" s="249"/>
      <c r="K123" s="249"/>
      <c r="L123" s="249"/>
      <c r="M123" s="249"/>
      <c r="N123" s="252"/>
      <c r="O123" s="249"/>
    </row>
    <row r="124" spans="7:15" ht="12.75">
      <c r="G124" s="249"/>
      <c r="H124" s="249"/>
      <c r="I124" s="249"/>
      <c r="J124" s="249"/>
      <c r="K124" s="249"/>
      <c r="L124" s="249"/>
      <c r="M124" s="249"/>
      <c r="N124" s="252"/>
      <c r="O124" s="249"/>
    </row>
    <row r="125" spans="7:15" ht="12.75">
      <c r="G125" s="249"/>
      <c r="H125" s="249"/>
      <c r="I125" s="249"/>
      <c r="J125" s="249"/>
      <c r="K125" s="249"/>
      <c r="L125" s="249"/>
      <c r="M125" s="249"/>
      <c r="N125" s="252"/>
      <c r="O125" s="249"/>
    </row>
    <row r="126" spans="7:15" ht="12.75">
      <c r="G126" s="249"/>
      <c r="H126" s="249"/>
      <c r="I126" s="249"/>
      <c r="J126" s="249"/>
      <c r="K126" s="249"/>
      <c r="L126" s="249"/>
      <c r="M126" s="249"/>
      <c r="N126" s="252"/>
      <c r="O126" s="249"/>
    </row>
    <row r="127" spans="7:15" ht="12.75">
      <c r="G127" s="249"/>
      <c r="H127" s="249"/>
      <c r="I127" s="249"/>
      <c r="J127" s="249"/>
      <c r="K127" s="249"/>
      <c r="L127" s="249"/>
      <c r="M127" s="249"/>
      <c r="N127" s="252"/>
      <c r="O127" s="249"/>
    </row>
    <row r="128" spans="7:15" ht="12.75">
      <c r="G128" s="249"/>
      <c r="H128" s="249"/>
      <c r="I128" s="249"/>
      <c r="J128" s="249"/>
      <c r="K128" s="249"/>
      <c r="L128" s="249"/>
      <c r="M128" s="249"/>
      <c r="N128" s="252"/>
      <c r="O128" s="249"/>
    </row>
    <row r="129" spans="7:15" ht="12.75">
      <c r="G129" s="249"/>
      <c r="H129" s="249"/>
      <c r="I129" s="249"/>
      <c r="J129" s="249"/>
      <c r="K129" s="249"/>
      <c r="L129" s="249"/>
      <c r="M129" s="249"/>
      <c r="N129" s="252"/>
      <c r="O129" s="249"/>
    </row>
    <row r="130" spans="7:15" ht="12.75">
      <c r="G130" s="249"/>
      <c r="H130" s="249"/>
      <c r="I130" s="249"/>
      <c r="J130" s="249"/>
      <c r="K130" s="249"/>
      <c r="L130" s="249"/>
      <c r="M130" s="249"/>
      <c r="N130" s="252"/>
      <c r="O130" s="249"/>
    </row>
    <row r="131" spans="7:15" ht="12.75">
      <c r="G131" s="249"/>
      <c r="H131" s="249"/>
      <c r="I131" s="249"/>
      <c r="J131" s="249"/>
      <c r="K131" s="249"/>
      <c r="L131" s="249"/>
      <c r="M131" s="249"/>
      <c r="N131" s="252"/>
      <c r="O131" s="249"/>
    </row>
    <row r="132" spans="7:15" ht="12.75">
      <c r="G132" s="249"/>
      <c r="H132" s="249"/>
      <c r="I132" s="249"/>
      <c r="J132" s="249"/>
      <c r="K132" s="249"/>
      <c r="L132" s="249"/>
      <c r="M132" s="249"/>
      <c r="N132" s="252"/>
      <c r="O132" s="249"/>
    </row>
    <row r="133" spans="7:15" ht="12.75">
      <c r="G133" s="249"/>
      <c r="H133" s="249"/>
      <c r="I133" s="249"/>
      <c r="J133" s="249"/>
      <c r="K133" s="249"/>
      <c r="L133" s="249"/>
      <c r="M133" s="249"/>
      <c r="N133" s="252"/>
      <c r="O133" s="249"/>
    </row>
    <row r="134" spans="7:15" ht="12.75">
      <c r="G134" s="249"/>
      <c r="H134" s="249"/>
      <c r="I134" s="249"/>
      <c r="J134" s="249"/>
      <c r="K134" s="249"/>
      <c r="L134" s="249"/>
      <c r="M134" s="249"/>
      <c r="N134" s="252"/>
      <c r="O134" s="249"/>
    </row>
    <row r="135" spans="7:15" ht="12.75">
      <c r="G135" s="249"/>
      <c r="H135" s="249"/>
      <c r="I135" s="249"/>
      <c r="J135" s="249"/>
      <c r="K135" s="249"/>
      <c r="L135" s="249"/>
      <c r="M135" s="249"/>
      <c r="N135" s="252"/>
      <c r="O135" s="249"/>
    </row>
    <row r="136" spans="7:15" ht="12.75">
      <c r="G136" s="249"/>
      <c r="H136" s="249"/>
      <c r="I136" s="249"/>
      <c r="J136" s="249"/>
      <c r="K136" s="249"/>
      <c r="L136" s="249"/>
      <c r="M136" s="249"/>
      <c r="N136" s="252"/>
      <c r="O136" s="249"/>
    </row>
    <row r="137" spans="7:15" ht="12.75">
      <c r="G137" s="249"/>
      <c r="H137" s="249"/>
      <c r="I137" s="249"/>
      <c r="J137" s="249"/>
      <c r="K137" s="249"/>
      <c r="L137" s="249"/>
      <c r="M137" s="249"/>
      <c r="N137" s="252"/>
      <c r="O137" s="249"/>
    </row>
  </sheetData>
  <mergeCells count="58">
    <mergeCell ref="A121:C121"/>
    <mergeCell ref="A117:C117"/>
    <mergeCell ref="A120:C120"/>
    <mergeCell ref="A61:A63"/>
    <mergeCell ref="B61:D63"/>
    <mergeCell ref="A101:C101"/>
    <mergeCell ref="A105:C105"/>
    <mergeCell ref="A92:C92"/>
    <mergeCell ref="A103:C103"/>
    <mergeCell ref="A106:C106"/>
    <mergeCell ref="A108:C108"/>
    <mergeCell ref="A116:C116"/>
    <mergeCell ref="A112:C112"/>
    <mergeCell ref="A113:C113"/>
    <mergeCell ref="A109:C109"/>
    <mergeCell ref="A91:C91"/>
    <mergeCell ref="A64:C64"/>
    <mergeCell ref="A75:C75"/>
    <mergeCell ref="A89:C89"/>
    <mergeCell ref="A78:C78"/>
    <mergeCell ref="A76:C76"/>
    <mergeCell ref="A56:C56"/>
    <mergeCell ref="A57:C57"/>
    <mergeCell ref="A58:C58"/>
    <mergeCell ref="A77:C77"/>
    <mergeCell ref="A10:D10"/>
    <mergeCell ref="A4:O4"/>
    <mergeCell ref="A7:A9"/>
    <mergeCell ref="M8:M9"/>
    <mergeCell ref="K8:K9"/>
    <mergeCell ref="L8:L9"/>
    <mergeCell ref="G8:G9"/>
    <mergeCell ref="H8:H9"/>
    <mergeCell ref="I8:I9"/>
    <mergeCell ref="J8:J9"/>
    <mergeCell ref="B2:C2"/>
    <mergeCell ref="B5:O5"/>
    <mergeCell ref="B7:D9"/>
    <mergeCell ref="E7:E9"/>
    <mergeCell ref="F7:F9"/>
    <mergeCell ref="G7:K7"/>
    <mergeCell ref="L7:M7"/>
    <mergeCell ref="N7:N9"/>
    <mergeCell ref="O7:O9"/>
    <mergeCell ref="E61:E63"/>
    <mergeCell ref="F61:F63"/>
    <mergeCell ref="G61:K61"/>
    <mergeCell ref="L61:M61"/>
    <mergeCell ref="A104:C104"/>
    <mergeCell ref="N61:N63"/>
    <mergeCell ref="O61:O63"/>
    <mergeCell ref="G62:G63"/>
    <mergeCell ref="H62:H63"/>
    <mergeCell ref="I62:I63"/>
    <mergeCell ref="J62:J63"/>
    <mergeCell ref="K62:K63"/>
    <mergeCell ref="L62:L63"/>
    <mergeCell ref="M62:M63"/>
  </mergeCells>
  <printOptions horizontalCentered="1"/>
  <pageMargins left="0.3937007874015748" right="0.3937007874015748" top="0.58" bottom="0.4724409448818898" header="0.39" footer="0.4724409448818898"/>
  <pageSetup horizontalDpi="600" verticalDpi="600" orientation="landscape" paperSize="9" scale="56" r:id="rId1"/>
  <headerFooter alignWithMargins="0">
    <oddHeader>&amp;L&amp;8 5. melléklet a 24/2013.(IX.13.) önkormányzati rendelethez
"5. melléklet az 1/2013.(II.01.) önkormányzati rendelethez"</oddHeader>
  </headerFooter>
  <rowBreaks count="1" manualBreakCount="1">
    <brk id="58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136"/>
  <sheetViews>
    <sheetView zoomScale="85" zoomScaleNormal="85" zoomScaleSheetLayoutView="100" workbookViewId="0" topLeftCell="A1">
      <pane xSplit="3" ySplit="3" topLeftCell="H6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114" sqref="S114"/>
    </sheetView>
  </sheetViews>
  <sheetFormatPr defaultColWidth="9.00390625" defaultRowHeight="12.75"/>
  <cols>
    <col min="1" max="1" width="24.375" style="932" customWidth="1"/>
    <col min="2" max="2" width="9.375" style="932" customWidth="1"/>
    <col min="3" max="3" width="11.625" style="932" customWidth="1"/>
    <col min="4" max="6" width="9.125" style="932" customWidth="1"/>
    <col min="7" max="7" width="7.125" style="932" hidden="1" customWidth="1"/>
    <col min="8" max="8" width="7.875" style="932" customWidth="1"/>
    <col min="9" max="9" width="6.75390625" style="932" customWidth="1"/>
    <col min="10" max="10" width="7.625" style="932" customWidth="1"/>
    <col min="11" max="12" width="7.75390625" style="932" customWidth="1"/>
    <col min="13" max="13" width="8.375" style="932" customWidth="1"/>
    <col min="14" max="14" width="8.125" style="932" customWidth="1"/>
    <col min="15" max="15" width="9.125" style="932" customWidth="1"/>
    <col min="16" max="16" width="8.625" style="932" customWidth="1"/>
    <col min="17" max="17" width="9.00390625" style="932" customWidth="1"/>
    <col min="18" max="18" width="10.75390625" style="932" customWidth="1"/>
    <col min="19" max="19" width="27.25390625" style="932" customWidth="1"/>
    <col min="20" max="20" width="12.00390625" style="932" customWidth="1"/>
    <col min="21" max="21" width="9.75390625" style="932" customWidth="1"/>
    <col min="22" max="22" width="10.125" style="932" customWidth="1"/>
    <col min="23" max="23" width="10.00390625" style="932" bestFit="1" customWidth="1"/>
    <col min="24" max="24" width="9.125" style="932" customWidth="1"/>
    <col min="25" max="25" width="11.00390625" style="932" customWidth="1"/>
    <col min="26" max="26" width="8.25390625" style="932" hidden="1" customWidth="1"/>
    <col min="27" max="30" width="9.125" style="932" customWidth="1"/>
    <col min="31" max="31" width="0" style="932" hidden="1" customWidth="1"/>
    <col min="32" max="32" width="14.375" style="932" customWidth="1"/>
    <col min="33" max="34" width="9.125" style="932" hidden="1" customWidth="1"/>
    <col min="35" max="16384" width="9.125" style="932" customWidth="1"/>
  </cols>
  <sheetData>
    <row r="1" spans="1:32" ht="16.5" thickBot="1">
      <c r="A1" s="1281" t="s">
        <v>708</v>
      </c>
      <c r="B1" s="1281"/>
      <c r="C1" s="1281"/>
      <c r="D1" s="1281"/>
      <c r="E1" s="1281"/>
      <c r="F1" s="1281"/>
      <c r="G1" s="1281"/>
      <c r="H1" s="1281"/>
      <c r="I1" s="1281"/>
      <c r="J1" s="1281"/>
      <c r="K1" s="1281"/>
      <c r="L1" s="1281"/>
      <c r="M1" s="1281"/>
      <c r="N1" s="1281"/>
      <c r="O1" s="1281"/>
      <c r="P1" s="1281"/>
      <c r="Q1" s="1281"/>
      <c r="R1" s="148"/>
      <c r="S1" s="1281" t="s">
        <v>709</v>
      </c>
      <c r="T1" s="1281"/>
      <c r="U1" s="1281"/>
      <c r="V1" s="1281"/>
      <c r="W1" s="1281"/>
      <c r="X1" s="1281"/>
      <c r="Y1" s="1281"/>
      <c r="Z1" s="1281"/>
      <c r="AA1" s="1281"/>
      <c r="AB1" s="1281"/>
      <c r="AC1" s="1281"/>
      <c r="AD1" s="1281"/>
      <c r="AE1" s="1281"/>
      <c r="AF1" s="1281"/>
    </row>
    <row r="2" spans="1:32" ht="12.75" customHeight="1">
      <c r="A2" s="1287" t="s">
        <v>710</v>
      </c>
      <c r="B2" s="1289" t="s">
        <v>711</v>
      </c>
      <c r="C2" s="1290"/>
      <c r="D2" s="1282" t="s">
        <v>712</v>
      </c>
      <c r="E2" s="1282" t="s">
        <v>713</v>
      </c>
      <c r="F2" s="1282" t="s">
        <v>714</v>
      </c>
      <c r="G2" s="1282" t="s">
        <v>715</v>
      </c>
      <c r="H2" s="1282" t="s">
        <v>716</v>
      </c>
      <c r="I2" s="1282"/>
      <c r="J2" s="1285" t="s">
        <v>717</v>
      </c>
      <c r="K2" s="1300"/>
      <c r="L2" s="1301"/>
      <c r="M2" s="1282" t="s">
        <v>718</v>
      </c>
      <c r="N2" s="1282" t="s">
        <v>719</v>
      </c>
      <c r="O2" s="1282"/>
      <c r="P2" s="1283" t="s">
        <v>720</v>
      </c>
      <c r="Q2" s="1285" t="s">
        <v>721</v>
      </c>
      <c r="R2" s="1296" t="s">
        <v>769</v>
      </c>
      <c r="S2" s="933"/>
      <c r="T2" s="1294" t="s">
        <v>722</v>
      </c>
      <c r="U2" s="1294"/>
      <c r="V2" s="1294"/>
      <c r="W2" s="1294"/>
      <c r="X2" s="1294"/>
      <c r="Y2" s="1294"/>
      <c r="Z2" s="1294"/>
      <c r="AA2" s="1294"/>
      <c r="AB2" s="934"/>
      <c r="AC2" s="1294" t="s">
        <v>723</v>
      </c>
      <c r="AD2" s="1294"/>
      <c r="AE2" s="974"/>
      <c r="AF2" s="1298" t="s">
        <v>724</v>
      </c>
    </row>
    <row r="3" spans="1:34" ht="64.5" customHeight="1">
      <c r="A3" s="1288"/>
      <c r="B3" s="1291"/>
      <c r="C3" s="1292"/>
      <c r="D3" s="1293"/>
      <c r="E3" s="1293"/>
      <c r="F3" s="1293"/>
      <c r="G3" s="1293"/>
      <c r="H3" s="935" t="s">
        <v>725</v>
      </c>
      <c r="I3" s="935" t="s">
        <v>726</v>
      </c>
      <c r="J3" s="935" t="s">
        <v>725</v>
      </c>
      <c r="K3" s="935" t="s">
        <v>726</v>
      </c>
      <c r="L3" s="935" t="s">
        <v>442</v>
      </c>
      <c r="M3" s="1293"/>
      <c r="N3" s="935" t="s">
        <v>727</v>
      </c>
      <c r="O3" s="935" t="s">
        <v>728</v>
      </c>
      <c r="P3" s="1284"/>
      <c r="Q3" s="1286"/>
      <c r="R3" s="1297"/>
      <c r="S3" s="936"/>
      <c r="T3" s="1286" t="s">
        <v>711</v>
      </c>
      <c r="U3" s="1295"/>
      <c r="V3" s="935" t="s">
        <v>656</v>
      </c>
      <c r="W3" s="935" t="s">
        <v>729</v>
      </c>
      <c r="X3" s="935" t="s">
        <v>730</v>
      </c>
      <c r="Y3" s="935" t="s">
        <v>731</v>
      </c>
      <c r="Z3" s="935" t="s">
        <v>443</v>
      </c>
      <c r="AA3" s="935" t="s">
        <v>444</v>
      </c>
      <c r="AB3" s="935" t="s">
        <v>81</v>
      </c>
      <c r="AC3" s="935" t="s">
        <v>732</v>
      </c>
      <c r="AD3" s="935" t="s">
        <v>733</v>
      </c>
      <c r="AE3" s="973" t="s">
        <v>617</v>
      </c>
      <c r="AF3" s="1299"/>
      <c r="AH3" s="937" t="s">
        <v>734</v>
      </c>
    </row>
    <row r="4" spans="1:34" ht="12.75">
      <c r="A4" s="1266" t="s">
        <v>735</v>
      </c>
      <c r="B4" s="938" t="s">
        <v>736</v>
      </c>
      <c r="C4" s="939" t="s">
        <v>521</v>
      </c>
      <c r="D4" s="940">
        <v>8319</v>
      </c>
      <c r="E4" s="940">
        <v>5824</v>
      </c>
      <c r="F4" s="940">
        <v>2246</v>
      </c>
      <c r="G4" s="940">
        <v>0</v>
      </c>
      <c r="H4" s="940">
        <v>0</v>
      </c>
      <c r="I4" s="940">
        <v>0</v>
      </c>
      <c r="J4" s="940">
        <v>0</v>
      </c>
      <c r="K4" s="940">
        <v>0</v>
      </c>
      <c r="L4" s="940"/>
      <c r="M4" s="940">
        <v>0</v>
      </c>
      <c r="N4" s="940">
        <v>0</v>
      </c>
      <c r="O4" s="940">
        <v>0</v>
      </c>
      <c r="P4" s="940">
        <f aca="true" t="shared" si="0" ref="P4:P27">AF4-Q4</f>
        <v>54555</v>
      </c>
      <c r="Q4" s="941">
        <f aca="true" t="shared" si="1" ref="Q4:Q27">SUM(D4:O4)-E4</f>
        <v>10565</v>
      </c>
      <c r="R4" s="942">
        <f aca="true" t="shared" si="2" ref="R4:R27">P4+Q4</f>
        <v>65120</v>
      </c>
      <c r="S4" s="1266" t="s">
        <v>735</v>
      </c>
      <c r="T4" s="939" t="s">
        <v>521</v>
      </c>
      <c r="U4" s="938" t="s">
        <v>736</v>
      </c>
      <c r="V4" s="943">
        <v>38239</v>
      </c>
      <c r="W4" s="943">
        <v>10181</v>
      </c>
      <c r="X4" s="943">
        <v>16700</v>
      </c>
      <c r="Y4" s="943">
        <v>7068</v>
      </c>
      <c r="Z4" s="943"/>
      <c r="AA4" s="943">
        <v>0</v>
      </c>
      <c r="AB4" s="943"/>
      <c r="AC4" s="943">
        <v>0</v>
      </c>
      <c r="AD4" s="943">
        <v>0</v>
      </c>
      <c r="AE4" s="955"/>
      <c r="AF4" s="942">
        <f aca="true" t="shared" si="3" ref="AF4:AF27">SUM(V4:AD4)-Y4</f>
        <v>65120</v>
      </c>
      <c r="AH4" s="944">
        <v>65120</v>
      </c>
    </row>
    <row r="5" spans="1:34" ht="12.75" customHeight="1" hidden="1">
      <c r="A5" s="1267"/>
      <c r="B5" s="938" t="s">
        <v>736</v>
      </c>
      <c r="C5" s="939" t="s">
        <v>521</v>
      </c>
      <c r="D5" s="940">
        <v>0</v>
      </c>
      <c r="E5" s="940">
        <v>0</v>
      </c>
      <c r="F5" s="940">
        <v>0</v>
      </c>
      <c r="G5" s="940">
        <v>0</v>
      </c>
      <c r="H5" s="940">
        <v>0</v>
      </c>
      <c r="I5" s="940">
        <v>0</v>
      </c>
      <c r="J5" s="940">
        <v>0</v>
      </c>
      <c r="K5" s="940">
        <v>0</v>
      </c>
      <c r="L5" s="940"/>
      <c r="M5" s="940">
        <v>0</v>
      </c>
      <c r="N5" s="940">
        <v>0</v>
      </c>
      <c r="O5" s="940">
        <v>0</v>
      </c>
      <c r="P5" s="940">
        <f t="shared" si="0"/>
        <v>0</v>
      </c>
      <c r="Q5" s="941">
        <f t="shared" si="1"/>
        <v>0</v>
      </c>
      <c r="R5" s="942">
        <f t="shared" si="2"/>
        <v>0</v>
      </c>
      <c r="S5" s="1267"/>
      <c r="T5" s="939" t="s">
        <v>521</v>
      </c>
      <c r="U5" s="938" t="s">
        <v>736</v>
      </c>
      <c r="V5" s="943">
        <v>0</v>
      </c>
      <c r="W5" s="943">
        <v>0</v>
      </c>
      <c r="X5" s="943">
        <v>0</v>
      </c>
      <c r="Y5" s="943">
        <v>0</v>
      </c>
      <c r="Z5" s="943"/>
      <c r="AA5" s="943">
        <v>0</v>
      </c>
      <c r="AB5" s="943"/>
      <c r="AC5" s="943">
        <v>0</v>
      </c>
      <c r="AD5" s="943">
        <v>0</v>
      </c>
      <c r="AE5" s="955"/>
      <c r="AF5" s="942">
        <f t="shared" si="3"/>
        <v>0</v>
      </c>
      <c r="AH5" s="944">
        <v>0</v>
      </c>
    </row>
    <row r="6" spans="1:34" ht="12.75" customHeight="1">
      <c r="A6" s="1267"/>
      <c r="B6" s="938" t="s">
        <v>736</v>
      </c>
      <c r="C6" s="939" t="s">
        <v>445</v>
      </c>
      <c r="D6" s="940">
        <v>8319</v>
      </c>
      <c r="E6" s="940">
        <v>5824</v>
      </c>
      <c r="F6" s="940">
        <v>2246</v>
      </c>
      <c r="G6" s="940">
        <v>0</v>
      </c>
      <c r="H6" s="940">
        <v>0</v>
      </c>
      <c r="I6" s="940">
        <v>0</v>
      </c>
      <c r="J6" s="940">
        <v>0</v>
      </c>
      <c r="K6" s="940">
        <v>0</v>
      </c>
      <c r="L6" s="940">
        <v>528</v>
      </c>
      <c r="M6" s="940">
        <v>0</v>
      </c>
      <c r="N6" s="940">
        <v>137</v>
      </c>
      <c r="O6" s="940">
        <v>0</v>
      </c>
      <c r="P6" s="940">
        <f t="shared" si="0"/>
        <v>55191</v>
      </c>
      <c r="Q6" s="941">
        <f t="shared" si="1"/>
        <v>11230</v>
      </c>
      <c r="R6" s="942">
        <f t="shared" si="2"/>
        <v>66421</v>
      </c>
      <c r="S6" s="1267"/>
      <c r="T6" s="939" t="s">
        <v>445</v>
      </c>
      <c r="U6" s="938" t="s">
        <v>736</v>
      </c>
      <c r="V6" s="943">
        <f>38239+165+501</f>
        <v>38905</v>
      </c>
      <c r="W6" s="943">
        <f>10181+52+135</f>
        <v>10368</v>
      </c>
      <c r="X6" s="943">
        <f>16700+448</f>
        <v>17148</v>
      </c>
      <c r="Y6" s="943">
        <v>7068</v>
      </c>
      <c r="Z6" s="943"/>
      <c r="AA6" s="943">
        <v>0</v>
      </c>
      <c r="AB6" s="943"/>
      <c r="AC6" s="943">
        <v>0</v>
      </c>
      <c r="AD6" s="943">
        <v>0</v>
      </c>
      <c r="AE6" s="955"/>
      <c r="AF6" s="942">
        <f t="shared" si="3"/>
        <v>66421</v>
      </c>
      <c r="AH6" s="944">
        <v>65120</v>
      </c>
    </row>
    <row r="7" spans="1:34" ht="12.75" customHeight="1">
      <c r="A7" s="1268"/>
      <c r="B7" s="938" t="s">
        <v>736</v>
      </c>
      <c r="C7" s="939" t="s">
        <v>416</v>
      </c>
      <c r="D7" s="940">
        <v>8319</v>
      </c>
      <c r="E7" s="940">
        <v>5824</v>
      </c>
      <c r="F7" s="940">
        <v>2246</v>
      </c>
      <c r="G7" s="940">
        <v>0</v>
      </c>
      <c r="H7" s="940">
        <v>0</v>
      </c>
      <c r="I7" s="940">
        <v>0</v>
      </c>
      <c r="J7" s="940">
        <v>0</v>
      </c>
      <c r="K7" s="940">
        <v>0</v>
      </c>
      <c r="L7" s="940">
        <v>528</v>
      </c>
      <c r="M7" s="940">
        <v>0</v>
      </c>
      <c r="N7" s="940">
        <v>137</v>
      </c>
      <c r="O7" s="940">
        <v>0</v>
      </c>
      <c r="P7" s="940">
        <f t="shared" si="0"/>
        <v>55839</v>
      </c>
      <c r="Q7" s="941">
        <f t="shared" si="1"/>
        <v>11230</v>
      </c>
      <c r="R7" s="942">
        <f t="shared" si="2"/>
        <v>67069</v>
      </c>
      <c r="S7" s="1268"/>
      <c r="T7" s="939" t="s">
        <v>416</v>
      </c>
      <c r="U7" s="938" t="s">
        <v>736</v>
      </c>
      <c r="V7" s="943">
        <f>38239+165+501+510</f>
        <v>39415</v>
      </c>
      <c r="W7" s="943">
        <f>10181+52+135+138</f>
        <v>10506</v>
      </c>
      <c r="X7" s="943">
        <f>16700+448</f>
        <v>17148</v>
      </c>
      <c r="Y7" s="943">
        <v>7068</v>
      </c>
      <c r="Z7" s="943"/>
      <c r="AA7" s="943">
        <v>0</v>
      </c>
      <c r="AB7" s="943"/>
      <c r="AC7" s="943">
        <v>0</v>
      </c>
      <c r="AD7" s="943">
        <v>0</v>
      </c>
      <c r="AE7" s="955"/>
      <c r="AF7" s="942">
        <f t="shared" si="3"/>
        <v>67069</v>
      </c>
      <c r="AH7" s="944"/>
    </row>
    <row r="8" spans="1:34" ht="12.75">
      <c r="A8" s="1266" t="s">
        <v>737</v>
      </c>
      <c r="B8" s="938" t="s">
        <v>736</v>
      </c>
      <c r="C8" s="939" t="s">
        <v>521</v>
      </c>
      <c r="D8" s="940">
        <v>1855</v>
      </c>
      <c r="E8" s="940">
        <v>1650</v>
      </c>
      <c r="F8" s="940">
        <v>501</v>
      </c>
      <c r="G8" s="940">
        <v>0</v>
      </c>
      <c r="H8" s="940">
        <v>0</v>
      </c>
      <c r="I8" s="940">
        <v>0</v>
      </c>
      <c r="J8" s="940">
        <v>0</v>
      </c>
      <c r="K8" s="940">
        <v>0</v>
      </c>
      <c r="L8" s="940"/>
      <c r="M8" s="940">
        <v>0</v>
      </c>
      <c r="N8" s="940">
        <v>0</v>
      </c>
      <c r="O8" s="940">
        <v>0</v>
      </c>
      <c r="P8" s="940">
        <f t="shared" si="0"/>
        <v>23410</v>
      </c>
      <c r="Q8" s="941">
        <f t="shared" si="1"/>
        <v>2356</v>
      </c>
      <c r="R8" s="942">
        <f t="shared" si="2"/>
        <v>25766</v>
      </c>
      <c r="S8" s="1266" t="s">
        <v>737</v>
      </c>
      <c r="T8" s="939" t="s">
        <v>521</v>
      </c>
      <c r="U8" s="938" t="s">
        <v>736</v>
      </c>
      <c r="V8" s="943">
        <v>14552</v>
      </c>
      <c r="W8" s="943">
        <v>3866</v>
      </c>
      <c r="X8" s="943">
        <v>7348</v>
      </c>
      <c r="Y8" s="943">
        <v>3051</v>
      </c>
      <c r="Z8" s="943"/>
      <c r="AA8" s="943">
        <v>0</v>
      </c>
      <c r="AB8" s="943"/>
      <c r="AC8" s="943">
        <v>0</v>
      </c>
      <c r="AD8" s="943">
        <v>0</v>
      </c>
      <c r="AE8" s="955"/>
      <c r="AF8" s="942">
        <f t="shared" si="3"/>
        <v>25766</v>
      </c>
      <c r="AH8" s="944">
        <v>25766</v>
      </c>
    </row>
    <row r="9" spans="1:34" ht="12.75" customHeight="1" hidden="1">
      <c r="A9" s="1267"/>
      <c r="B9" s="938" t="s">
        <v>736</v>
      </c>
      <c r="C9" s="939" t="s">
        <v>521</v>
      </c>
      <c r="D9" s="940">
        <v>0</v>
      </c>
      <c r="E9" s="940">
        <v>0</v>
      </c>
      <c r="F9" s="940">
        <v>0</v>
      </c>
      <c r="G9" s="940">
        <v>0</v>
      </c>
      <c r="H9" s="940">
        <v>0</v>
      </c>
      <c r="I9" s="940">
        <v>0</v>
      </c>
      <c r="J9" s="940">
        <v>0</v>
      </c>
      <c r="K9" s="940">
        <v>0</v>
      </c>
      <c r="L9" s="940"/>
      <c r="M9" s="940">
        <v>0</v>
      </c>
      <c r="N9" s="940">
        <v>0</v>
      </c>
      <c r="O9" s="940">
        <v>0</v>
      </c>
      <c r="P9" s="940">
        <f t="shared" si="0"/>
        <v>0</v>
      </c>
      <c r="Q9" s="941">
        <f t="shared" si="1"/>
        <v>0</v>
      </c>
      <c r="R9" s="942">
        <f t="shared" si="2"/>
        <v>0</v>
      </c>
      <c r="S9" s="1267"/>
      <c r="T9" s="939" t="s">
        <v>521</v>
      </c>
      <c r="U9" s="938" t="s">
        <v>736</v>
      </c>
      <c r="V9" s="943">
        <v>0</v>
      </c>
      <c r="W9" s="943">
        <v>0</v>
      </c>
      <c r="X9" s="943">
        <v>0</v>
      </c>
      <c r="Y9" s="943">
        <v>0</v>
      </c>
      <c r="Z9" s="943"/>
      <c r="AA9" s="943">
        <v>0</v>
      </c>
      <c r="AB9" s="943"/>
      <c r="AC9" s="943">
        <v>0</v>
      </c>
      <c r="AD9" s="943">
        <v>0</v>
      </c>
      <c r="AE9" s="955"/>
      <c r="AF9" s="942">
        <f t="shared" si="3"/>
        <v>0</v>
      </c>
      <c r="AH9" s="944">
        <v>0</v>
      </c>
    </row>
    <row r="10" spans="1:34" ht="12.75" customHeight="1">
      <c r="A10" s="1267"/>
      <c r="B10" s="938" t="s">
        <v>736</v>
      </c>
      <c r="C10" s="939" t="s">
        <v>445</v>
      </c>
      <c r="D10" s="940">
        <v>1855</v>
      </c>
      <c r="E10" s="940">
        <v>1650</v>
      </c>
      <c r="F10" s="940">
        <v>501</v>
      </c>
      <c r="G10" s="940">
        <v>0</v>
      </c>
      <c r="H10" s="940">
        <v>0</v>
      </c>
      <c r="I10" s="940">
        <v>0</v>
      </c>
      <c r="J10" s="940">
        <v>0</v>
      </c>
      <c r="K10" s="940">
        <v>0</v>
      </c>
      <c r="L10" s="940">
        <v>282</v>
      </c>
      <c r="M10" s="940">
        <v>0</v>
      </c>
      <c r="N10" s="940">
        <v>48</v>
      </c>
      <c r="O10" s="940">
        <v>0</v>
      </c>
      <c r="P10" s="940">
        <f t="shared" si="0"/>
        <v>23575</v>
      </c>
      <c r="Q10" s="941">
        <f t="shared" si="1"/>
        <v>2686</v>
      </c>
      <c r="R10" s="942">
        <f t="shared" si="2"/>
        <v>26261</v>
      </c>
      <c r="S10" s="1267"/>
      <c r="T10" s="939" t="s">
        <v>445</v>
      </c>
      <c r="U10" s="938" t="s">
        <v>736</v>
      </c>
      <c r="V10" s="943">
        <f>14552+216+129</f>
        <v>14897</v>
      </c>
      <c r="W10" s="943">
        <f>3866+58+36</f>
        <v>3960</v>
      </c>
      <c r="X10" s="943">
        <f>7348+56</f>
        <v>7404</v>
      </c>
      <c r="Y10" s="943">
        <v>3051</v>
      </c>
      <c r="Z10" s="943"/>
      <c r="AA10" s="943">
        <v>0</v>
      </c>
      <c r="AB10" s="943"/>
      <c r="AC10" s="943">
        <v>0</v>
      </c>
      <c r="AD10" s="943">
        <v>0</v>
      </c>
      <c r="AE10" s="955"/>
      <c r="AF10" s="942">
        <f t="shared" si="3"/>
        <v>26261</v>
      </c>
      <c r="AH10" s="944">
        <v>25766</v>
      </c>
    </row>
    <row r="11" spans="1:34" ht="12.75" customHeight="1">
      <c r="A11" s="1268"/>
      <c r="B11" s="938" t="s">
        <v>736</v>
      </c>
      <c r="C11" s="939" t="s">
        <v>416</v>
      </c>
      <c r="D11" s="943">
        <v>1855</v>
      </c>
      <c r="E11" s="943">
        <v>1650</v>
      </c>
      <c r="F11" s="943">
        <v>501</v>
      </c>
      <c r="G11" s="943">
        <v>0</v>
      </c>
      <c r="H11" s="943">
        <v>0</v>
      </c>
      <c r="I11" s="943">
        <v>0</v>
      </c>
      <c r="J11" s="943">
        <v>0</v>
      </c>
      <c r="K11" s="943">
        <v>0</v>
      </c>
      <c r="L11" s="940">
        <v>282</v>
      </c>
      <c r="M11" s="940">
        <v>0</v>
      </c>
      <c r="N11" s="940">
        <v>48</v>
      </c>
      <c r="O11" s="940">
        <v>0</v>
      </c>
      <c r="P11" s="940">
        <f t="shared" si="0"/>
        <v>23728</v>
      </c>
      <c r="Q11" s="941">
        <f t="shared" si="1"/>
        <v>2686</v>
      </c>
      <c r="R11" s="942">
        <f t="shared" si="2"/>
        <v>26414</v>
      </c>
      <c r="S11" s="1268"/>
      <c r="T11" s="939" t="s">
        <v>416</v>
      </c>
      <c r="U11" s="938" t="s">
        <v>736</v>
      </c>
      <c r="V11" s="943">
        <f>14552+216+129+120</f>
        <v>15017</v>
      </c>
      <c r="W11" s="943">
        <f>3866+58+36+33</f>
        <v>3993</v>
      </c>
      <c r="X11" s="943">
        <f>7348+56</f>
        <v>7404</v>
      </c>
      <c r="Y11" s="943">
        <v>3051</v>
      </c>
      <c r="Z11" s="943"/>
      <c r="AA11" s="943">
        <v>0</v>
      </c>
      <c r="AB11" s="943"/>
      <c r="AC11" s="943">
        <v>0</v>
      </c>
      <c r="AD11" s="943">
        <v>0</v>
      </c>
      <c r="AE11" s="955"/>
      <c r="AF11" s="942">
        <f t="shared" si="3"/>
        <v>26414</v>
      </c>
      <c r="AH11" s="944"/>
    </row>
    <row r="12" spans="1:34" ht="12.75">
      <c r="A12" s="1266" t="s">
        <v>738</v>
      </c>
      <c r="B12" s="938" t="s">
        <v>736</v>
      </c>
      <c r="C12" s="939" t="s">
        <v>521</v>
      </c>
      <c r="D12" s="943">
        <v>5082</v>
      </c>
      <c r="E12" s="943">
        <v>4604</v>
      </c>
      <c r="F12" s="943">
        <v>1372</v>
      </c>
      <c r="G12" s="943">
        <v>0</v>
      </c>
      <c r="H12" s="943">
        <v>0</v>
      </c>
      <c r="I12" s="943">
        <v>0</v>
      </c>
      <c r="J12" s="943">
        <v>0</v>
      </c>
      <c r="K12" s="943">
        <v>0</v>
      </c>
      <c r="L12" s="940"/>
      <c r="M12" s="940">
        <v>0</v>
      </c>
      <c r="N12" s="940">
        <v>0</v>
      </c>
      <c r="O12" s="940">
        <v>0</v>
      </c>
      <c r="P12" s="940">
        <f t="shared" si="0"/>
        <v>45576</v>
      </c>
      <c r="Q12" s="941">
        <f t="shared" si="1"/>
        <v>6454</v>
      </c>
      <c r="R12" s="942">
        <f t="shared" si="2"/>
        <v>52030</v>
      </c>
      <c r="S12" s="1266" t="s">
        <v>738</v>
      </c>
      <c r="T12" s="939" t="s">
        <v>521</v>
      </c>
      <c r="U12" s="938" t="s">
        <v>736</v>
      </c>
      <c r="V12" s="943">
        <v>31321</v>
      </c>
      <c r="W12" s="943">
        <v>8331</v>
      </c>
      <c r="X12" s="943">
        <v>12378</v>
      </c>
      <c r="Y12" s="943">
        <v>5656</v>
      </c>
      <c r="Z12" s="943"/>
      <c r="AA12" s="943">
        <v>0</v>
      </c>
      <c r="AB12" s="943"/>
      <c r="AC12" s="943">
        <v>0</v>
      </c>
      <c r="AD12" s="943">
        <v>0</v>
      </c>
      <c r="AE12" s="955"/>
      <c r="AF12" s="942">
        <f t="shared" si="3"/>
        <v>52030</v>
      </c>
      <c r="AH12" s="944">
        <v>52030</v>
      </c>
    </row>
    <row r="13" spans="1:34" ht="13.5" customHeight="1">
      <c r="A13" s="1267"/>
      <c r="B13" s="938" t="s">
        <v>736</v>
      </c>
      <c r="C13" s="939" t="s">
        <v>445</v>
      </c>
      <c r="D13" s="943">
        <v>5082</v>
      </c>
      <c r="E13" s="943">
        <v>4604</v>
      </c>
      <c r="F13" s="943">
        <v>1372</v>
      </c>
      <c r="G13" s="943">
        <v>0</v>
      </c>
      <c r="H13" s="943">
        <v>0</v>
      </c>
      <c r="I13" s="943">
        <v>0</v>
      </c>
      <c r="J13" s="943">
        <v>0</v>
      </c>
      <c r="K13" s="943">
        <v>0</v>
      </c>
      <c r="L13" s="940">
        <v>948</v>
      </c>
      <c r="M13" s="940">
        <v>0</v>
      </c>
      <c r="N13" s="940">
        <v>231</v>
      </c>
      <c r="O13" s="940">
        <v>0</v>
      </c>
      <c r="P13" s="940">
        <f t="shared" si="0"/>
        <v>46104</v>
      </c>
      <c r="Q13" s="941">
        <f t="shared" si="1"/>
        <v>7633</v>
      </c>
      <c r="R13" s="942">
        <f t="shared" si="2"/>
        <v>53737</v>
      </c>
      <c r="S13" s="1267"/>
      <c r="T13" s="939" t="s">
        <v>445</v>
      </c>
      <c r="U13" s="938" t="s">
        <v>736</v>
      </c>
      <c r="V13" s="943">
        <f>31321+490+416</f>
        <v>32227</v>
      </c>
      <c r="W13" s="943">
        <f>8331+132+112</f>
        <v>8575</v>
      </c>
      <c r="X13" s="943">
        <f>12378+557</f>
        <v>12935</v>
      </c>
      <c r="Y13" s="943">
        <v>5656</v>
      </c>
      <c r="Z13" s="943"/>
      <c r="AA13" s="943">
        <v>0</v>
      </c>
      <c r="AB13" s="943"/>
      <c r="AC13" s="943">
        <v>0</v>
      </c>
      <c r="AD13" s="943">
        <v>0</v>
      </c>
      <c r="AE13" s="955"/>
      <c r="AF13" s="942">
        <f t="shared" si="3"/>
        <v>53737</v>
      </c>
      <c r="AH13" s="944">
        <v>52030</v>
      </c>
    </row>
    <row r="14" spans="1:34" ht="13.5" customHeight="1">
      <c r="A14" s="1268"/>
      <c r="B14" s="938" t="s">
        <v>736</v>
      </c>
      <c r="C14" s="939" t="s">
        <v>416</v>
      </c>
      <c r="D14" s="943">
        <v>5082</v>
      </c>
      <c r="E14" s="943">
        <v>4604</v>
      </c>
      <c r="F14" s="943">
        <v>1372</v>
      </c>
      <c r="G14" s="943">
        <v>0</v>
      </c>
      <c r="H14" s="943">
        <v>0</v>
      </c>
      <c r="I14" s="943">
        <v>0</v>
      </c>
      <c r="J14" s="943">
        <v>0</v>
      </c>
      <c r="K14" s="943">
        <v>0</v>
      </c>
      <c r="L14" s="940">
        <v>948</v>
      </c>
      <c r="M14" s="940">
        <v>0</v>
      </c>
      <c r="N14" s="940">
        <v>231</v>
      </c>
      <c r="O14" s="940">
        <v>0</v>
      </c>
      <c r="P14" s="940">
        <f t="shared" si="0"/>
        <v>46634</v>
      </c>
      <c r="Q14" s="941">
        <f t="shared" si="1"/>
        <v>7633</v>
      </c>
      <c r="R14" s="942">
        <f t="shared" si="2"/>
        <v>54267</v>
      </c>
      <c r="S14" s="1268"/>
      <c r="T14" s="939" t="s">
        <v>416</v>
      </c>
      <c r="U14" s="938" t="s">
        <v>736</v>
      </c>
      <c r="V14" s="943">
        <f>31321+490+416+417</f>
        <v>32644</v>
      </c>
      <c r="W14" s="943">
        <f>8331+132+112+113</f>
        <v>8688</v>
      </c>
      <c r="X14" s="943">
        <f>12378+557</f>
        <v>12935</v>
      </c>
      <c r="Y14" s="943">
        <v>5656</v>
      </c>
      <c r="Z14" s="943"/>
      <c r="AA14" s="943">
        <v>0</v>
      </c>
      <c r="AB14" s="943"/>
      <c r="AC14" s="943">
        <v>0</v>
      </c>
      <c r="AD14" s="943">
        <v>0</v>
      </c>
      <c r="AE14" s="955"/>
      <c r="AF14" s="942">
        <f t="shared" si="3"/>
        <v>54267</v>
      </c>
      <c r="AH14" s="944"/>
    </row>
    <row r="15" spans="1:34" ht="12.75">
      <c r="A15" s="1266" t="s">
        <v>739</v>
      </c>
      <c r="B15" s="938" t="s">
        <v>736</v>
      </c>
      <c r="C15" s="939" t="s">
        <v>521</v>
      </c>
      <c r="D15" s="943">
        <v>8809</v>
      </c>
      <c r="E15" s="943">
        <v>5142</v>
      </c>
      <c r="F15" s="943">
        <v>2378</v>
      </c>
      <c r="G15" s="943">
        <v>0</v>
      </c>
      <c r="H15" s="943">
        <v>0</v>
      </c>
      <c r="I15" s="943">
        <v>0</v>
      </c>
      <c r="J15" s="943">
        <v>0</v>
      </c>
      <c r="K15" s="943">
        <v>0</v>
      </c>
      <c r="L15" s="940"/>
      <c r="M15" s="940">
        <v>0</v>
      </c>
      <c r="N15" s="940">
        <v>0</v>
      </c>
      <c r="O15" s="940">
        <v>0</v>
      </c>
      <c r="P15" s="940">
        <f t="shared" si="0"/>
        <v>64369</v>
      </c>
      <c r="Q15" s="941">
        <f t="shared" si="1"/>
        <v>11187</v>
      </c>
      <c r="R15" s="942">
        <f t="shared" si="2"/>
        <v>75556</v>
      </c>
      <c r="S15" s="1266" t="s">
        <v>739</v>
      </c>
      <c r="T15" s="939" t="s">
        <v>521</v>
      </c>
      <c r="U15" s="938" t="s">
        <v>736</v>
      </c>
      <c r="V15" s="943">
        <v>40858</v>
      </c>
      <c r="W15" s="943">
        <v>10791</v>
      </c>
      <c r="X15" s="943">
        <v>23907</v>
      </c>
      <c r="Y15" s="943">
        <v>7301</v>
      </c>
      <c r="Z15" s="943"/>
      <c r="AA15" s="943">
        <v>0</v>
      </c>
      <c r="AB15" s="943"/>
      <c r="AC15" s="943">
        <v>0</v>
      </c>
      <c r="AD15" s="943">
        <v>0</v>
      </c>
      <c r="AE15" s="955"/>
      <c r="AF15" s="942">
        <f t="shared" si="3"/>
        <v>75556</v>
      </c>
      <c r="AH15" s="944">
        <v>75556</v>
      </c>
    </row>
    <row r="16" spans="1:34" ht="12.75" customHeight="1">
      <c r="A16" s="1267"/>
      <c r="B16" s="938" t="s">
        <v>736</v>
      </c>
      <c r="C16" s="939" t="s">
        <v>445</v>
      </c>
      <c r="D16" s="943">
        <v>8809</v>
      </c>
      <c r="E16" s="943">
        <v>5142</v>
      </c>
      <c r="F16" s="943">
        <v>2378</v>
      </c>
      <c r="G16" s="943">
        <v>0</v>
      </c>
      <c r="H16" s="943">
        <v>0</v>
      </c>
      <c r="I16" s="943">
        <v>0</v>
      </c>
      <c r="J16" s="943">
        <v>0</v>
      </c>
      <c r="K16" s="943">
        <v>0</v>
      </c>
      <c r="L16" s="940">
        <v>506</v>
      </c>
      <c r="M16" s="940">
        <v>0</v>
      </c>
      <c r="N16" s="940">
        <v>249</v>
      </c>
      <c r="O16" s="940">
        <v>0</v>
      </c>
      <c r="P16" s="940">
        <f t="shared" si="0"/>
        <v>64792</v>
      </c>
      <c r="Q16" s="941">
        <f t="shared" si="1"/>
        <v>11942</v>
      </c>
      <c r="R16" s="942">
        <f t="shared" si="2"/>
        <v>76734</v>
      </c>
      <c r="S16" s="1267"/>
      <c r="T16" s="939" t="s">
        <v>445</v>
      </c>
      <c r="U16" s="938" t="s">
        <v>736</v>
      </c>
      <c r="V16" s="943">
        <f>40858+334</f>
        <v>41192</v>
      </c>
      <c r="W16" s="943">
        <f>10791+89</f>
        <v>10880</v>
      </c>
      <c r="X16" s="943">
        <f>23907+755</f>
        <v>24662</v>
      </c>
      <c r="Y16" s="943">
        <v>7301</v>
      </c>
      <c r="Z16" s="943"/>
      <c r="AA16" s="943">
        <v>0</v>
      </c>
      <c r="AB16" s="943"/>
      <c r="AC16" s="943">
        <v>0</v>
      </c>
      <c r="AD16" s="943">
        <v>0</v>
      </c>
      <c r="AE16" s="955"/>
      <c r="AF16" s="942">
        <f t="shared" si="3"/>
        <v>76734</v>
      </c>
      <c r="AH16" s="944">
        <v>75556</v>
      </c>
    </row>
    <row r="17" spans="1:34" ht="12.75" customHeight="1">
      <c r="A17" s="1268"/>
      <c r="B17" s="938" t="s">
        <v>736</v>
      </c>
      <c r="C17" s="939" t="s">
        <v>416</v>
      </c>
      <c r="D17" s="943">
        <f>8809+79</f>
        <v>8888</v>
      </c>
      <c r="E17" s="943">
        <v>5142</v>
      </c>
      <c r="F17" s="943">
        <f>2378+21</f>
        <v>2399</v>
      </c>
      <c r="G17" s="943">
        <v>0</v>
      </c>
      <c r="H17" s="943">
        <v>0</v>
      </c>
      <c r="I17" s="943">
        <v>0</v>
      </c>
      <c r="J17" s="943">
        <v>0</v>
      </c>
      <c r="K17" s="943">
        <v>0</v>
      </c>
      <c r="L17" s="940">
        <v>506</v>
      </c>
      <c r="M17" s="940">
        <v>0</v>
      </c>
      <c r="N17" s="940">
        <v>249</v>
      </c>
      <c r="O17" s="940">
        <v>0</v>
      </c>
      <c r="P17" s="940">
        <f t="shared" si="0"/>
        <v>65164</v>
      </c>
      <c r="Q17" s="941">
        <f t="shared" si="1"/>
        <v>12042</v>
      </c>
      <c r="R17" s="942">
        <f t="shared" si="2"/>
        <v>77206</v>
      </c>
      <c r="S17" s="1268"/>
      <c r="T17" s="939" t="s">
        <v>416</v>
      </c>
      <c r="U17" s="938" t="s">
        <v>736</v>
      </c>
      <c r="V17" s="943">
        <f>40858+334+294</f>
        <v>41486</v>
      </c>
      <c r="W17" s="943">
        <f>10791+89+78</f>
        <v>10958</v>
      </c>
      <c r="X17" s="943">
        <f>23907+755+100</f>
        <v>24762</v>
      </c>
      <c r="Y17" s="943">
        <v>7301</v>
      </c>
      <c r="Z17" s="943"/>
      <c r="AA17" s="943">
        <v>0</v>
      </c>
      <c r="AB17" s="943"/>
      <c r="AC17" s="943">
        <v>0</v>
      </c>
      <c r="AD17" s="943">
        <v>0</v>
      </c>
      <c r="AE17" s="955"/>
      <c r="AF17" s="942">
        <f t="shared" si="3"/>
        <v>77206</v>
      </c>
      <c r="AH17" s="944"/>
    </row>
    <row r="18" spans="1:34" ht="12.75">
      <c r="A18" s="1266" t="s">
        <v>740</v>
      </c>
      <c r="B18" s="938" t="s">
        <v>736</v>
      </c>
      <c r="C18" s="939" t="s">
        <v>521</v>
      </c>
      <c r="D18" s="943">
        <v>14948</v>
      </c>
      <c r="E18" s="943">
        <v>3206</v>
      </c>
      <c r="F18" s="943">
        <v>4036</v>
      </c>
      <c r="G18" s="943">
        <v>0</v>
      </c>
      <c r="H18" s="943">
        <v>0</v>
      </c>
      <c r="I18" s="943">
        <v>0</v>
      </c>
      <c r="J18" s="943">
        <v>0</v>
      </c>
      <c r="K18" s="943">
        <v>0</v>
      </c>
      <c r="L18" s="940"/>
      <c r="M18" s="940">
        <v>0</v>
      </c>
      <c r="N18" s="940">
        <v>0</v>
      </c>
      <c r="O18" s="940">
        <v>0</v>
      </c>
      <c r="P18" s="940">
        <f t="shared" si="0"/>
        <v>35843</v>
      </c>
      <c r="Q18" s="941">
        <f t="shared" si="1"/>
        <v>18984</v>
      </c>
      <c r="R18" s="942">
        <f t="shared" si="2"/>
        <v>54827</v>
      </c>
      <c r="S18" s="1266" t="s">
        <v>740</v>
      </c>
      <c r="T18" s="939" t="s">
        <v>521</v>
      </c>
      <c r="U18" s="938" t="s">
        <v>736</v>
      </c>
      <c r="V18" s="943">
        <v>27788</v>
      </c>
      <c r="W18" s="943">
        <v>7355</v>
      </c>
      <c r="X18" s="943">
        <v>19684</v>
      </c>
      <c r="Y18" s="943">
        <v>3783</v>
      </c>
      <c r="Z18" s="943"/>
      <c r="AA18" s="943">
        <v>0</v>
      </c>
      <c r="AB18" s="943"/>
      <c r="AC18" s="943">
        <v>0</v>
      </c>
      <c r="AD18" s="943">
        <v>0</v>
      </c>
      <c r="AE18" s="955"/>
      <c r="AF18" s="942">
        <f t="shared" si="3"/>
        <v>54827</v>
      </c>
      <c r="AH18" s="944">
        <v>54827</v>
      </c>
    </row>
    <row r="19" spans="1:34" ht="12.75" customHeight="1">
      <c r="A19" s="1267"/>
      <c r="B19" s="938" t="s">
        <v>736</v>
      </c>
      <c r="C19" s="939" t="s">
        <v>445</v>
      </c>
      <c r="D19" s="943">
        <v>14948</v>
      </c>
      <c r="E19" s="943">
        <v>3206</v>
      </c>
      <c r="F19" s="943">
        <v>4036</v>
      </c>
      <c r="G19" s="943">
        <v>0</v>
      </c>
      <c r="H19" s="943">
        <v>0</v>
      </c>
      <c r="I19" s="943">
        <v>0</v>
      </c>
      <c r="J19" s="943">
        <v>0</v>
      </c>
      <c r="K19" s="943">
        <v>0</v>
      </c>
      <c r="L19" s="940">
        <v>682</v>
      </c>
      <c r="M19" s="940">
        <v>0</v>
      </c>
      <c r="N19" s="940">
        <v>88</v>
      </c>
      <c r="O19" s="940">
        <v>0</v>
      </c>
      <c r="P19" s="940">
        <f t="shared" si="0"/>
        <v>36225</v>
      </c>
      <c r="Q19" s="941">
        <f t="shared" si="1"/>
        <v>19754</v>
      </c>
      <c r="R19" s="942">
        <f t="shared" si="2"/>
        <v>55979</v>
      </c>
      <c r="S19" s="1267"/>
      <c r="T19" s="939" t="s">
        <v>445</v>
      </c>
      <c r="U19" s="938" t="s">
        <v>736</v>
      </c>
      <c r="V19" s="943">
        <f>27788+301</f>
        <v>28089</v>
      </c>
      <c r="W19" s="943">
        <f>7355+81</f>
        <v>7436</v>
      </c>
      <c r="X19" s="943">
        <f>19684+770</f>
        <v>20454</v>
      </c>
      <c r="Y19" s="943">
        <v>3783</v>
      </c>
      <c r="Z19" s="943"/>
      <c r="AA19" s="943">
        <v>0</v>
      </c>
      <c r="AB19" s="943"/>
      <c r="AC19" s="943">
        <v>0</v>
      </c>
      <c r="AD19" s="943">
        <v>0</v>
      </c>
      <c r="AE19" s="955"/>
      <c r="AF19" s="942">
        <f t="shared" si="3"/>
        <v>55979</v>
      </c>
      <c r="AH19" s="944">
        <v>54827</v>
      </c>
    </row>
    <row r="20" spans="1:34" ht="12.75" customHeight="1">
      <c r="A20" s="1268"/>
      <c r="B20" s="938" t="s">
        <v>736</v>
      </c>
      <c r="C20" s="939" t="s">
        <v>416</v>
      </c>
      <c r="D20" s="943">
        <v>14948</v>
      </c>
      <c r="E20" s="943">
        <v>3206</v>
      </c>
      <c r="F20" s="943">
        <v>4036</v>
      </c>
      <c r="G20" s="943">
        <v>0</v>
      </c>
      <c r="H20" s="943">
        <v>0</v>
      </c>
      <c r="I20" s="943">
        <v>0</v>
      </c>
      <c r="J20" s="943">
        <v>0</v>
      </c>
      <c r="K20" s="943">
        <v>0</v>
      </c>
      <c r="L20" s="940">
        <v>682</v>
      </c>
      <c r="M20" s="940">
        <v>0</v>
      </c>
      <c r="N20" s="940">
        <v>88</v>
      </c>
      <c r="O20" s="940">
        <v>0</v>
      </c>
      <c r="P20" s="940">
        <f t="shared" si="0"/>
        <v>36621</v>
      </c>
      <c r="Q20" s="941">
        <f t="shared" si="1"/>
        <v>19754</v>
      </c>
      <c r="R20" s="942">
        <f t="shared" si="2"/>
        <v>56375</v>
      </c>
      <c r="S20" s="1268"/>
      <c r="T20" s="939" t="s">
        <v>416</v>
      </c>
      <c r="U20" s="938" t="s">
        <v>736</v>
      </c>
      <c r="V20" s="943">
        <f>27788+301+312</f>
        <v>28401</v>
      </c>
      <c r="W20" s="943">
        <f>7355+81+84</f>
        <v>7520</v>
      </c>
      <c r="X20" s="943">
        <f>19684+770</f>
        <v>20454</v>
      </c>
      <c r="Y20" s="943">
        <v>3783</v>
      </c>
      <c r="Z20" s="943"/>
      <c r="AA20" s="943">
        <v>0</v>
      </c>
      <c r="AB20" s="943"/>
      <c r="AC20" s="943">
        <v>0</v>
      </c>
      <c r="AD20" s="943">
        <v>0</v>
      </c>
      <c r="AE20" s="955"/>
      <c r="AF20" s="942">
        <f t="shared" si="3"/>
        <v>56375</v>
      </c>
      <c r="AH20" s="944"/>
    </row>
    <row r="21" spans="1:34" ht="12.75">
      <c r="A21" s="1266" t="s">
        <v>741</v>
      </c>
      <c r="B21" s="938" t="s">
        <v>736</v>
      </c>
      <c r="C21" s="939" t="s">
        <v>521</v>
      </c>
      <c r="D21" s="943">
        <v>5037</v>
      </c>
      <c r="E21" s="943">
        <v>4797</v>
      </c>
      <c r="F21" s="943">
        <v>1360</v>
      </c>
      <c r="G21" s="943">
        <v>0</v>
      </c>
      <c r="H21" s="943">
        <v>0</v>
      </c>
      <c r="I21" s="943">
        <v>0</v>
      </c>
      <c r="J21" s="943">
        <v>0</v>
      </c>
      <c r="K21" s="943">
        <v>0</v>
      </c>
      <c r="L21" s="940"/>
      <c r="M21" s="940">
        <v>0</v>
      </c>
      <c r="N21" s="940">
        <v>0</v>
      </c>
      <c r="O21" s="940">
        <v>0</v>
      </c>
      <c r="P21" s="940">
        <f t="shared" si="0"/>
        <v>43414</v>
      </c>
      <c r="Q21" s="941">
        <f t="shared" si="1"/>
        <v>6397</v>
      </c>
      <c r="R21" s="942">
        <f t="shared" si="2"/>
        <v>49811</v>
      </c>
      <c r="S21" s="1266" t="s">
        <v>741</v>
      </c>
      <c r="T21" s="939" t="s">
        <v>521</v>
      </c>
      <c r="U21" s="938" t="s">
        <v>736</v>
      </c>
      <c r="V21" s="943">
        <v>29641</v>
      </c>
      <c r="W21" s="943">
        <v>7879</v>
      </c>
      <c r="X21" s="943">
        <v>12291</v>
      </c>
      <c r="Y21" s="943">
        <v>6318</v>
      </c>
      <c r="Z21" s="943"/>
      <c r="AA21" s="943">
        <v>0</v>
      </c>
      <c r="AB21" s="943"/>
      <c r="AC21" s="943">
        <v>0</v>
      </c>
      <c r="AD21" s="943">
        <v>0</v>
      </c>
      <c r="AE21" s="955"/>
      <c r="AF21" s="942">
        <f t="shared" si="3"/>
        <v>49811</v>
      </c>
      <c r="AH21" s="944">
        <v>49811</v>
      </c>
    </row>
    <row r="22" spans="1:34" ht="12.75" customHeight="1">
      <c r="A22" s="1267"/>
      <c r="B22" s="938" t="s">
        <v>736</v>
      </c>
      <c r="C22" s="939" t="s">
        <v>445</v>
      </c>
      <c r="D22" s="943">
        <v>5037</v>
      </c>
      <c r="E22" s="943">
        <v>4797</v>
      </c>
      <c r="F22" s="943">
        <v>1360</v>
      </c>
      <c r="G22" s="943">
        <v>0</v>
      </c>
      <c r="H22" s="943">
        <v>0</v>
      </c>
      <c r="I22" s="943">
        <v>0</v>
      </c>
      <c r="J22" s="943">
        <f>70+1576-285</f>
        <v>1361</v>
      </c>
      <c r="K22" s="943">
        <v>285</v>
      </c>
      <c r="L22" s="940">
        <v>19</v>
      </c>
      <c r="M22" s="940">
        <v>0</v>
      </c>
      <c r="N22" s="940">
        <v>474</v>
      </c>
      <c r="O22" s="940">
        <v>0</v>
      </c>
      <c r="P22" s="940">
        <f t="shared" si="0"/>
        <v>43991</v>
      </c>
      <c r="Q22" s="941">
        <f t="shared" si="1"/>
        <v>8536</v>
      </c>
      <c r="R22" s="942">
        <f t="shared" si="2"/>
        <v>52527</v>
      </c>
      <c r="S22" s="1267"/>
      <c r="T22" s="939" t="s">
        <v>445</v>
      </c>
      <c r="U22" s="938" t="s">
        <v>736</v>
      </c>
      <c r="V22" s="943">
        <f>29641+55+217+659+375</f>
        <v>30947</v>
      </c>
      <c r="W22" s="943">
        <f>7879+15-1+16+102</f>
        <v>8011</v>
      </c>
      <c r="X22" s="943">
        <f>12291+100+277+616</f>
        <v>13284</v>
      </c>
      <c r="Y22" s="943">
        <v>6318</v>
      </c>
      <c r="Z22" s="943"/>
      <c r="AA22" s="943">
        <v>0</v>
      </c>
      <c r="AB22" s="943"/>
      <c r="AC22" s="943">
        <v>285</v>
      </c>
      <c r="AD22" s="943">
        <v>0</v>
      </c>
      <c r="AE22" s="955"/>
      <c r="AF22" s="942">
        <f t="shared" si="3"/>
        <v>52527</v>
      </c>
      <c r="AH22" s="944">
        <v>49811</v>
      </c>
    </row>
    <row r="23" spans="1:34" ht="12.75" customHeight="1">
      <c r="A23" s="1268"/>
      <c r="B23" s="938" t="s">
        <v>736</v>
      </c>
      <c r="C23" s="939" t="s">
        <v>416</v>
      </c>
      <c r="D23" s="943">
        <v>5037</v>
      </c>
      <c r="E23" s="943">
        <v>4797</v>
      </c>
      <c r="F23" s="943">
        <v>1360</v>
      </c>
      <c r="G23" s="943">
        <v>0</v>
      </c>
      <c r="H23" s="943">
        <v>0</v>
      </c>
      <c r="I23" s="943">
        <v>0</v>
      </c>
      <c r="J23" s="943">
        <f>70+1576-285</f>
        <v>1361</v>
      </c>
      <c r="K23" s="943">
        <v>285</v>
      </c>
      <c r="L23" s="940">
        <v>19</v>
      </c>
      <c r="M23" s="940">
        <v>0</v>
      </c>
      <c r="N23" s="940">
        <v>474</v>
      </c>
      <c r="O23" s="940">
        <v>0</v>
      </c>
      <c r="P23" s="940">
        <f t="shared" si="0"/>
        <v>44444</v>
      </c>
      <c r="Q23" s="941">
        <f t="shared" si="1"/>
        <v>8536</v>
      </c>
      <c r="R23" s="942">
        <f t="shared" si="2"/>
        <v>52980</v>
      </c>
      <c r="S23" s="1268"/>
      <c r="T23" s="939" t="s">
        <v>416</v>
      </c>
      <c r="U23" s="938" t="s">
        <v>736</v>
      </c>
      <c r="V23" s="943">
        <f>29641+55+217+659+375+357</f>
        <v>31304</v>
      </c>
      <c r="W23" s="943">
        <f>7879+15-1+16+102+96</f>
        <v>8107</v>
      </c>
      <c r="X23" s="943">
        <f>12291+100+277+616</f>
        <v>13284</v>
      </c>
      <c r="Y23" s="943">
        <v>6318</v>
      </c>
      <c r="Z23" s="943"/>
      <c r="AA23" s="943">
        <v>0</v>
      </c>
      <c r="AB23" s="943"/>
      <c r="AC23" s="943">
        <v>285</v>
      </c>
      <c r="AD23" s="943">
        <v>0</v>
      </c>
      <c r="AE23" s="955"/>
      <c r="AF23" s="942">
        <f t="shared" si="3"/>
        <v>52980</v>
      </c>
      <c r="AH23" s="944"/>
    </row>
    <row r="24" spans="1:34" ht="12.75">
      <c r="A24" s="1266" t="s">
        <v>742</v>
      </c>
      <c r="B24" s="938" t="s">
        <v>736</v>
      </c>
      <c r="C24" s="939" t="s">
        <v>521</v>
      </c>
      <c r="D24" s="943">
        <v>1187</v>
      </c>
      <c r="E24" s="943">
        <v>1136</v>
      </c>
      <c r="F24" s="943">
        <v>320</v>
      </c>
      <c r="G24" s="943">
        <v>0</v>
      </c>
      <c r="H24" s="943">
        <v>0</v>
      </c>
      <c r="I24" s="943">
        <v>0</v>
      </c>
      <c r="J24" s="943">
        <v>0</v>
      </c>
      <c r="K24" s="943">
        <v>0</v>
      </c>
      <c r="L24" s="940"/>
      <c r="M24" s="940">
        <v>0</v>
      </c>
      <c r="N24" s="940">
        <v>0</v>
      </c>
      <c r="O24" s="940">
        <v>0</v>
      </c>
      <c r="P24" s="940">
        <f t="shared" si="0"/>
        <v>12216</v>
      </c>
      <c r="Q24" s="941">
        <f t="shared" si="1"/>
        <v>1507</v>
      </c>
      <c r="R24" s="942">
        <f t="shared" si="2"/>
        <v>13723</v>
      </c>
      <c r="S24" s="1266" t="s">
        <v>742</v>
      </c>
      <c r="T24" s="939" t="s">
        <v>521</v>
      </c>
      <c r="U24" s="938" t="s">
        <v>736</v>
      </c>
      <c r="V24" s="943">
        <v>7980</v>
      </c>
      <c r="W24" s="943">
        <v>2151</v>
      </c>
      <c r="X24" s="943">
        <v>3592</v>
      </c>
      <c r="Y24" s="943">
        <v>1344</v>
      </c>
      <c r="Z24" s="943"/>
      <c r="AA24" s="943">
        <v>0</v>
      </c>
      <c r="AB24" s="943"/>
      <c r="AC24" s="943">
        <v>0</v>
      </c>
      <c r="AD24" s="943">
        <v>0</v>
      </c>
      <c r="AE24" s="955"/>
      <c r="AF24" s="942">
        <f t="shared" si="3"/>
        <v>13723</v>
      </c>
      <c r="AH24" s="944">
        <v>13723</v>
      </c>
    </row>
    <row r="25" spans="1:34" ht="12.75" customHeight="1">
      <c r="A25" s="1267"/>
      <c r="B25" s="938" t="s">
        <v>736</v>
      </c>
      <c r="C25" s="939" t="s">
        <v>445</v>
      </c>
      <c r="D25" s="943">
        <v>1187</v>
      </c>
      <c r="E25" s="943">
        <v>1136</v>
      </c>
      <c r="F25" s="943">
        <v>320</v>
      </c>
      <c r="G25" s="943">
        <v>0</v>
      </c>
      <c r="H25" s="943">
        <v>0</v>
      </c>
      <c r="I25" s="943">
        <v>0</v>
      </c>
      <c r="J25" s="943">
        <v>0</v>
      </c>
      <c r="K25" s="943">
        <v>0</v>
      </c>
      <c r="L25" s="940"/>
      <c r="M25" s="940">
        <v>0</v>
      </c>
      <c r="N25" s="940">
        <v>128</v>
      </c>
      <c r="O25" s="940">
        <v>0</v>
      </c>
      <c r="P25" s="940">
        <f t="shared" si="0"/>
        <v>12295</v>
      </c>
      <c r="Q25" s="941">
        <f t="shared" si="1"/>
        <v>1635</v>
      </c>
      <c r="R25" s="942">
        <f t="shared" si="2"/>
        <v>13930</v>
      </c>
      <c r="S25" s="1267"/>
      <c r="T25" s="939" t="s">
        <v>445</v>
      </c>
      <c r="U25" s="938" t="s">
        <v>736</v>
      </c>
      <c r="V25" s="943">
        <f>7980+62</f>
        <v>8042</v>
      </c>
      <c r="W25" s="943">
        <f>2151+17</f>
        <v>2168</v>
      </c>
      <c r="X25" s="943">
        <f>3592+128</f>
        <v>3720</v>
      </c>
      <c r="Y25" s="943">
        <v>1344</v>
      </c>
      <c r="Z25" s="943"/>
      <c r="AA25" s="943">
        <v>0</v>
      </c>
      <c r="AB25" s="943"/>
      <c r="AC25" s="943">
        <v>0</v>
      </c>
      <c r="AD25" s="943">
        <v>0</v>
      </c>
      <c r="AE25" s="955"/>
      <c r="AF25" s="942">
        <f t="shared" si="3"/>
        <v>13930</v>
      </c>
      <c r="AH25" s="944">
        <v>13723</v>
      </c>
    </row>
    <row r="26" spans="1:34" ht="12.75" customHeight="1">
      <c r="A26" s="1268"/>
      <c r="B26" s="938" t="s">
        <v>736</v>
      </c>
      <c r="C26" s="939" t="s">
        <v>416</v>
      </c>
      <c r="D26" s="943">
        <v>1187</v>
      </c>
      <c r="E26" s="943">
        <v>1136</v>
      </c>
      <c r="F26" s="943">
        <v>320</v>
      </c>
      <c r="G26" s="943">
        <v>0</v>
      </c>
      <c r="H26" s="943">
        <v>0</v>
      </c>
      <c r="I26" s="943">
        <v>0</v>
      </c>
      <c r="J26" s="943">
        <v>0</v>
      </c>
      <c r="K26" s="943">
        <v>0</v>
      </c>
      <c r="L26" s="940"/>
      <c r="M26" s="940">
        <v>0</v>
      </c>
      <c r="N26" s="940">
        <v>128</v>
      </c>
      <c r="O26" s="940">
        <v>0</v>
      </c>
      <c r="P26" s="940">
        <f t="shared" si="0"/>
        <v>12446</v>
      </c>
      <c r="Q26" s="941">
        <f t="shared" si="1"/>
        <v>1635</v>
      </c>
      <c r="R26" s="942">
        <f t="shared" si="2"/>
        <v>14081</v>
      </c>
      <c r="S26" s="1268"/>
      <c r="T26" s="939" t="s">
        <v>416</v>
      </c>
      <c r="U26" s="938" t="s">
        <v>736</v>
      </c>
      <c r="V26" s="943">
        <f>7980+62+63</f>
        <v>8105</v>
      </c>
      <c r="W26" s="943">
        <f>2151+17+18</f>
        <v>2186</v>
      </c>
      <c r="X26" s="943">
        <f>3592+128+70</f>
        <v>3790</v>
      </c>
      <c r="Y26" s="943">
        <v>1344</v>
      </c>
      <c r="Z26" s="943"/>
      <c r="AA26" s="943">
        <v>0</v>
      </c>
      <c r="AB26" s="943"/>
      <c r="AC26" s="943">
        <v>0</v>
      </c>
      <c r="AD26" s="943">
        <v>0</v>
      </c>
      <c r="AE26" s="955"/>
      <c r="AF26" s="942">
        <f t="shared" si="3"/>
        <v>14081</v>
      </c>
      <c r="AH26" s="944"/>
    </row>
    <row r="27" spans="1:34" ht="12.75">
      <c r="A27" s="1266" t="s">
        <v>743</v>
      </c>
      <c r="B27" s="938" t="s">
        <v>736</v>
      </c>
      <c r="C27" s="939" t="s">
        <v>521</v>
      </c>
      <c r="D27" s="943">
        <v>7597</v>
      </c>
      <c r="E27" s="943">
        <v>4337</v>
      </c>
      <c r="F27" s="943">
        <v>1511</v>
      </c>
      <c r="G27" s="943">
        <v>0</v>
      </c>
      <c r="H27" s="943">
        <v>0</v>
      </c>
      <c r="I27" s="943">
        <v>0</v>
      </c>
      <c r="J27" s="943">
        <v>0</v>
      </c>
      <c r="K27" s="943">
        <v>0</v>
      </c>
      <c r="L27" s="940">
        <v>0</v>
      </c>
      <c r="M27" s="940">
        <v>0</v>
      </c>
      <c r="N27" s="940">
        <v>0</v>
      </c>
      <c r="O27" s="940">
        <v>0</v>
      </c>
      <c r="P27" s="940">
        <f t="shared" si="0"/>
        <v>73196</v>
      </c>
      <c r="Q27" s="941">
        <f t="shared" si="1"/>
        <v>9108</v>
      </c>
      <c r="R27" s="942">
        <f t="shared" si="2"/>
        <v>82304</v>
      </c>
      <c r="S27" s="1266" t="s">
        <v>743</v>
      </c>
      <c r="T27" s="939" t="s">
        <v>521</v>
      </c>
      <c r="U27" s="938" t="s">
        <v>736</v>
      </c>
      <c r="V27" s="943">
        <v>48424</v>
      </c>
      <c r="W27" s="943">
        <v>12831</v>
      </c>
      <c r="X27" s="943">
        <v>21049</v>
      </c>
      <c r="Y27" s="943">
        <v>5504</v>
      </c>
      <c r="Z27" s="943"/>
      <c r="AA27" s="943">
        <v>0</v>
      </c>
      <c r="AB27" s="943"/>
      <c r="AC27" s="943">
        <v>0</v>
      </c>
      <c r="AD27" s="943">
        <v>0</v>
      </c>
      <c r="AE27" s="955"/>
      <c r="AF27" s="942">
        <f t="shared" si="3"/>
        <v>82304</v>
      </c>
      <c r="AH27" s="944">
        <v>82304</v>
      </c>
    </row>
    <row r="28" spans="1:34" ht="12.75" customHeight="1">
      <c r="A28" s="1267"/>
      <c r="B28" s="938" t="s">
        <v>736</v>
      </c>
      <c r="C28" s="939" t="s">
        <v>445</v>
      </c>
      <c r="D28" s="943">
        <v>7597</v>
      </c>
      <c r="E28" s="943">
        <v>4337</v>
      </c>
      <c r="F28" s="943">
        <v>1511</v>
      </c>
      <c r="G28" s="943">
        <v>0</v>
      </c>
      <c r="H28" s="943">
        <v>0</v>
      </c>
      <c r="I28" s="943">
        <v>0</v>
      </c>
      <c r="J28" s="943">
        <v>0</v>
      </c>
      <c r="K28" s="943">
        <v>0</v>
      </c>
      <c r="L28" s="940">
        <v>1283</v>
      </c>
      <c r="M28" s="940">
        <v>0</v>
      </c>
      <c r="N28" s="940">
        <v>217</v>
      </c>
      <c r="O28" s="940">
        <v>0</v>
      </c>
      <c r="P28" s="940">
        <f aca="true" t="shared" si="4" ref="P28:P41">AF28-Q28</f>
        <v>73985</v>
      </c>
      <c r="Q28" s="941">
        <f aca="true" t="shared" si="5" ref="Q28:Q41">SUM(D28:O28)-E28</f>
        <v>10608</v>
      </c>
      <c r="R28" s="942">
        <f aca="true" t="shared" si="6" ref="R28:R41">P28+Q28</f>
        <v>84593</v>
      </c>
      <c r="S28" s="1267"/>
      <c r="T28" s="939" t="s">
        <v>445</v>
      </c>
      <c r="U28" s="938" t="s">
        <v>736</v>
      </c>
      <c r="V28" s="943">
        <f>48424-68+621</f>
        <v>48977</v>
      </c>
      <c r="W28" s="943">
        <f>12831-25+168</f>
        <v>12974</v>
      </c>
      <c r="X28" s="943">
        <f>21049+1593</f>
        <v>22642</v>
      </c>
      <c r="Y28" s="943">
        <v>5504</v>
      </c>
      <c r="Z28" s="943"/>
      <c r="AA28" s="943">
        <v>0</v>
      </c>
      <c r="AB28" s="943"/>
      <c r="AC28" s="943">
        <v>0</v>
      </c>
      <c r="AD28" s="943">
        <v>0</v>
      </c>
      <c r="AE28" s="955"/>
      <c r="AF28" s="942">
        <f aca="true" t="shared" si="7" ref="AF28:AF41">SUM(V28:AD28)-Y28</f>
        <v>84593</v>
      </c>
      <c r="AH28" s="944">
        <v>82304</v>
      </c>
    </row>
    <row r="29" spans="1:34" ht="15.75" customHeight="1">
      <c r="A29" s="1268"/>
      <c r="B29" s="938" t="s">
        <v>736</v>
      </c>
      <c r="C29" s="939" t="s">
        <v>416</v>
      </c>
      <c r="D29" s="943">
        <f>7597+1500</f>
        <v>9097</v>
      </c>
      <c r="E29" s="943">
        <v>4337</v>
      </c>
      <c r="F29" s="943">
        <v>1511</v>
      </c>
      <c r="G29" s="943">
        <v>0</v>
      </c>
      <c r="H29" s="943">
        <v>4</v>
      </c>
      <c r="I29" s="943">
        <v>0</v>
      </c>
      <c r="J29" s="943">
        <v>0</v>
      </c>
      <c r="K29" s="943">
        <v>0</v>
      </c>
      <c r="L29" s="940">
        <v>1283</v>
      </c>
      <c r="M29" s="940">
        <v>0</v>
      </c>
      <c r="N29" s="940">
        <v>217</v>
      </c>
      <c r="O29" s="940">
        <v>0</v>
      </c>
      <c r="P29" s="940">
        <f t="shared" si="4"/>
        <v>74785</v>
      </c>
      <c r="Q29" s="941">
        <f t="shared" si="5"/>
        <v>12112</v>
      </c>
      <c r="R29" s="942">
        <f t="shared" si="6"/>
        <v>86897</v>
      </c>
      <c r="S29" s="1268"/>
      <c r="T29" s="939" t="s">
        <v>416</v>
      </c>
      <c r="U29" s="938" t="s">
        <v>736</v>
      </c>
      <c r="V29" s="943">
        <f>48424-68+621+630</f>
        <v>49607</v>
      </c>
      <c r="W29" s="943">
        <f>12831-25+168+170</f>
        <v>13144</v>
      </c>
      <c r="X29" s="943">
        <f>21049+1593+4</f>
        <v>22646</v>
      </c>
      <c r="Y29" s="943">
        <v>5504</v>
      </c>
      <c r="Z29" s="943"/>
      <c r="AA29" s="943">
        <v>0</v>
      </c>
      <c r="AB29" s="943"/>
      <c r="AC29" s="943">
        <v>880</v>
      </c>
      <c r="AD29" s="943">
        <v>620</v>
      </c>
      <c r="AE29" s="955"/>
      <c r="AF29" s="942">
        <f t="shared" si="7"/>
        <v>86897</v>
      </c>
      <c r="AH29" s="944"/>
    </row>
    <row r="30" spans="1:34" ht="12.75" customHeight="1">
      <c r="A30" s="1266" t="s">
        <v>744</v>
      </c>
      <c r="B30" s="938" t="s">
        <v>736</v>
      </c>
      <c r="C30" s="939" t="s">
        <v>521</v>
      </c>
      <c r="D30" s="943">
        <v>15620</v>
      </c>
      <c r="E30" s="943">
        <v>12242</v>
      </c>
      <c r="F30" s="943">
        <v>4019</v>
      </c>
      <c r="G30" s="943">
        <v>0</v>
      </c>
      <c r="H30" s="943">
        <v>1240</v>
      </c>
      <c r="I30" s="943">
        <v>0</v>
      </c>
      <c r="J30" s="943">
        <v>0</v>
      </c>
      <c r="K30" s="943">
        <v>0</v>
      </c>
      <c r="L30" s="940"/>
      <c r="M30" s="940">
        <v>0</v>
      </c>
      <c r="N30" s="940">
        <v>0</v>
      </c>
      <c r="O30" s="940">
        <v>0</v>
      </c>
      <c r="P30" s="940">
        <f t="shared" si="4"/>
        <v>67668</v>
      </c>
      <c r="Q30" s="941">
        <f t="shared" si="5"/>
        <v>20879</v>
      </c>
      <c r="R30" s="942">
        <f t="shared" si="6"/>
        <v>88547</v>
      </c>
      <c r="S30" s="1266" t="s">
        <v>744</v>
      </c>
      <c r="T30" s="939" t="s">
        <v>521</v>
      </c>
      <c r="U30" s="938" t="s">
        <v>736</v>
      </c>
      <c r="V30" s="943">
        <v>1320</v>
      </c>
      <c r="W30" s="943">
        <v>315</v>
      </c>
      <c r="X30" s="943">
        <v>81912</v>
      </c>
      <c r="Y30" s="943">
        <v>38035</v>
      </c>
      <c r="Z30" s="940"/>
      <c r="AA30" s="940">
        <v>0</v>
      </c>
      <c r="AB30" s="940"/>
      <c r="AC30" s="940">
        <v>0</v>
      </c>
      <c r="AD30" s="940">
        <v>5000</v>
      </c>
      <c r="AE30" s="941"/>
      <c r="AF30" s="942">
        <f t="shared" si="7"/>
        <v>88547</v>
      </c>
      <c r="AH30" s="944">
        <v>88547</v>
      </c>
    </row>
    <row r="31" spans="1:34" ht="12.75" customHeight="1">
      <c r="A31" s="1267"/>
      <c r="B31" s="938" t="s">
        <v>736</v>
      </c>
      <c r="C31" s="939" t="s">
        <v>445</v>
      </c>
      <c r="D31" s="943">
        <v>15620</v>
      </c>
      <c r="E31" s="943">
        <v>12242</v>
      </c>
      <c r="F31" s="943">
        <v>4019</v>
      </c>
      <c r="G31" s="943">
        <v>0</v>
      </c>
      <c r="H31" s="943">
        <v>1240</v>
      </c>
      <c r="I31" s="943">
        <v>0</v>
      </c>
      <c r="J31" s="943">
        <v>0</v>
      </c>
      <c r="K31" s="943">
        <v>0</v>
      </c>
      <c r="L31" s="940">
        <f>4595-56-533-994</f>
        <v>3012</v>
      </c>
      <c r="M31" s="940">
        <v>0</v>
      </c>
      <c r="N31" s="940">
        <v>111</v>
      </c>
      <c r="O31" s="940">
        <v>0</v>
      </c>
      <c r="P31" s="940">
        <f t="shared" si="4"/>
        <v>68068</v>
      </c>
      <c r="Q31" s="941">
        <f t="shared" si="5"/>
        <v>24002</v>
      </c>
      <c r="R31" s="942">
        <f t="shared" si="6"/>
        <v>92070</v>
      </c>
      <c r="S31" s="1267"/>
      <c r="T31" s="939" t="s">
        <v>445</v>
      </c>
      <c r="U31" s="938" t="s">
        <v>736</v>
      </c>
      <c r="V31" s="943">
        <f>1320+512</f>
        <v>1832</v>
      </c>
      <c r="W31" s="943">
        <f>315+145</f>
        <v>460</v>
      </c>
      <c r="X31" s="943">
        <f>81912+400+4049-56-533-994</f>
        <v>84778</v>
      </c>
      <c r="Y31" s="943">
        <v>38035</v>
      </c>
      <c r="Z31" s="940"/>
      <c r="AA31" s="940">
        <v>0</v>
      </c>
      <c r="AB31" s="940"/>
      <c r="AC31" s="940">
        <v>0</v>
      </c>
      <c r="AD31" s="940">
        <v>5000</v>
      </c>
      <c r="AE31" s="941"/>
      <c r="AF31" s="942">
        <f t="shared" si="7"/>
        <v>92070</v>
      </c>
      <c r="AH31" s="944">
        <v>88547</v>
      </c>
    </row>
    <row r="32" spans="1:34" ht="15.75" customHeight="1">
      <c r="A32" s="1268"/>
      <c r="B32" s="938" t="s">
        <v>736</v>
      </c>
      <c r="C32" s="939" t="s">
        <v>416</v>
      </c>
      <c r="D32" s="943">
        <v>15620</v>
      </c>
      <c r="E32" s="943">
        <v>12242</v>
      </c>
      <c r="F32" s="943">
        <v>4019</v>
      </c>
      <c r="G32" s="943">
        <v>0</v>
      </c>
      <c r="H32" s="943">
        <v>1240</v>
      </c>
      <c r="I32" s="943">
        <v>0</v>
      </c>
      <c r="J32" s="943">
        <v>0</v>
      </c>
      <c r="K32" s="943">
        <v>0</v>
      </c>
      <c r="L32" s="940">
        <f>4595-56-533-994</f>
        <v>3012</v>
      </c>
      <c r="M32" s="940">
        <v>0</v>
      </c>
      <c r="N32" s="940">
        <v>111</v>
      </c>
      <c r="O32" s="940">
        <v>0</v>
      </c>
      <c r="P32" s="940">
        <f t="shared" si="4"/>
        <v>65512</v>
      </c>
      <c r="Q32" s="941">
        <f t="shared" si="5"/>
        <v>24002</v>
      </c>
      <c r="R32" s="942">
        <f t="shared" si="6"/>
        <v>89514</v>
      </c>
      <c r="S32" s="1268"/>
      <c r="T32" s="939" t="s">
        <v>416</v>
      </c>
      <c r="U32" s="938" t="s">
        <v>736</v>
      </c>
      <c r="V32" s="943">
        <f>1320+512-270</f>
        <v>1562</v>
      </c>
      <c r="W32" s="943">
        <f>315+145-12-70-4</f>
        <v>374</v>
      </c>
      <c r="X32" s="943">
        <f>81912+400+4049-56-533-994-300-1900</f>
        <v>82578</v>
      </c>
      <c r="Y32" s="943">
        <v>38035</v>
      </c>
      <c r="Z32" s="940"/>
      <c r="AA32" s="940">
        <v>0</v>
      </c>
      <c r="AB32" s="940"/>
      <c r="AC32" s="940">
        <v>0</v>
      </c>
      <c r="AD32" s="940">
        <v>5000</v>
      </c>
      <c r="AE32" s="941"/>
      <c r="AF32" s="942">
        <f t="shared" si="7"/>
        <v>89514</v>
      </c>
      <c r="AH32" s="944"/>
    </row>
    <row r="33" spans="1:34" ht="12.75" customHeight="1">
      <c r="A33" s="1266" t="s">
        <v>745</v>
      </c>
      <c r="B33" s="938" t="s">
        <v>736</v>
      </c>
      <c r="C33" s="939" t="s">
        <v>521</v>
      </c>
      <c r="D33" s="943">
        <v>0</v>
      </c>
      <c r="E33" s="943">
        <v>0</v>
      </c>
      <c r="F33" s="943">
        <v>0</v>
      </c>
      <c r="G33" s="943">
        <v>0</v>
      </c>
      <c r="H33" s="943">
        <v>0</v>
      </c>
      <c r="I33" s="943">
        <v>0</v>
      </c>
      <c r="J33" s="943">
        <v>0</v>
      </c>
      <c r="K33" s="943">
        <v>0</v>
      </c>
      <c r="L33" s="940"/>
      <c r="M33" s="940">
        <v>0</v>
      </c>
      <c r="N33" s="940">
        <v>0</v>
      </c>
      <c r="O33" s="940">
        <v>0</v>
      </c>
      <c r="P33" s="940">
        <f t="shared" si="4"/>
        <v>2220</v>
      </c>
      <c r="Q33" s="941">
        <f t="shared" si="5"/>
        <v>0</v>
      </c>
      <c r="R33" s="942">
        <f t="shared" si="6"/>
        <v>2220</v>
      </c>
      <c r="S33" s="1266" t="s">
        <v>745</v>
      </c>
      <c r="T33" s="939" t="s">
        <v>521</v>
      </c>
      <c r="U33" s="938" t="s">
        <v>736</v>
      </c>
      <c r="V33" s="943">
        <v>0</v>
      </c>
      <c r="W33" s="943">
        <v>0</v>
      </c>
      <c r="X33" s="943">
        <v>2220</v>
      </c>
      <c r="Y33" s="943">
        <v>0</v>
      </c>
      <c r="Z33" s="940"/>
      <c r="AA33" s="940">
        <v>0</v>
      </c>
      <c r="AB33" s="940"/>
      <c r="AC33" s="940">
        <v>0</v>
      </c>
      <c r="AD33" s="940">
        <v>0</v>
      </c>
      <c r="AE33" s="941"/>
      <c r="AF33" s="942">
        <f t="shared" si="7"/>
        <v>2220</v>
      </c>
      <c r="AH33" s="944">
        <v>2220</v>
      </c>
    </row>
    <row r="34" spans="1:34" ht="12.75" customHeight="1">
      <c r="A34" s="1267"/>
      <c r="B34" s="938" t="s">
        <v>736</v>
      </c>
      <c r="C34" s="939" t="s">
        <v>445</v>
      </c>
      <c r="D34" s="943">
        <v>0</v>
      </c>
      <c r="E34" s="943">
        <v>0</v>
      </c>
      <c r="F34" s="943">
        <v>0</v>
      </c>
      <c r="G34" s="943">
        <v>0</v>
      </c>
      <c r="H34" s="943">
        <v>0</v>
      </c>
      <c r="I34" s="943">
        <v>0</v>
      </c>
      <c r="J34" s="943">
        <v>0</v>
      </c>
      <c r="K34" s="943">
        <v>0</v>
      </c>
      <c r="L34" s="940">
        <v>56</v>
      </c>
      <c r="M34" s="940">
        <v>0</v>
      </c>
      <c r="N34" s="940">
        <v>0</v>
      </c>
      <c r="O34" s="940">
        <v>0</v>
      </c>
      <c r="P34" s="940">
        <f t="shared" si="4"/>
        <v>2220</v>
      </c>
      <c r="Q34" s="941">
        <f t="shared" si="5"/>
        <v>56</v>
      </c>
      <c r="R34" s="942">
        <f t="shared" si="6"/>
        <v>2276</v>
      </c>
      <c r="S34" s="1267"/>
      <c r="T34" s="939" t="s">
        <v>445</v>
      </c>
      <c r="U34" s="938" t="s">
        <v>736</v>
      </c>
      <c r="V34" s="943">
        <v>0</v>
      </c>
      <c r="W34" s="943">
        <v>0</v>
      </c>
      <c r="X34" s="943">
        <f>2220+56</f>
        <v>2276</v>
      </c>
      <c r="Y34" s="943">
        <v>0</v>
      </c>
      <c r="Z34" s="940"/>
      <c r="AA34" s="940">
        <v>0</v>
      </c>
      <c r="AB34" s="940"/>
      <c r="AC34" s="940">
        <v>0</v>
      </c>
      <c r="AD34" s="940">
        <v>0</v>
      </c>
      <c r="AE34" s="941"/>
      <c r="AF34" s="942">
        <f t="shared" si="7"/>
        <v>2276</v>
      </c>
      <c r="AH34" s="944">
        <v>2220</v>
      </c>
    </row>
    <row r="35" spans="1:34" ht="16.5" customHeight="1">
      <c r="A35" s="1268"/>
      <c r="B35" s="938" t="s">
        <v>736</v>
      </c>
      <c r="C35" s="939" t="s">
        <v>416</v>
      </c>
      <c r="D35" s="943">
        <v>0</v>
      </c>
      <c r="E35" s="943">
        <v>0</v>
      </c>
      <c r="F35" s="943">
        <v>0</v>
      </c>
      <c r="G35" s="943">
        <v>0</v>
      </c>
      <c r="H35" s="943">
        <v>0</v>
      </c>
      <c r="I35" s="943">
        <v>0</v>
      </c>
      <c r="J35" s="943">
        <v>0</v>
      </c>
      <c r="K35" s="943">
        <v>0</v>
      </c>
      <c r="L35" s="940">
        <v>56</v>
      </c>
      <c r="M35" s="940">
        <v>0</v>
      </c>
      <c r="N35" s="940">
        <v>0</v>
      </c>
      <c r="O35" s="940">
        <v>0</v>
      </c>
      <c r="P35" s="940">
        <f t="shared" si="4"/>
        <v>2591</v>
      </c>
      <c r="Q35" s="941">
        <f t="shared" si="5"/>
        <v>56</v>
      </c>
      <c r="R35" s="942">
        <f t="shared" si="6"/>
        <v>2647</v>
      </c>
      <c r="S35" s="1268"/>
      <c r="T35" s="939" t="s">
        <v>416</v>
      </c>
      <c r="U35" s="938" t="s">
        <v>736</v>
      </c>
      <c r="V35" s="943">
        <f>270+31</f>
        <v>301</v>
      </c>
      <c r="W35" s="943">
        <v>70</v>
      </c>
      <c r="X35" s="943">
        <f>2220+56</f>
        <v>2276</v>
      </c>
      <c r="Y35" s="943">
        <v>0</v>
      </c>
      <c r="Z35" s="940"/>
      <c r="AA35" s="940">
        <v>0</v>
      </c>
      <c r="AB35" s="940"/>
      <c r="AC35" s="940">
        <v>0</v>
      </c>
      <c r="AD35" s="940">
        <v>0</v>
      </c>
      <c r="AE35" s="941"/>
      <c r="AF35" s="942">
        <f t="shared" si="7"/>
        <v>2647</v>
      </c>
      <c r="AH35" s="944"/>
    </row>
    <row r="36" spans="1:34" ht="12.75">
      <c r="A36" s="1266" t="s">
        <v>746</v>
      </c>
      <c r="B36" s="938" t="s">
        <v>736</v>
      </c>
      <c r="C36" s="939" t="s">
        <v>521</v>
      </c>
      <c r="D36" s="943">
        <v>8303</v>
      </c>
      <c r="E36" s="943">
        <v>7883</v>
      </c>
      <c r="F36" s="943">
        <v>2134</v>
      </c>
      <c r="G36" s="943">
        <v>0</v>
      </c>
      <c r="H36" s="943">
        <v>0</v>
      </c>
      <c r="I36" s="943">
        <v>0</v>
      </c>
      <c r="J36" s="943">
        <v>0</v>
      </c>
      <c r="K36" s="943">
        <v>0</v>
      </c>
      <c r="L36" s="940"/>
      <c r="M36" s="940">
        <v>0</v>
      </c>
      <c r="N36" s="940">
        <v>0</v>
      </c>
      <c r="O36" s="940">
        <v>0</v>
      </c>
      <c r="P36" s="940">
        <f t="shared" si="4"/>
        <v>20283</v>
      </c>
      <c r="Q36" s="941">
        <f t="shared" si="5"/>
        <v>10437</v>
      </c>
      <c r="R36" s="942">
        <f t="shared" si="6"/>
        <v>30720</v>
      </c>
      <c r="S36" s="1266" t="s">
        <v>746</v>
      </c>
      <c r="T36" s="939" t="s">
        <v>521</v>
      </c>
      <c r="U36" s="938" t="s">
        <v>736</v>
      </c>
      <c r="V36" s="943">
        <v>285</v>
      </c>
      <c r="W36" s="943">
        <v>77</v>
      </c>
      <c r="X36" s="943">
        <v>30358</v>
      </c>
      <c r="Y36" s="943">
        <v>19809</v>
      </c>
      <c r="Z36" s="940"/>
      <c r="AA36" s="940">
        <v>0</v>
      </c>
      <c r="AB36" s="940"/>
      <c r="AC36" s="940">
        <v>0</v>
      </c>
      <c r="AD36" s="940">
        <v>0</v>
      </c>
      <c r="AE36" s="941"/>
      <c r="AF36" s="942">
        <f t="shared" si="7"/>
        <v>30720</v>
      </c>
      <c r="AH36" s="944">
        <v>30720</v>
      </c>
    </row>
    <row r="37" spans="1:34" ht="12.75" customHeight="1">
      <c r="A37" s="1267"/>
      <c r="B37" s="938" t="s">
        <v>736</v>
      </c>
      <c r="C37" s="939" t="s">
        <v>445</v>
      </c>
      <c r="D37" s="943">
        <v>8303</v>
      </c>
      <c r="E37" s="943">
        <v>7883</v>
      </c>
      <c r="F37" s="943">
        <v>2134</v>
      </c>
      <c r="G37" s="943">
        <v>0</v>
      </c>
      <c r="H37" s="943">
        <v>0</v>
      </c>
      <c r="I37" s="943">
        <v>0</v>
      </c>
      <c r="J37" s="943">
        <v>0</v>
      </c>
      <c r="K37" s="943">
        <v>0</v>
      </c>
      <c r="L37" s="940">
        <v>533</v>
      </c>
      <c r="M37" s="940">
        <v>0</v>
      </c>
      <c r="N37" s="940">
        <v>0</v>
      </c>
      <c r="O37" s="940">
        <v>0</v>
      </c>
      <c r="P37" s="940">
        <f t="shared" si="4"/>
        <v>20283</v>
      </c>
      <c r="Q37" s="941">
        <f t="shared" si="5"/>
        <v>10970</v>
      </c>
      <c r="R37" s="942">
        <f t="shared" si="6"/>
        <v>31253</v>
      </c>
      <c r="S37" s="1267"/>
      <c r="T37" s="939" t="s">
        <v>445</v>
      </c>
      <c r="U37" s="938" t="s">
        <v>736</v>
      </c>
      <c r="V37" s="943">
        <v>285</v>
      </c>
      <c r="W37" s="943">
        <v>77</v>
      </c>
      <c r="X37" s="943">
        <f>30358+533</f>
        <v>30891</v>
      </c>
      <c r="Y37" s="943">
        <v>19809</v>
      </c>
      <c r="Z37" s="940"/>
      <c r="AA37" s="940">
        <v>0</v>
      </c>
      <c r="AB37" s="940"/>
      <c r="AC37" s="940">
        <v>0</v>
      </c>
      <c r="AD37" s="940">
        <v>0</v>
      </c>
      <c r="AE37" s="941"/>
      <c r="AF37" s="942">
        <f t="shared" si="7"/>
        <v>31253</v>
      </c>
      <c r="AH37" s="944">
        <v>30720</v>
      </c>
    </row>
    <row r="38" spans="1:34" ht="18.75" customHeight="1">
      <c r="A38" s="1268"/>
      <c r="B38" s="938" t="s">
        <v>736</v>
      </c>
      <c r="C38" s="939" t="s">
        <v>416</v>
      </c>
      <c r="D38" s="943">
        <v>8303</v>
      </c>
      <c r="E38" s="943">
        <v>7883</v>
      </c>
      <c r="F38" s="943">
        <v>2134</v>
      </c>
      <c r="G38" s="943">
        <v>0</v>
      </c>
      <c r="H38" s="943">
        <v>0</v>
      </c>
      <c r="I38" s="943">
        <v>0</v>
      </c>
      <c r="J38" s="943">
        <v>0</v>
      </c>
      <c r="K38" s="943">
        <v>0</v>
      </c>
      <c r="L38" s="940">
        <v>533</v>
      </c>
      <c r="M38" s="940">
        <v>0</v>
      </c>
      <c r="N38" s="940">
        <v>0</v>
      </c>
      <c r="O38" s="940">
        <v>0</v>
      </c>
      <c r="P38" s="940">
        <f t="shared" si="4"/>
        <v>20445</v>
      </c>
      <c r="Q38" s="941">
        <f t="shared" si="5"/>
        <v>10970</v>
      </c>
      <c r="R38" s="942">
        <f t="shared" si="6"/>
        <v>31415</v>
      </c>
      <c r="S38" s="1268"/>
      <c r="T38" s="939" t="s">
        <v>416</v>
      </c>
      <c r="U38" s="938" t="s">
        <v>736</v>
      </c>
      <c r="V38" s="943">
        <f>285-31-62</f>
        <v>192</v>
      </c>
      <c r="W38" s="943">
        <f>77-45</f>
        <v>32</v>
      </c>
      <c r="X38" s="943">
        <f>30358+533+300</f>
        <v>31191</v>
      </c>
      <c r="Y38" s="943">
        <v>19809</v>
      </c>
      <c r="Z38" s="940"/>
      <c r="AA38" s="940">
        <v>0</v>
      </c>
      <c r="AB38" s="940"/>
      <c r="AC38" s="940">
        <v>0</v>
      </c>
      <c r="AD38" s="940">
        <v>0</v>
      </c>
      <c r="AE38" s="941"/>
      <c r="AF38" s="942">
        <f t="shared" si="7"/>
        <v>31415</v>
      </c>
      <c r="AH38" s="944"/>
    </row>
    <row r="39" spans="1:34" ht="12.75">
      <c r="A39" s="1266" t="s">
        <v>747</v>
      </c>
      <c r="B39" s="938" t="s">
        <v>736</v>
      </c>
      <c r="C39" s="939" t="s">
        <v>521</v>
      </c>
      <c r="D39" s="943">
        <v>0</v>
      </c>
      <c r="E39" s="943">
        <v>0</v>
      </c>
      <c r="F39" s="943">
        <v>0</v>
      </c>
      <c r="G39" s="943">
        <v>0</v>
      </c>
      <c r="H39" s="943">
        <v>0</v>
      </c>
      <c r="I39" s="943">
        <v>0</v>
      </c>
      <c r="J39" s="943">
        <v>0</v>
      </c>
      <c r="K39" s="943">
        <v>0</v>
      </c>
      <c r="L39" s="940"/>
      <c r="M39" s="940">
        <v>0</v>
      </c>
      <c r="N39" s="940">
        <v>0</v>
      </c>
      <c r="O39" s="940">
        <v>0</v>
      </c>
      <c r="P39" s="940">
        <f t="shared" si="4"/>
        <v>0</v>
      </c>
      <c r="Q39" s="941">
        <f t="shared" si="5"/>
        <v>0</v>
      </c>
      <c r="R39" s="942">
        <f t="shared" si="6"/>
        <v>0</v>
      </c>
      <c r="S39" s="1266" t="s">
        <v>747</v>
      </c>
      <c r="T39" s="939" t="s">
        <v>521</v>
      </c>
      <c r="U39" s="938" t="s">
        <v>736</v>
      </c>
      <c r="V39" s="943">
        <v>0</v>
      </c>
      <c r="W39" s="943">
        <v>0</v>
      </c>
      <c r="X39" s="943">
        <v>0</v>
      </c>
      <c r="Y39" s="943">
        <v>0</v>
      </c>
      <c r="Z39" s="940"/>
      <c r="AA39" s="940">
        <v>0</v>
      </c>
      <c r="AB39" s="940"/>
      <c r="AC39" s="940">
        <v>0</v>
      </c>
      <c r="AD39" s="940">
        <v>0</v>
      </c>
      <c r="AE39" s="941"/>
      <c r="AF39" s="942">
        <f t="shared" si="7"/>
        <v>0</v>
      </c>
      <c r="AH39" s="944">
        <v>0</v>
      </c>
    </row>
    <row r="40" spans="1:34" ht="12.75" customHeight="1">
      <c r="A40" s="1267"/>
      <c r="B40" s="938" t="s">
        <v>736</v>
      </c>
      <c r="C40" s="939" t="s">
        <v>445</v>
      </c>
      <c r="D40" s="943">
        <v>0</v>
      </c>
      <c r="E40" s="943">
        <v>0</v>
      </c>
      <c r="F40" s="943">
        <v>0</v>
      </c>
      <c r="G40" s="943">
        <v>0</v>
      </c>
      <c r="H40" s="943">
        <v>0</v>
      </c>
      <c r="I40" s="943">
        <v>0</v>
      </c>
      <c r="J40" s="943">
        <v>0</v>
      </c>
      <c r="K40" s="943">
        <v>0</v>
      </c>
      <c r="L40" s="940">
        <v>994</v>
      </c>
      <c r="M40" s="940">
        <v>0</v>
      </c>
      <c r="N40" s="940">
        <v>0</v>
      </c>
      <c r="O40" s="940">
        <v>0</v>
      </c>
      <c r="P40" s="940">
        <f t="shared" si="4"/>
        <v>0</v>
      </c>
      <c r="Q40" s="941">
        <f t="shared" si="5"/>
        <v>994</v>
      </c>
      <c r="R40" s="942">
        <f t="shared" si="6"/>
        <v>994</v>
      </c>
      <c r="S40" s="1267"/>
      <c r="T40" s="939" t="s">
        <v>445</v>
      </c>
      <c r="U40" s="938" t="s">
        <v>736</v>
      </c>
      <c r="V40" s="943">
        <v>0</v>
      </c>
      <c r="W40" s="943">
        <v>0</v>
      </c>
      <c r="X40" s="943">
        <v>994</v>
      </c>
      <c r="Y40" s="943">
        <v>0</v>
      </c>
      <c r="Z40" s="940"/>
      <c r="AA40" s="940">
        <v>0</v>
      </c>
      <c r="AB40" s="940"/>
      <c r="AC40" s="940">
        <v>0</v>
      </c>
      <c r="AD40" s="940">
        <v>0</v>
      </c>
      <c r="AE40" s="941"/>
      <c r="AF40" s="942">
        <f t="shared" si="7"/>
        <v>994</v>
      </c>
      <c r="AH40" s="944">
        <v>0</v>
      </c>
    </row>
    <row r="41" spans="1:34" ht="14.25" customHeight="1">
      <c r="A41" s="1268"/>
      <c r="B41" s="938" t="s">
        <v>736</v>
      </c>
      <c r="C41" s="939" t="s">
        <v>416</v>
      </c>
      <c r="D41" s="943">
        <v>0</v>
      </c>
      <c r="E41" s="943">
        <v>0</v>
      </c>
      <c r="F41" s="943">
        <v>0</v>
      </c>
      <c r="G41" s="943">
        <v>0</v>
      </c>
      <c r="H41" s="943">
        <v>0</v>
      </c>
      <c r="I41" s="943">
        <v>0</v>
      </c>
      <c r="J41" s="943">
        <v>0</v>
      </c>
      <c r="K41" s="943">
        <v>0</v>
      </c>
      <c r="L41" s="940">
        <v>994</v>
      </c>
      <c r="M41" s="940">
        <v>0</v>
      </c>
      <c r="N41" s="940">
        <v>0</v>
      </c>
      <c r="O41" s="940">
        <v>0</v>
      </c>
      <c r="P41" s="940">
        <f t="shared" si="4"/>
        <v>124</v>
      </c>
      <c r="Q41" s="941">
        <f t="shared" si="5"/>
        <v>994</v>
      </c>
      <c r="R41" s="942">
        <f t="shared" si="6"/>
        <v>1118</v>
      </c>
      <c r="S41" s="1268"/>
      <c r="T41" s="939" t="s">
        <v>416</v>
      </c>
      <c r="U41" s="938" t="s">
        <v>736</v>
      </c>
      <c r="V41" s="943">
        <f>62+50</f>
        <v>112</v>
      </c>
      <c r="W41" s="943">
        <v>12</v>
      </c>
      <c r="X41" s="943">
        <v>994</v>
      </c>
      <c r="Y41" s="943">
        <v>0</v>
      </c>
      <c r="Z41" s="940"/>
      <c r="AA41" s="940">
        <v>0</v>
      </c>
      <c r="AB41" s="940"/>
      <c r="AC41" s="940">
        <v>0</v>
      </c>
      <c r="AD41" s="940">
        <v>0</v>
      </c>
      <c r="AE41" s="941"/>
      <c r="AF41" s="942">
        <f t="shared" si="7"/>
        <v>1118</v>
      </c>
      <c r="AH41" s="944"/>
    </row>
    <row r="42" spans="1:34" ht="12.75">
      <c r="A42" s="1278" t="s">
        <v>748</v>
      </c>
      <c r="B42" s="149" t="s">
        <v>736</v>
      </c>
      <c r="C42" s="945" t="s">
        <v>521</v>
      </c>
      <c r="D42" s="946">
        <f aca="true" t="shared" si="8" ref="D42:R42">D30+D33+D36+D39</f>
        <v>23923</v>
      </c>
      <c r="E42" s="946">
        <f t="shared" si="8"/>
        <v>20125</v>
      </c>
      <c r="F42" s="946">
        <f t="shared" si="8"/>
        <v>6153</v>
      </c>
      <c r="G42" s="946">
        <f t="shared" si="8"/>
        <v>0</v>
      </c>
      <c r="H42" s="946">
        <f t="shared" si="8"/>
        <v>1240</v>
      </c>
      <c r="I42" s="946">
        <f t="shared" si="8"/>
        <v>0</v>
      </c>
      <c r="J42" s="946">
        <f t="shared" si="8"/>
        <v>0</v>
      </c>
      <c r="K42" s="946">
        <f t="shared" si="8"/>
        <v>0</v>
      </c>
      <c r="L42" s="947">
        <f t="shared" si="8"/>
        <v>0</v>
      </c>
      <c r="M42" s="947">
        <f t="shared" si="8"/>
        <v>0</v>
      </c>
      <c r="N42" s="947">
        <f t="shared" si="8"/>
        <v>0</v>
      </c>
      <c r="O42" s="947">
        <f t="shared" si="8"/>
        <v>0</v>
      </c>
      <c r="P42" s="947">
        <f t="shared" si="8"/>
        <v>90171</v>
      </c>
      <c r="Q42" s="947">
        <f t="shared" si="8"/>
        <v>31316</v>
      </c>
      <c r="R42" s="947">
        <f t="shared" si="8"/>
        <v>121487</v>
      </c>
      <c r="S42" s="1278" t="s">
        <v>748</v>
      </c>
      <c r="T42" s="945" t="s">
        <v>521</v>
      </c>
      <c r="U42" s="149" t="s">
        <v>736</v>
      </c>
      <c r="V42" s="946">
        <f aca="true" t="shared" si="9" ref="V42:Y44">V30+V33+V36+V39</f>
        <v>1605</v>
      </c>
      <c r="W42" s="946">
        <f t="shared" si="9"/>
        <v>392</v>
      </c>
      <c r="X42" s="946">
        <f t="shared" si="9"/>
        <v>114490</v>
      </c>
      <c r="Y42" s="946">
        <f t="shared" si="9"/>
        <v>57844</v>
      </c>
      <c r="Z42" s="947"/>
      <c r="AA42" s="947">
        <f>AA30+AA33+AA36+AA39</f>
        <v>0</v>
      </c>
      <c r="AB42" s="947"/>
      <c r="AC42" s="947">
        <f aca="true" t="shared" si="10" ref="AC42:AD44">AC30+AC33+AC36+AC39</f>
        <v>0</v>
      </c>
      <c r="AD42" s="947">
        <f t="shared" si="10"/>
        <v>5000</v>
      </c>
      <c r="AE42" s="947"/>
      <c r="AF42" s="947">
        <f>AF30+AF33+AF36+AF39</f>
        <v>121487</v>
      </c>
      <c r="AG42" s="947">
        <f>AG30+AG33+AG36+AG39</f>
        <v>0</v>
      </c>
      <c r="AH42" s="947">
        <f>AH30+AH33+AH36+AH39</f>
        <v>121487</v>
      </c>
    </row>
    <row r="43" spans="1:34" ht="12" customHeight="1">
      <c r="A43" s="1279"/>
      <c r="B43" s="149" t="s">
        <v>736</v>
      </c>
      <c r="C43" s="945" t="s">
        <v>445</v>
      </c>
      <c r="D43" s="946">
        <f aca="true" t="shared" si="11" ref="D43:R43">D31+D34+D37+D40</f>
        <v>23923</v>
      </c>
      <c r="E43" s="946">
        <f t="shared" si="11"/>
        <v>20125</v>
      </c>
      <c r="F43" s="946">
        <f t="shared" si="11"/>
        <v>6153</v>
      </c>
      <c r="G43" s="946">
        <f t="shared" si="11"/>
        <v>0</v>
      </c>
      <c r="H43" s="946">
        <f t="shared" si="11"/>
        <v>1240</v>
      </c>
      <c r="I43" s="946">
        <f t="shared" si="11"/>
        <v>0</v>
      </c>
      <c r="J43" s="946">
        <f t="shared" si="11"/>
        <v>0</v>
      </c>
      <c r="K43" s="946">
        <f t="shared" si="11"/>
        <v>0</v>
      </c>
      <c r="L43" s="947">
        <f t="shared" si="11"/>
        <v>4595</v>
      </c>
      <c r="M43" s="947">
        <f t="shared" si="11"/>
        <v>0</v>
      </c>
      <c r="N43" s="947">
        <f t="shared" si="11"/>
        <v>111</v>
      </c>
      <c r="O43" s="947">
        <f t="shared" si="11"/>
        <v>0</v>
      </c>
      <c r="P43" s="947">
        <f t="shared" si="11"/>
        <v>90571</v>
      </c>
      <c r="Q43" s="947">
        <f t="shared" si="11"/>
        <v>36022</v>
      </c>
      <c r="R43" s="947">
        <f t="shared" si="11"/>
        <v>126593</v>
      </c>
      <c r="S43" s="1279"/>
      <c r="T43" s="945" t="s">
        <v>445</v>
      </c>
      <c r="U43" s="149" t="s">
        <v>736</v>
      </c>
      <c r="V43" s="946">
        <f t="shared" si="9"/>
        <v>2117</v>
      </c>
      <c r="W43" s="946">
        <f t="shared" si="9"/>
        <v>537</v>
      </c>
      <c r="X43" s="946">
        <f t="shared" si="9"/>
        <v>118939</v>
      </c>
      <c r="Y43" s="946">
        <f t="shared" si="9"/>
        <v>57844</v>
      </c>
      <c r="Z43" s="947"/>
      <c r="AA43" s="947">
        <f>AA31+AA34+AA37+AA40</f>
        <v>0</v>
      </c>
      <c r="AB43" s="947"/>
      <c r="AC43" s="947">
        <f t="shared" si="10"/>
        <v>0</v>
      </c>
      <c r="AD43" s="947">
        <f t="shared" si="10"/>
        <v>5000</v>
      </c>
      <c r="AE43" s="947"/>
      <c r="AF43" s="947">
        <f>AF31+AF34+AF37+AF40</f>
        <v>126593</v>
      </c>
      <c r="AG43" s="932">
        <v>0</v>
      </c>
      <c r="AH43" s="944"/>
    </row>
    <row r="44" spans="1:34" ht="12" customHeight="1">
      <c r="A44" s="1280"/>
      <c r="B44" s="149" t="s">
        <v>736</v>
      </c>
      <c r="C44" s="150" t="s">
        <v>416</v>
      </c>
      <c r="D44" s="946">
        <f aca="true" t="shared" si="12" ref="D44:R44">D32+D35+D38+D41</f>
        <v>23923</v>
      </c>
      <c r="E44" s="946">
        <f t="shared" si="12"/>
        <v>20125</v>
      </c>
      <c r="F44" s="946">
        <f t="shared" si="12"/>
        <v>6153</v>
      </c>
      <c r="G44" s="946">
        <f t="shared" si="12"/>
        <v>0</v>
      </c>
      <c r="H44" s="946">
        <f t="shared" si="12"/>
        <v>1240</v>
      </c>
      <c r="I44" s="946">
        <f t="shared" si="12"/>
        <v>0</v>
      </c>
      <c r="J44" s="946">
        <f t="shared" si="12"/>
        <v>0</v>
      </c>
      <c r="K44" s="946">
        <f t="shared" si="12"/>
        <v>0</v>
      </c>
      <c r="L44" s="947">
        <f t="shared" si="12"/>
        <v>4595</v>
      </c>
      <c r="M44" s="947">
        <f t="shared" si="12"/>
        <v>0</v>
      </c>
      <c r="N44" s="947">
        <f t="shared" si="12"/>
        <v>111</v>
      </c>
      <c r="O44" s="947">
        <f t="shared" si="12"/>
        <v>0</v>
      </c>
      <c r="P44" s="947">
        <f t="shared" si="12"/>
        <v>88672</v>
      </c>
      <c r="Q44" s="947">
        <f t="shared" si="12"/>
        <v>36022</v>
      </c>
      <c r="R44" s="947">
        <f t="shared" si="12"/>
        <v>124694</v>
      </c>
      <c r="S44" s="1280"/>
      <c r="T44" s="150" t="s">
        <v>416</v>
      </c>
      <c r="U44" s="149" t="s">
        <v>736</v>
      </c>
      <c r="V44" s="946">
        <f t="shared" si="9"/>
        <v>2167</v>
      </c>
      <c r="W44" s="946">
        <f t="shared" si="9"/>
        <v>488</v>
      </c>
      <c r="X44" s="946">
        <f t="shared" si="9"/>
        <v>117039</v>
      </c>
      <c r="Y44" s="946">
        <f t="shared" si="9"/>
        <v>57844</v>
      </c>
      <c r="Z44" s="947"/>
      <c r="AA44" s="947">
        <f>AA32+AA35+AA38+AA41</f>
        <v>0</v>
      </c>
      <c r="AB44" s="947"/>
      <c r="AC44" s="947">
        <f t="shared" si="10"/>
        <v>0</v>
      </c>
      <c r="AD44" s="947">
        <f t="shared" si="10"/>
        <v>5000</v>
      </c>
      <c r="AE44" s="947"/>
      <c r="AF44" s="947">
        <f>AF32+AF35+AF38+AF41</f>
        <v>124694</v>
      </c>
      <c r="AH44" s="944"/>
    </row>
    <row r="45" spans="1:34" ht="12.75">
      <c r="A45" s="1266" t="s">
        <v>749</v>
      </c>
      <c r="B45" s="938" t="s">
        <v>736</v>
      </c>
      <c r="C45" s="939" t="s">
        <v>521</v>
      </c>
      <c r="D45" s="943">
        <v>25514</v>
      </c>
      <c r="E45" s="943">
        <v>19294</v>
      </c>
      <c r="F45" s="943">
        <v>6673</v>
      </c>
      <c r="G45" s="943">
        <v>0</v>
      </c>
      <c r="H45" s="943">
        <v>8640</v>
      </c>
      <c r="I45" s="943">
        <v>0</v>
      </c>
      <c r="J45" s="943">
        <v>0</v>
      </c>
      <c r="K45" s="943">
        <v>0</v>
      </c>
      <c r="L45" s="940"/>
      <c r="M45" s="940">
        <v>0</v>
      </c>
      <c r="N45" s="940">
        <v>0</v>
      </c>
      <c r="O45" s="940">
        <v>0</v>
      </c>
      <c r="P45" s="940">
        <f aca="true" t="shared" si="13" ref="P45:P50">AF45-Q45</f>
        <v>92118</v>
      </c>
      <c r="Q45" s="941">
        <f aca="true" t="shared" si="14" ref="Q45:Q50">SUM(D45:O45)-E45</f>
        <v>40827</v>
      </c>
      <c r="R45" s="942">
        <f aca="true" t="shared" si="15" ref="R45:R50">P45+Q45</f>
        <v>132945</v>
      </c>
      <c r="S45" s="1266" t="s">
        <v>749</v>
      </c>
      <c r="T45" s="939" t="s">
        <v>521</v>
      </c>
      <c r="U45" s="938" t="s">
        <v>736</v>
      </c>
      <c r="V45" s="943">
        <v>1005</v>
      </c>
      <c r="W45" s="943">
        <v>271</v>
      </c>
      <c r="X45" s="943">
        <v>127269</v>
      </c>
      <c r="Y45" s="943">
        <v>47250</v>
      </c>
      <c r="Z45" s="940"/>
      <c r="AA45" s="940">
        <v>0</v>
      </c>
      <c r="AB45" s="940"/>
      <c r="AC45" s="940">
        <v>0</v>
      </c>
      <c r="AD45" s="940">
        <v>4400</v>
      </c>
      <c r="AE45" s="941"/>
      <c r="AF45" s="942">
        <f aca="true" t="shared" si="16" ref="AF45:AF50">SUM(V45:AD45)-Y45</f>
        <v>132945</v>
      </c>
      <c r="AH45" s="944">
        <v>132945</v>
      </c>
    </row>
    <row r="46" spans="1:34" ht="12.75" customHeight="1">
      <c r="A46" s="1267"/>
      <c r="B46" s="938" t="s">
        <v>736</v>
      </c>
      <c r="C46" s="939" t="s">
        <v>445</v>
      </c>
      <c r="D46" s="943">
        <f>25514+65</f>
        <v>25579</v>
      </c>
      <c r="E46" s="943">
        <v>19294</v>
      </c>
      <c r="F46" s="943">
        <v>6673</v>
      </c>
      <c r="G46" s="943">
        <v>0</v>
      </c>
      <c r="H46" s="943">
        <v>8640</v>
      </c>
      <c r="I46" s="943">
        <v>0</v>
      </c>
      <c r="J46" s="943">
        <v>0</v>
      </c>
      <c r="K46" s="943">
        <v>0</v>
      </c>
      <c r="L46" s="940">
        <f>6591-1188</f>
        <v>5403</v>
      </c>
      <c r="M46" s="940">
        <v>0</v>
      </c>
      <c r="N46" s="940">
        <v>873</v>
      </c>
      <c r="O46" s="940">
        <v>0</v>
      </c>
      <c r="P46" s="940">
        <f t="shared" si="13"/>
        <v>93656</v>
      </c>
      <c r="Q46" s="941">
        <f t="shared" si="14"/>
        <v>47168</v>
      </c>
      <c r="R46" s="942">
        <f t="shared" si="15"/>
        <v>140824</v>
      </c>
      <c r="S46" s="1267"/>
      <c r="T46" s="939" t="s">
        <v>445</v>
      </c>
      <c r="U46" s="938" t="s">
        <v>736</v>
      </c>
      <c r="V46" s="943">
        <f>1005+716</f>
        <v>1721</v>
      </c>
      <c r="W46" s="943">
        <f>271+179</f>
        <v>450</v>
      </c>
      <c r="X46" s="943">
        <f>127269+65+350+6569</f>
        <v>134253</v>
      </c>
      <c r="Y46" s="943">
        <v>47250</v>
      </c>
      <c r="Z46" s="940"/>
      <c r="AA46" s="940">
        <v>0</v>
      </c>
      <c r="AB46" s="940"/>
      <c r="AC46" s="940">
        <v>0</v>
      </c>
      <c r="AD46" s="940">
        <v>4400</v>
      </c>
      <c r="AE46" s="941"/>
      <c r="AF46" s="942">
        <f t="shared" si="16"/>
        <v>140824</v>
      </c>
      <c r="AH46" s="944">
        <v>132945</v>
      </c>
    </row>
    <row r="47" spans="1:34" ht="12.75" customHeight="1">
      <c r="A47" s="1268"/>
      <c r="B47" s="938" t="s">
        <v>736</v>
      </c>
      <c r="C47" s="939" t="s">
        <v>416</v>
      </c>
      <c r="D47" s="943">
        <f>25514+65</f>
        <v>25579</v>
      </c>
      <c r="E47" s="943">
        <v>19294</v>
      </c>
      <c r="F47" s="943">
        <v>6673</v>
      </c>
      <c r="G47" s="943">
        <v>0</v>
      </c>
      <c r="H47" s="943">
        <f>8640-8640</f>
        <v>0</v>
      </c>
      <c r="I47" s="943">
        <v>0</v>
      </c>
      <c r="J47" s="943">
        <v>0</v>
      </c>
      <c r="K47" s="943">
        <v>0</v>
      </c>
      <c r="L47" s="940">
        <f>6591-1188</f>
        <v>5403</v>
      </c>
      <c r="M47" s="940">
        <v>0</v>
      </c>
      <c r="N47" s="940">
        <v>873</v>
      </c>
      <c r="O47" s="940">
        <v>0</v>
      </c>
      <c r="P47" s="940">
        <f t="shared" si="13"/>
        <v>92445</v>
      </c>
      <c r="Q47" s="941">
        <f t="shared" si="14"/>
        <v>38528</v>
      </c>
      <c r="R47" s="942">
        <f t="shared" si="15"/>
        <v>130973</v>
      </c>
      <c r="S47" s="1268"/>
      <c r="T47" s="939" t="s">
        <v>416</v>
      </c>
      <c r="U47" s="938" t="s">
        <v>736</v>
      </c>
      <c r="V47" s="943">
        <f>1005+716-158</f>
        <v>1563</v>
      </c>
      <c r="W47" s="943">
        <f>271+179-12-41</f>
        <v>397</v>
      </c>
      <c r="X47" s="943">
        <f>127269+65+350+6569-8640-100-900-316</f>
        <v>124297</v>
      </c>
      <c r="Y47" s="943">
        <v>47250</v>
      </c>
      <c r="Z47" s="940"/>
      <c r="AA47" s="940">
        <v>0</v>
      </c>
      <c r="AB47" s="940">
        <v>316</v>
      </c>
      <c r="AC47" s="940">
        <v>0</v>
      </c>
      <c r="AD47" s="940">
        <v>4400</v>
      </c>
      <c r="AE47" s="941"/>
      <c r="AF47" s="942">
        <f t="shared" si="16"/>
        <v>130973</v>
      </c>
      <c r="AH47" s="944"/>
    </row>
    <row r="48" spans="1:34" ht="12.75">
      <c r="A48" s="1266" t="s">
        <v>750</v>
      </c>
      <c r="B48" s="938" t="s">
        <v>736</v>
      </c>
      <c r="C48" s="939" t="s">
        <v>521</v>
      </c>
      <c r="D48" s="943">
        <v>5465</v>
      </c>
      <c r="E48" s="943">
        <v>5065</v>
      </c>
      <c r="F48" s="943">
        <v>1368</v>
      </c>
      <c r="G48" s="943">
        <v>0</v>
      </c>
      <c r="H48" s="943">
        <v>0</v>
      </c>
      <c r="I48" s="943">
        <v>0</v>
      </c>
      <c r="J48" s="943">
        <v>0</v>
      </c>
      <c r="K48" s="943">
        <v>0</v>
      </c>
      <c r="L48" s="940"/>
      <c r="M48" s="940">
        <v>0</v>
      </c>
      <c r="N48" s="940">
        <v>0</v>
      </c>
      <c r="O48" s="940">
        <v>0</v>
      </c>
      <c r="P48" s="940">
        <f t="shared" si="13"/>
        <v>27259</v>
      </c>
      <c r="Q48" s="941">
        <f t="shared" si="14"/>
        <v>6833</v>
      </c>
      <c r="R48" s="942">
        <f t="shared" si="15"/>
        <v>34092</v>
      </c>
      <c r="S48" s="1266" t="s">
        <v>750</v>
      </c>
      <c r="T48" s="939" t="s">
        <v>521</v>
      </c>
      <c r="U48" s="938" t="s">
        <v>736</v>
      </c>
      <c r="V48" s="943">
        <v>623</v>
      </c>
      <c r="W48" s="943">
        <v>163</v>
      </c>
      <c r="X48" s="943">
        <v>33306</v>
      </c>
      <c r="Y48" s="943">
        <v>16220</v>
      </c>
      <c r="Z48" s="940"/>
      <c r="AA48" s="940">
        <v>0</v>
      </c>
      <c r="AB48" s="940"/>
      <c r="AC48" s="940">
        <v>0</v>
      </c>
      <c r="AD48" s="940">
        <v>0</v>
      </c>
      <c r="AE48" s="941"/>
      <c r="AF48" s="942">
        <f t="shared" si="16"/>
        <v>34092</v>
      </c>
      <c r="AH48" s="944">
        <v>34092</v>
      </c>
    </row>
    <row r="49" spans="1:34" ht="13.5" customHeight="1">
      <c r="A49" s="1267"/>
      <c r="B49" s="938" t="s">
        <v>736</v>
      </c>
      <c r="C49" s="939" t="s">
        <v>445</v>
      </c>
      <c r="D49" s="943">
        <v>5465</v>
      </c>
      <c r="E49" s="943">
        <v>5065</v>
      </c>
      <c r="F49" s="943">
        <v>1368</v>
      </c>
      <c r="G49" s="943">
        <v>0</v>
      </c>
      <c r="H49" s="943">
        <v>0</v>
      </c>
      <c r="I49" s="943">
        <v>0</v>
      </c>
      <c r="J49" s="943">
        <v>0</v>
      </c>
      <c r="K49" s="943">
        <v>0</v>
      </c>
      <c r="L49" s="940">
        <v>1188</v>
      </c>
      <c r="M49" s="940">
        <v>0</v>
      </c>
      <c r="N49" s="940">
        <v>0</v>
      </c>
      <c r="O49" s="940">
        <v>0</v>
      </c>
      <c r="P49" s="940">
        <f t="shared" si="13"/>
        <v>26571</v>
      </c>
      <c r="Q49" s="941">
        <f t="shared" si="14"/>
        <v>8021</v>
      </c>
      <c r="R49" s="942">
        <f t="shared" si="15"/>
        <v>34592</v>
      </c>
      <c r="S49" s="1267"/>
      <c r="T49" s="939" t="s">
        <v>445</v>
      </c>
      <c r="U49" s="938" t="s">
        <v>736</v>
      </c>
      <c r="V49" s="943">
        <v>623</v>
      </c>
      <c r="W49" s="943">
        <v>163</v>
      </c>
      <c r="X49" s="943">
        <f>33306+200+300</f>
        <v>33806</v>
      </c>
      <c r="Y49" s="943">
        <v>16220</v>
      </c>
      <c r="Z49" s="943"/>
      <c r="AA49" s="943">
        <v>0</v>
      </c>
      <c r="AB49" s="943"/>
      <c r="AC49" s="943">
        <v>0</v>
      </c>
      <c r="AD49" s="943">
        <v>0</v>
      </c>
      <c r="AE49" s="941"/>
      <c r="AF49" s="942">
        <f t="shared" si="16"/>
        <v>34592</v>
      </c>
      <c r="AH49" s="944">
        <v>34092</v>
      </c>
    </row>
    <row r="50" spans="1:34" ht="13.5" customHeight="1">
      <c r="A50" s="1268"/>
      <c r="B50" s="938" t="s">
        <v>736</v>
      </c>
      <c r="C50" s="939" t="s">
        <v>416</v>
      </c>
      <c r="D50" s="943">
        <v>5465</v>
      </c>
      <c r="E50" s="943">
        <v>5065</v>
      </c>
      <c r="F50" s="943">
        <v>1368</v>
      </c>
      <c r="G50" s="943">
        <v>0</v>
      </c>
      <c r="H50" s="943">
        <v>0</v>
      </c>
      <c r="I50" s="943">
        <v>0</v>
      </c>
      <c r="J50" s="943">
        <v>0</v>
      </c>
      <c r="K50" s="943">
        <v>0</v>
      </c>
      <c r="L50" s="940">
        <v>1188</v>
      </c>
      <c r="M50" s="940">
        <v>0</v>
      </c>
      <c r="N50" s="940">
        <v>0</v>
      </c>
      <c r="O50" s="940">
        <v>0</v>
      </c>
      <c r="P50" s="948">
        <f t="shared" si="13"/>
        <v>26368</v>
      </c>
      <c r="Q50" s="941">
        <f t="shared" si="14"/>
        <v>8021</v>
      </c>
      <c r="R50" s="942">
        <f t="shared" si="15"/>
        <v>34389</v>
      </c>
      <c r="S50" s="1268"/>
      <c r="T50" s="939" t="s">
        <v>416</v>
      </c>
      <c r="U50" s="938" t="s">
        <v>736</v>
      </c>
      <c r="V50" s="943">
        <f>623-50-189</f>
        <v>384</v>
      </c>
      <c r="W50" s="943">
        <f>163-17-47</f>
        <v>99</v>
      </c>
      <c r="X50" s="943">
        <f>33306+200+300+100</f>
        <v>33906</v>
      </c>
      <c r="Y50" s="943">
        <v>16220</v>
      </c>
      <c r="Z50" s="943"/>
      <c r="AA50" s="943">
        <v>0</v>
      </c>
      <c r="AB50" s="943"/>
      <c r="AC50" s="943">
        <v>0</v>
      </c>
      <c r="AD50" s="943">
        <v>0</v>
      </c>
      <c r="AE50" s="941"/>
      <c r="AF50" s="942">
        <f t="shared" si="16"/>
        <v>34389</v>
      </c>
      <c r="AH50" s="944"/>
    </row>
    <row r="51" spans="1:34" s="949" customFormat="1" ht="12.75">
      <c r="A51" s="1278" t="s">
        <v>751</v>
      </c>
      <c r="B51" s="149" t="s">
        <v>736</v>
      </c>
      <c r="C51" s="945" t="s">
        <v>521</v>
      </c>
      <c r="D51" s="946">
        <f aca="true" t="shared" si="17" ref="D51:R51">D45+D48</f>
        <v>30979</v>
      </c>
      <c r="E51" s="946">
        <f t="shared" si="17"/>
        <v>24359</v>
      </c>
      <c r="F51" s="946">
        <f t="shared" si="17"/>
        <v>8041</v>
      </c>
      <c r="G51" s="946">
        <f t="shared" si="17"/>
        <v>0</v>
      </c>
      <c r="H51" s="946">
        <f t="shared" si="17"/>
        <v>8640</v>
      </c>
      <c r="I51" s="946">
        <f t="shared" si="17"/>
        <v>0</v>
      </c>
      <c r="J51" s="946">
        <f t="shared" si="17"/>
        <v>0</v>
      </c>
      <c r="K51" s="946">
        <f t="shared" si="17"/>
        <v>0</v>
      </c>
      <c r="L51" s="947">
        <f t="shared" si="17"/>
        <v>0</v>
      </c>
      <c r="M51" s="947">
        <f t="shared" si="17"/>
        <v>0</v>
      </c>
      <c r="N51" s="947">
        <f t="shared" si="17"/>
        <v>0</v>
      </c>
      <c r="O51" s="947">
        <f t="shared" si="17"/>
        <v>0</v>
      </c>
      <c r="P51" s="947">
        <f t="shared" si="17"/>
        <v>119377</v>
      </c>
      <c r="Q51" s="947">
        <f t="shared" si="17"/>
        <v>47660</v>
      </c>
      <c r="R51" s="947">
        <f t="shared" si="17"/>
        <v>167037</v>
      </c>
      <c r="S51" s="1278" t="s">
        <v>751</v>
      </c>
      <c r="T51" s="945" t="s">
        <v>521</v>
      </c>
      <c r="U51" s="149" t="s">
        <v>736</v>
      </c>
      <c r="V51" s="946">
        <f aca="true" t="shared" si="18" ref="V51:Y53">V45+V48</f>
        <v>1628</v>
      </c>
      <c r="W51" s="946">
        <f t="shared" si="18"/>
        <v>434</v>
      </c>
      <c r="X51" s="946">
        <f t="shared" si="18"/>
        <v>160575</v>
      </c>
      <c r="Y51" s="946">
        <f t="shared" si="18"/>
        <v>63470</v>
      </c>
      <c r="Z51" s="946"/>
      <c r="AA51" s="946">
        <f>AA45+AA48</f>
        <v>0</v>
      </c>
      <c r="AB51" s="946"/>
      <c r="AC51" s="946">
        <f aca="true" t="shared" si="19" ref="AC51:AD53">AC45+AC48</f>
        <v>0</v>
      </c>
      <c r="AD51" s="946">
        <f t="shared" si="19"/>
        <v>4400</v>
      </c>
      <c r="AE51" s="947"/>
      <c r="AF51" s="947">
        <f>AF45+AF48</f>
        <v>167037</v>
      </c>
      <c r="AH51" s="944">
        <v>167037</v>
      </c>
    </row>
    <row r="52" spans="1:34" s="949" customFormat="1" ht="12.75" customHeight="1">
      <c r="A52" s="1279"/>
      <c r="B52" s="149" t="s">
        <v>736</v>
      </c>
      <c r="C52" s="945" t="s">
        <v>445</v>
      </c>
      <c r="D52" s="946">
        <f aca="true" t="shared" si="20" ref="D52:R52">D46+D49</f>
        <v>31044</v>
      </c>
      <c r="E52" s="946">
        <f t="shared" si="20"/>
        <v>24359</v>
      </c>
      <c r="F52" s="946">
        <f t="shared" si="20"/>
        <v>8041</v>
      </c>
      <c r="G52" s="946">
        <f t="shared" si="20"/>
        <v>0</v>
      </c>
      <c r="H52" s="946">
        <f t="shared" si="20"/>
        <v>8640</v>
      </c>
      <c r="I52" s="946">
        <f t="shared" si="20"/>
        <v>0</v>
      </c>
      <c r="J52" s="946">
        <f t="shared" si="20"/>
        <v>0</v>
      </c>
      <c r="K52" s="946">
        <f t="shared" si="20"/>
        <v>0</v>
      </c>
      <c r="L52" s="947">
        <f t="shared" si="20"/>
        <v>6591</v>
      </c>
      <c r="M52" s="947">
        <f t="shared" si="20"/>
        <v>0</v>
      </c>
      <c r="N52" s="947">
        <f t="shared" si="20"/>
        <v>873</v>
      </c>
      <c r="O52" s="947">
        <f t="shared" si="20"/>
        <v>0</v>
      </c>
      <c r="P52" s="947">
        <f t="shared" si="20"/>
        <v>120227</v>
      </c>
      <c r="Q52" s="947">
        <f t="shared" si="20"/>
        <v>55189</v>
      </c>
      <c r="R52" s="947">
        <f t="shared" si="20"/>
        <v>175416</v>
      </c>
      <c r="S52" s="1279"/>
      <c r="T52" s="945" t="s">
        <v>445</v>
      </c>
      <c r="U52" s="149" t="s">
        <v>736</v>
      </c>
      <c r="V52" s="946">
        <f t="shared" si="18"/>
        <v>2344</v>
      </c>
      <c r="W52" s="946">
        <f t="shared" si="18"/>
        <v>613</v>
      </c>
      <c r="X52" s="946">
        <f t="shared" si="18"/>
        <v>168059</v>
      </c>
      <c r="Y52" s="946">
        <f t="shared" si="18"/>
        <v>63470</v>
      </c>
      <c r="Z52" s="946"/>
      <c r="AA52" s="946">
        <f>AA46+AA49</f>
        <v>0</v>
      </c>
      <c r="AB52" s="946"/>
      <c r="AC52" s="946">
        <f t="shared" si="19"/>
        <v>0</v>
      </c>
      <c r="AD52" s="946">
        <f t="shared" si="19"/>
        <v>4400</v>
      </c>
      <c r="AE52" s="947"/>
      <c r="AF52" s="947">
        <f>AF46+AF49</f>
        <v>175416</v>
      </c>
      <c r="AH52" s="944">
        <v>167037</v>
      </c>
    </row>
    <row r="53" spans="1:34" s="949" customFormat="1" ht="12.75" customHeight="1">
      <c r="A53" s="1280"/>
      <c r="B53" s="149" t="s">
        <v>736</v>
      </c>
      <c r="C53" s="150" t="s">
        <v>416</v>
      </c>
      <c r="D53" s="946">
        <f aca="true" t="shared" si="21" ref="D53:R53">D47+D50</f>
        <v>31044</v>
      </c>
      <c r="E53" s="946">
        <f t="shared" si="21"/>
        <v>24359</v>
      </c>
      <c r="F53" s="946">
        <f t="shared" si="21"/>
        <v>8041</v>
      </c>
      <c r="G53" s="946">
        <f t="shared" si="21"/>
        <v>0</v>
      </c>
      <c r="H53" s="946">
        <f t="shared" si="21"/>
        <v>0</v>
      </c>
      <c r="I53" s="946">
        <f t="shared" si="21"/>
        <v>0</v>
      </c>
      <c r="J53" s="946">
        <f t="shared" si="21"/>
        <v>0</v>
      </c>
      <c r="K53" s="946">
        <f t="shared" si="21"/>
        <v>0</v>
      </c>
      <c r="L53" s="947">
        <f t="shared" si="21"/>
        <v>6591</v>
      </c>
      <c r="M53" s="947">
        <f t="shared" si="21"/>
        <v>0</v>
      </c>
      <c r="N53" s="947">
        <f t="shared" si="21"/>
        <v>873</v>
      </c>
      <c r="O53" s="947">
        <f t="shared" si="21"/>
        <v>0</v>
      </c>
      <c r="P53" s="947">
        <f t="shared" si="21"/>
        <v>118813</v>
      </c>
      <c r="Q53" s="947">
        <f t="shared" si="21"/>
        <v>46549</v>
      </c>
      <c r="R53" s="947">
        <f t="shared" si="21"/>
        <v>165362</v>
      </c>
      <c r="S53" s="1280"/>
      <c r="T53" s="150" t="s">
        <v>416</v>
      </c>
      <c r="U53" s="149" t="s">
        <v>736</v>
      </c>
      <c r="V53" s="946">
        <f t="shared" si="18"/>
        <v>1947</v>
      </c>
      <c r="W53" s="946">
        <f t="shared" si="18"/>
        <v>496</v>
      </c>
      <c r="X53" s="946">
        <f t="shared" si="18"/>
        <v>158203</v>
      </c>
      <c r="Y53" s="946">
        <f t="shared" si="18"/>
        <v>63470</v>
      </c>
      <c r="Z53" s="946"/>
      <c r="AA53" s="946">
        <f>AA47+AA50</f>
        <v>0</v>
      </c>
      <c r="AB53" s="946">
        <f>AB47+AB50</f>
        <v>316</v>
      </c>
      <c r="AC53" s="946">
        <f t="shared" si="19"/>
        <v>0</v>
      </c>
      <c r="AD53" s="946">
        <f t="shared" si="19"/>
        <v>4400</v>
      </c>
      <c r="AE53" s="947"/>
      <c r="AF53" s="947">
        <f>AF47+AF50</f>
        <v>165362</v>
      </c>
      <c r="AH53" s="944"/>
    </row>
    <row r="54" spans="1:34" ht="12.75">
      <c r="A54" s="1266" t="s">
        <v>752</v>
      </c>
      <c r="B54" s="938" t="s">
        <v>736</v>
      </c>
      <c r="C54" s="939" t="s">
        <v>521</v>
      </c>
      <c r="D54" s="943">
        <v>6720</v>
      </c>
      <c r="E54" s="943">
        <v>0</v>
      </c>
      <c r="F54" s="943">
        <v>0</v>
      </c>
      <c r="G54" s="943">
        <v>0</v>
      </c>
      <c r="H54" s="943">
        <v>0</v>
      </c>
      <c r="I54" s="943">
        <v>0</v>
      </c>
      <c r="J54" s="943">
        <v>0</v>
      </c>
      <c r="K54" s="943">
        <v>0</v>
      </c>
      <c r="L54" s="940"/>
      <c r="M54" s="940">
        <v>0</v>
      </c>
      <c r="N54" s="940">
        <v>0</v>
      </c>
      <c r="O54" s="940">
        <v>0</v>
      </c>
      <c r="P54" s="940">
        <f aca="true" t="shared" si="22" ref="P54:P61">AF54-Q54</f>
        <v>535</v>
      </c>
      <c r="Q54" s="941">
        <f aca="true" t="shared" si="23" ref="Q54:Q61">SUM(D54:O54)-E54</f>
        <v>6720</v>
      </c>
      <c r="R54" s="942">
        <f aca="true" t="shared" si="24" ref="R54:R61">P54+Q54</f>
        <v>7255</v>
      </c>
      <c r="S54" s="1266" t="s">
        <v>752</v>
      </c>
      <c r="T54" s="939" t="s">
        <v>521</v>
      </c>
      <c r="U54" s="938" t="s">
        <v>736</v>
      </c>
      <c r="V54" s="943">
        <v>229</v>
      </c>
      <c r="W54" s="943">
        <v>62</v>
      </c>
      <c r="X54" s="943">
        <v>4864</v>
      </c>
      <c r="Y54" s="943">
        <v>0</v>
      </c>
      <c r="Z54" s="943"/>
      <c r="AA54" s="943">
        <v>0</v>
      </c>
      <c r="AB54" s="943"/>
      <c r="AC54" s="943">
        <v>2100</v>
      </c>
      <c r="AD54" s="943">
        <v>0</v>
      </c>
      <c r="AE54" s="941"/>
      <c r="AF54" s="942">
        <f aca="true" t="shared" si="25" ref="AF54:AF61">SUM(V54:AD54)-Y54</f>
        <v>7255</v>
      </c>
      <c r="AH54" s="944">
        <v>7255</v>
      </c>
    </row>
    <row r="55" spans="1:34" ht="12.75" customHeight="1">
      <c r="A55" s="1267"/>
      <c r="B55" s="938" t="s">
        <v>736</v>
      </c>
      <c r="C55" s="939" t="s">
        <v>445</v>
      </c>
      <c r="D55" s="943">
        <v>6720</v>
      </c>
      <c r="E55" s="943">
        <v>0</v>
      </c>
      <c r="F55" s="943">
        <v>0</v>
      </c>
      <c r="G55" s="943">
        <v>0</v>
      </c>
      <c r="H55" s="943">
        <v>0</v>
      </c>
      <c r="I55" s="943">
        <v>0</v>
      </c>
      <c r="J55" s="943">
        <v>0</v>
      </c>
      <c r="K55" s="943">
        <v>0</v>
      </c>
      <c r="L55" s="940">
        <v>568</v>
      </c>
      <c r="M55" s="940">
        <v>0</v>
      </c>
      <c r="N55" s="940">
        <v>64</v>
      </c>
      <c r="O55" s="940">
        <v>0</v>
      </c>
      <c r="P55" s="940">
        <f t="shared" si="22"/>
        <v>635</v>
      </c>
      <c r="Q55" s="941">
        <f t="shared" si="23"/>
        <v>7352</v>
      </c>
      <c r="R55" s="942">
        <f t="shared" si="24"/>
        <v>7987</v>
      </c>
      <c r="S55" s="1267"/>
      <c r="T55" s="939" t="s">
        <v>445</v>
      </c>
      <c r="U55" s="938" t="s">
        <v>736</v>
      </c>
      <c r="V55" s="943">
        <f>229+111</f>
        <v>340</v>
      </c>
      <c r="W55" s="943">
        <f>62+8</f>
        <v>70</v>
      </c>
      <c r="X55" s="943">
        <f>4864+100+513</f>
        <v>5477</v>
      </c>
      <c r="Y55" s="943">
        <v>0</v>
      </c>
      <c r="Z55" s="943"/>
      <c r="AA55" s="943">
        <v>0</v>
      </c>
      <c r="AB55" s="943"/>
      <c r="AC55" s="943">
        <v>2100</v>
      </c>
      <c r="AD55" s="943">
        <v>0</v>
      </c>
      <c r="AE55" s="941"/>
      <c r="AF55" s="942">
        <f t="shared" si="25"/>
        <v>7987</v>
      </c>
      <c r="AH55" s="944">
        <v>7255</v>
      </c>
    </row>
    <row r="56" spans="1:34" ht="12.75" customHeight="1">
      <c r="A56" s="1268"/>
      <c r="B56" s="938" t="s">
        <v>736</v>
      </c>
      <c r="C56" s="939" t="s">
        <v>416</v>
      </c>
      <c r="D56" s="943">
        <v>6720</v>
      </c>
      <c r="E56" s="943">
        <v>0</v>
      </c>
      <c r="F56" s="943">
        <v>0</v>
      </c>
      <c r="G56" s="943">
        <v>0</v>
      </c>
      <c r="H56" s="943">
        <v>0</v>
      </c>
      <c r="I56" s="943">
        <v>0</v>
      </c>
      <c r="J56" s="943">
        <v>0</v>
      </c>
      <c r="K56" s="943">
        <v>0</v>
      </c>
      <c r="L56" s="940">
        <v>568</v>
      </c>
      <c r="M56" s="940">
        <v>0</v>
      </c>
      <c r="N56" s="940">
        <v>64</v>
      </c>
      <c r="O56" s="940">
        <v>0</v>
      </c>
      <c r="P56" s="940">
        <f t="shared" si="22"/>
        <v>207</v>
      </c>
      <c r="Q56" s="941">
        <f t="shared" si="23"/>
        <v>7352</v>
      </c>
      <c r="R56" s="942">
        <f t="shared" si="24"/>
        <v>7559</v>
      </c>
      <c r="S56" s="1268"/>
      <c r="T56" s="939" t="s">
        <v>416</v>
      </c>
      <c r="U56" s="938" t="s">
        <v>736</v>
      </c>
      <c r="V56" s="943">
        <f>229+111+189+158+47+12</f>
        <v>746</v>
      </c>
      <c r="W56" s="943">
        <f>62+8+4+45+17</f>
        <v>136</v>
      </c>
      <c r="X56" s="943">
        <f>4864+100+513-900</f>
        <v>4577</v>
      </c>
      <c r="Y56" s="943">
        <v>0</v>
      </c>
      <c r="Z56" s="943"/>
      <c r="AA56" s="943">
        <v>0</v>
      </c>
      <c r="AB56" s="943"/>
      <c r="AC56" s="943">
        <v>2100</v>
      </c>
      <c r="AD56" s="943">
        <v>0</v>
      </c>
      <c r="AE56" s="941"/>
      <c r="AF56" s="942">
        <f t="shared" si="25"/>
        <v>7559</v>
      </c>
      <c r="AH56" s="944"/>
    </row>
    <row r="57" spans="1:34" ht="36.75" customHeight="1">
      <c r="A57" s="1266" t="s">
        <v>446</v>
      </c>
      <c r="B57" s="938" t="s">
        <v>736</v>
      </c>
      <c r="C57" s="939" t="s">
        <v>447</v>
      </c>
      <c r="D57" s="943">
        <v>14888</v>
      </c>
      <c r="E57" s="943">
        <v>14888</v>
      </c>
      <c r="F57" s="943"/>
      <c r="G57" s="943"/>
      <c r="H57" s="943"/>
      <c r="I57" s="943"/>
      <c r="J57" s="943"/>
      <c r="K57" s="943"/>
      <c r="L57" s="940"/>
      <c r="M57" s="940"/>
      <c r="N57" s="940"/>
      <c r="O57" s="940"/>
      <c r="P57" s="940">
        <f t="shared" si="22"/>
        <v>13820</v>
      </c>
      <c r="Q57" s="941">
        <f t="shared" si="23"/>
        <v>14888</v>
      </c>
      <c r="R57" s="942">
        <f t="shared" si="24"/>
        <v>28708</v>
      </c>
      <c r="S57" s="1266" t="s">
        <v>446</v>
      </c>
      <c r="T57" s="938" t="s">
        <v>736</v>
      </c>
      <c r="U57" s="939" t="s">
        <v>447</v>
      </c>
      <c r="V57" s="943">
        <v>0</v>
      </c>
      <c r="W57" s="943">
        <v>0</v>
      </c>
      <c r="X57" s="943">
        <f>28708</f>
        <v>28708</v>
      </c>
      <c r="Y57" s="943">
        <v>28708</v>
      </c>
      <c r="Z57" s="943"/>
      <c r="AA57" s="943"/>
      <c r="AB57" s="943"/>
      <c r="AC57" s="943"/>
      <c r="AD57" s="943"/>
      <c r="AE57" s="941"/>
      <c r="AF57" s="942">
        <f t="shared" si="25"/>
        <v>28708</v>
      </c>
      <c r="AH57" s="944"/>
    </row>
    <row r="58" spans="1:34" ht="30.75" customHeight="1">
      <c r="A58" s="1268"/>
      <c r="B58" s="938" t="s">
        <v>736</v>
      </c>
      <c r="C58" s="939" t="s">
        <v>416</v>
      </c>
      <c r="D58" s="943">
        <v>14888</v>
      </c>
      <c r="E58" s="943">
        <v>14888</v>
      </c>
      <c r="F58" s="943"/>
      <c r="G58" s="943"/>
      <c r="H58" s="943"/>
      <c r="I58" s="943"/>
      <c r="J58" s="943"/>
      <c r="K58" s="943"/>
      <c r="L58" s="940"/>
      <c r="M58" s="940"/>
      <c r="N58" s="940"/>
      <c r="O58" s="940"/>
      <c r="P58" s="940">
        <f t="shared" si="22"/>
        <v>17520</v>
      </c>
      <c r="Q58" s="941">
        <f t="shared" si="23"/>
        <v>14888</v>
      </c>
      <c r="R58" s="942">
        <f t="shared" si="24"/>
        <v>32408</v>
      </c>
      <c r="S58" s="1268"/>
      <c r="T58" s="938" t="s">
        <v>736</v>
      </c>
      <c r="U58" s="939" t="s">
        <v>416</v>
      </c>
      <c r="V58" s="943">
        <v>0</v>
      </c>
      <c r="W58" s="943">
        <v>0</v>
      </c>
      <c r="X58" s="943">
        <f>28708+1900+900+900</f>
        <v>32408</v>
      </c>
      <c r="Y58" s="943">
        <v>32408</v>
      </c>
      <c r="Z58" s="943"/>
      <c r="AA58" s="943"/>
      <c r="AB58" s="943"/>
      <c r="AC58" s="943"/>
      <c r="AD58" s="943"/>
      <c r="AE58" s="941"/>
      <c r="AF58" s="942">
        <f t="shared" si="25"/>
        <v>32408</v>
      </c>
      <c r="AH58" s="944"/>
    </row>
    <row r="59" spans="1:34" ht="14.25" customHeight="1">
      <c r="A59" s="1266" t="s">
        <v>753</v>
      </c>
      <c r="B59" s="938" t="s">
        <v>754</v>
      </c>
      <c r="C59" s="939" t="s">
        <v>521</v>
      </c>
      <c r="D59" s="943">
        <v>666</v>
      </c>
      <c r="E59" s="943">
        <v>0</v>
      </c>
      <c r="F59" s="943">
        <v>8180</v>
      </c>
      <c r="G59" s="943">
        <v>0</v>
      </c>
      <c r="H59" s="943">
        <v>0</v>
      </c>
      <c r="I59" s="943">
        <v>0</v>
      </c>
      <c r="J59" s="943">
        <v>0</v>
      </c>
      <c r="K59" s="943">
        <v>0</v>
      </c>
      <c r="L59" s="940"/>
      <c r="M59" s="940">
        <v>0</v>
      </c>
      <c r="N59" s="940"/>
      <c r="O59" s="940">
        <v>0</v>
      </c>
      <c r="P59" s="940">
        <f t="shared" si="22"/>
        <v>23488</v>
      </c>
      <c r="Q59" s="941">
        <f t="shared" si="23"/>
        <v>8846</v>
      </c>
      <c r="R59" s="942">
        <f t="shared" si="24"/>
        <v>32334</v>
      </c>
      <c r="S59" s="1266" t="s">
        <v>755</v>
      </c>
      <c r="T59" s="939" t="s">
        <v>521</v>
      </c>
      <c r="U59" s="938" t="s">
        <v>754</v>
      </c>
      <c r="V59" s="943">
        <f>17782</f>
        <v>17782</v>
      </c>
      <c r="W59" s="943">
        <v>4738</v>
      </c>
      <c r="X59" s="943">
        <v>9814</v>
      </c>
      <c r="Y59" s="943">
        <v>0</v>
      </c>
      <c r="Z59" s="943"/>
      <c r="AA59" s="943"/>
      <c r="AB59" s="943"/>
      <c r="AC59" s="943">
        <v>0</v>
      </c>
      <c r="AD59" s="943">
        <v>0</v>
      </c>
      <c r="AE59" s="941"/>
      <c r="AF59" s="942">
        <f t="shared" si="25"/>
        <v>32334</v>
      </c>
      <c r="AH59" s="944">
        <v>32334</v>
      </c>
    </row>
    <row r="60" spans="1:34" ht="12.75" customHeight="1">
      <c r="A60" s="1267"/>
      <c r="B60" s="938" t="s">
        <v>754</v>
      </c>
      <c r="C60" s="939" t="s">
        <v>445</v>
      </c>
      <c r="D60" s="943">
        <v>666</v>
      </c>
      <c r="E60" s="943">
        <v>0</v>
      </c>
      <c r="F60" s="943">
        <v>8180</v>
      </c>
      <c r="G60" s="943">
        <v>0</v>
      </c>
      <c r="H60" s="943">
        <v>0</v>
      </c>
      <c r="I60" s="943">
        <v>0</v>
      </c>
      <c r="J60" s="943">
        <v>0</v>
      </c>
      <c r="K60" s="943">
        <v>0</v>
      </c>
      <c r="L60" s="940"/>
      <c r="M60" s="940">
        <v>0</v>
      </c>
      <c r="N60" s="940">
        <v>19307</v>
      </c>
      <c r="O60" s="940">
        <v>0</v>
      </c>
      <c r="P60" s="940">
        <f t="shared" si="22"/>
        <v>24739</v>
      </c>
      <c r="Q60" s="941">
        <f t="shared" si="23"/>
        <v>28153</v>
      </c>
      <c r="R60" s="942">
        <f t="shared" si="24"/>
        <v>52892</v>
      </c>
      <c r="S60" s="1267"/>
      <c r="T60" s="939" t="s">
        <v>445</v>
      </c>
      <c r="U60" s="938" t="s">
        <v>754</v>
      </c>
      <c r="V60" s="943">
        <f>17782+508+985</f>
        <v>19275</v>
      </c>
      <c r="W60" s="943">
        <f>4738+137+266</f>
        <v>5141</v>
      </c>
      <c r="X60" s="943">
        <f>9814+986</f>
        <v>10800</v>
      </c>
      <c r="Y60" s="943">
        <v>0</v>
      </c>
      <c r="Z60" s="943"/>
      <c r="AA60" s="943">
        <v>17676</v>
      </c>
      <c r="AB60" s="943"/>
      <c r="AC60" s="943">
        <v>0</v>
      </c>
      <c r="AD60" s="943">
        <v>0</v>
      </c>
      <c r="AE60" s="941"/>
      <c r="AF60" s="942">
        <f t="shared" si="25"/>
        <v>52892</v>
      </c>
      <c r="AH60" s="944">
        <v>32334</v>
      </c>
    </row>
    <row r="61" spans="1:34" ht="12.75" customHeight="1">
      <c r="A61" s="1268"/>
      <c r="B61" s="938" t="s">
        <v>754</v>
      </c>
      <c r="C61" s="939" t="s">
        <v>416</v>
      </c>
      <c r="D61" s="943">
        <v>666</v>
      </c>
      <c r="E61" s="943">
        <v>0</v>
      </c>
      <c r="F61" s="943">
        <v>8180</v>
      </c>
      <c r="G61" s="943">
        <v>0</v>
      </c>
      <c r="H61" s="943">
        <v>677</v>
      </c>
      <c r="I61" s="943">
        <v>0</v>
      </c>
      <c r="J61" s="943">
        <v>0</v>
      </c>
      <c r="K61" s="943">
        <v>0</v>
      </c>
      <c r="L61" s="940"/>
      <c r="M61" s="940">
        <v>0</v>
      </c>
      <c r="N61" s="940">
        <v>19307</v>
      </c>
      <c r="O61" s="940">
        <v>0</v>
      </c>
      <c r="P61" s="940">
        <f t="shared" si="22"/>
        <v>27708</v>
      </c>
      <c r="Q61" s="941">
        <f t="shared" si="23"/>
        <v>28830</v>
      </c>
      <c r="R61" s="942">
        <f t="shared" si="24"/>
        <v>56538</v>
      </c>
      <c r="S61" s="1268"/>
      <c r="T61" s="939" t="s">
        <v>416</v>
      </c>
      <c r="U61" s="938" t="s">
        <v>754</v>
      </c>
      <c r="V61" s="943">
        <f>17782+508+985+533+259+41</f>
        <v>20108</v>
      </c>
      <c r="W61" s="943">
        <f>4738+137+266+144+69</f>
        <v>5354</v>
      </c>
      <c r="X61" s="943">
        <f>9814+986</f>
        <v>10800</v>
      </c>
      <c r="Y61" s="943">
        <v>0</v>
      </c>
      <c r="Z61" s="943"/>
      <c r="AA61" s="943">
        <v>17676</v>
      </c>
      <c r="AB61" s="943"/>
      <c r="AC61" s="943">
        <v>2600</v>
      </c>
      <c r="AD61" s="943">
        <v>0</v>
      </c>
      <c r="AE61" s="941"/>
      <c r="AF61" s="942">
        <f t="shared" si="25"/>
        <v>56538</v>
      </c>
      <c r="AH61" s="944"/>
    </row>
    <row r="62" spans="1:34" s="950" customFormat="1" ht="12.75">
      <c r="A62" s="1278" t="s">
        <v>756</v>
      </c>
      <c r="B62" s="149" t="s">
        <v>757</v>
      </c>
      <c r="C62" s="945" t="s">
        <v>521</v>
      </c>
      <c r="D62" s="946">
        <f aca="true" t="shared" si="26" ref="D62:K62">D42+D51+D54+D59</f>
        <v>62288</v>
      </c>
      <c r="E62" s="946">
        <f t="shared" si="26"/>
        <v>44484</v>
      </c>
      <c r="F62" s="946">
        <f t="shared" si="26"/>
        <v>22374</v>
      </c>
      <c r="G62" s="946">
        <f t="shared" si="26"/>
        <v>0</v>
      </c>
      <c r="H62" s="946">
        <f t="shared" si="26"/>
        <v>9880</v>
      </c>
      <c r="I62" s="946">
        <f t="shared" si="26"/>
        <v>0</v>
      </c>
      <c r="J62" s="946">
        <f t="shared" si="26"/>
        <v>0</v>
      </c>
      <c r="K62" s="946">
        <f t="shared" si="26"/>
        <v>0</v>
      </c>
      <c r="L62" s="947"/>
      <c r="M62" s="947">
        <f aca="true" t="shared" si="27" ref="M62:R62">M42+M51+M54+M59</f>
        <v>0</v>
      </c>
      <c r="N62" s="947">
        <f t="shared" si="27"/>
        <v>0</v>
      </c>
      <c r="O62" s="947">
        <f t="shared" si="27"/>
        <v>0</v>
      </c>
      <c r="P62" s="947">
        <f t="shared" si="27"/>
        <v>233571</v>
      </c>
      <c r="Q62" s="947">
        <f t="shared" si="27"/>
        <v>94542</v>
      </c>
      <c r="R62" s="947">
        <f t="shared" si="27"/>
        <v>328113</v>
      </c>
      <c r="S62" s="1278" t="s">
        <v>756</v>
      </c>
      <c r="T62" s="150" t="s">
        <v>521</v>
      </c>
      <c r="U62" s="149" t="s">
        <v>757</v>
      </c>
      <c r="V62" s="946">
        <f>V42+V51+V54+V59</f>
        <v>21244</v>
      </c>
      <c r="W62" s="946">
        <f>W42+W51+W54+W59</f>
        <v>5626</v>
      </c>
      <c r="X62" s="946">
        <f>X42+X51+X54+X59</f>
        <v>289743</v>
      </c>
      <c r="Y62" s="946">
        <f>Y42+Y51+Y54+Y59</f>
        <v>121314</v>
      </c>
      <c r="Z62" s="946"/>
      <c r="AA62" s="946">
        <f>AA42+AA51+AA54+AA59</f>
        <v>0</v>
      </c>
      <c r="AB62" s="946"/>
      <c r="AC62" s="946">
        <f>AC42+AC51+AC54+AC59</f>
        <v>2100</v>
      </c>
      <c r="AD62" s="946">
        <f>AD42+AD51+AD54+AD59</f>
        <v>9400</v>
      </c>
      <c r="AE62" s="947"/>
      <c r="AF62" s="947">
        <f>AF42+AF51+AF54+AF59</f>
        <v>328113</v>
      </c>
      <c r="AG62" s="947">
        <f>AG42+AG51+AG54+AG59</f>
        <v>0</v>
      </c>
      <c r="AH62" s="947">
        <f>AH42+AH51+AH54+AH59</f>
        <v>328113</v>
      </c>
    </row>
    <row r="63" spans="1:34" s="950" customFormat="1" ht="13.5" customHeight="1">
      <c r="A63" s="1279"/>
      <c r="B63" s="149" t="s">
        <v>757</v>
      </c>
      <c r="C63" s="945" t="s">
        <v>445</v>
      </c>
      <c r="D63" s="946">
        <f aca="true" t="shared" si="28" ref="D63:R63">D43+D52+D55+D60+D57</f>
        <v>77241</v>
      </c>
      <c r="E63" s="946">
        <f t="shared" si="28"/>
        <v>59372</v>
      </c>
      <c r="F63" s="946">
        <f t="shared" si="28"/>
        <v>22374</v>
      </c>
      <c r="G63" s="946">
        <f t="shared" si="28"/>
        <v>0</v>
      </c>
      <c r="H63" s="946">
        <f t="shared" si="28"/>
        <v>9880</v>
      </c>
      <c r="I63" s="946">
        <f t="shared" si="28"/>
        <v>0</v>
      </c>
      <c r="J63" s="946">
        <f t="shared" si="28"/>
        <v>0</v>
      </c>
      <c r="K63" s="946">
        <f t="shared" si="28"/>
        <v>0</v>
      </c>
      <c r="L63" s="947">
        <f t="shared" si="28"/>
        <v>11754</v>
      </c>
      <c r="M63" s="947">
        <f t="shared" si="28"/>
        <v>0</v>
      </c>
      <c r="N63" s="947">
        <f t="shared" si="28"/>
        <v>20355</v>
      </c>
      <c r="O63" s="947">
        <f t="shared" si="28"/>
        <v>0</v>
      </c>
      <c r="P63" s="947">
        <f t="shared" si="28"/>
        <v>249992</v>
      </c>
      <c r="Q63" s="947">
        <f t="shared" si="28"/>
        <v>141604</v>
      </c>
      <c r="R63" s="947">
        <f t="shared" si="28"/>
        <v>391596</v>
      </c>
      <c r="S63" s="1279"/>
      <c r="T63" s="945" t="s">
        <v>445</v>
      </c>
      <c r="U63" s="149" t="s">
        <v>757</v>
      </c>
      <c r="V63" s="947">
        <f aca="true" t="shared" si="29" ref="V63:Y64">V43+V52+V55+V60+V57</f>
        <v>24076</v>
      </c>
      <c r="W63" s="947">
        <f t="shared" si="29"/>
        <v>6361</v>
      </c>
      <c r="X63" s="947">
        <f t="shared" si="29"/>
        <v>331983</v>
      </c>
      <c r="Y63" s="947">
        <f t="shared" si="29"/>
        <v>150022</v>
      </c>
      <c r="Z63" s="947"/>
      <c r="AA63" s="947">
        <f>AA43+AA52+AA55+AA60+AA57</f>
        <v>17676</v>
      </c>
      <c r="AB63" s="947"/>
      <c r="AC63" s="947">
        <f>AC43+AC52+AC55+AC60+AC57</f>
        <v>2100</v>
      </c>
      <c r="AD63" s="947">
        <f>AD43+AD52+AD55+AD60+AD57</f>
        <v>9400</v>
      </c>
      <c r="AE63" s="947"/>
      <c r="AF63" s="947">
        <f>AF43+AF52+AF55+AF60+AF57</f>
        <v>391596</v>
      </c>
      <c r="AG63" s="947">
        <f>AG43+AG52+AG55+AG60</f>
        <v>0</v>
      </c>
      <c r="AH63" s="947">
        <f>AH43+AH52+AH55+AH60</f>
        <v>206626</v>
      </c>
    </row>
    <row r="64" spans="1:34" s="950" customFormat="1" ht="13.5" customHeight="1">
      <c r="A64" s="1280"/>
      <c r="B64" s="149" t="s">
        <v>757</v>
      </c>
      <c r="C64" s="150" t="s">
        <v>416</v>
      </c>
      <c r="D64" s="946">
        <f aca="true" t="shared" si="30" ref="D64:R64">D44+D53+D56+D61+D58</f>
        <v>77241</v>
      </c>
      <c r="E64" s="946">
        <f t="shared" si="30"/>
        <v>59372</v>
      </c>
      <c r="F64" s="946">
        <f t="shared" si="30"/>
        <v>22374</v>
      </c>
      <c r="G64" s="946">
        <f t="shared" si="30"/>
        <v>0</v>
      </c>
      <c r="H64" s="946">
        <f t="shared" si="30"/>
        <v>1917</v>
      </c>
      <c r="I64" s="946">
        <f t="shared" si="30"/>
        <v>0</v>
      </c>
      <c r="J64" s="946">
        <f t="shared" si="30"/>
        <v>0</v>
      </c>
      <c r="K64" s="946">
        <f t="shared" si="30"/>
        <v>0</v>
      </c>
      <c r="L64" s="947">
        <f t="shared" si="30"/>
        <v>11754</v>
      </c>
      <c r="M64" s="947">
        <f t="shared" si="30"/>
        <v>0</v>
      </c>
      <c r="N64" s="947">
        <f t="shared" si="30"/>
        <v>20355</v>
      </c>
      <c r="O64" s="947">
        <f t="shared" si="30"/>
        <v>0</v>
      </c>
      <c r="P64" s="947">
        <f t="shared" si="30"/>
        <v>252920</v>
      </c>
      <c r="Q64" s="947">
        <f t="shared" si="30"/>
        <v>133641</v>
      </c>
      <c r="R64" s="947">
        <f t="shared" si="30"/>
        <v>386561</v>
      </c>
      <c r="S64" s="1280"/>
      <c r="T64" s="150" t="s">
        <v>416</v>
      </c>
      <c r="U64" s="149" t="s">
        <v>757</v>
      </c>
      <c r="V64" s="947">
        <f t="shared" si="29"/>
        <v>24968</v>
      </c>
      <c r="W64" s="947">
        <f t="shared" si="29"/>
        <v>6474</v>
      </c>
      <c r="X64" s="947">
        <f t="shared" si="29"/>
        <v>323027</v>
      </c>
      <c r="Y64" s="947">
        <f t="shared" si="29"/>
        <v>153722</v>
      </c>
      <c r="Z64" s="947"/>
      <c r="AA64" s="947">
        <f>AA44+AA53+AA56+AA61+AA58</f>
        <v>17676</v>
      </c>
      <c r="AB64" s="947">
        <f>AB44+AB53+AB56+AB61+AB58</f>
        <v>316</v>
      </c>
      <c r="AC64" s="947">
        <f>AC44+AC53+AC56+AC61+AC58</f>
        <v>4700</v>
      </c>
      <c r="AD64" s="947">
        <f>AD44+AD53+AD56+AD61+AD58</f>
        <v>9400</v>
      </c>
      <c r="AE64" s="947"/>
      <c r="AF64" s="947">
        <f>AF44+AF53+AF56+AF61+AF58</f>
        <v>386561</v>
      </c>
      <c r="AG64" s="951"/>
      <c r="AH64" s="951"/>
    </row>
    <row r="65" spans="1:34" ht="12.75">
      <c r="A65" s="1266" t="s">
        <v>758</v>
      </c>
      <c r="B65" s="938" t="s">
        <v>736</v>
      </c>
      <c r="C65" s="939" t="s">
        <v>521</v>
      </c>
      <c r="D65" s="943">
        <v>1230</v>
      </c>
      <c r="E65" s="943">
        <v>0</v>
      </c>
      <c r="F65" s="943">
        <v>332</v>
      </c>
      <c r="G65" s="943">
        <v>0</v>
      </c>
      <c r="H65" s="943">
        <v>0</v>
      </c>
      <c r="I65" s="943">
        <v>0</v>
      </c>
      <c r="J65" s="943">
        <v>10000</v>
      </c>
      <c r="K65" s="943">
        <v>0</v>
      </c>
      <c r="L65" s="943"/>
      <c r="M65" s="943">
        <v>0</v>
      </c>
      <c r="N65" s="943">
        <v>0</v>
      </c>
      <c r="O65" s="943">
        <v>0</v>
      </c>
      <c r="P65" s="943">
        <f aca="true" t="shared" si="31" ref="P65:P78">AF65-Q65</f>
        <v>38503</v>
      </c>
      <c r="Q65" s="955">
        <f aca="true" t="shared" si="32" ref="Q65:Q79">SUM(D65:O65)-E65</f>
        <v>11562</v>
      </c>
      <c r="R65" s="942">
        <f aca="true" t="shared" si="33" ref="R65:R79">P65+Q65</f>
        <v>50065</v>
      </c>
      <c r="S65" s="1266" t="s">
        <v>758</v>
      </c>
      <c r="T65" s="939" t="s">
        <v>521</v>
      </c>
      <c r="U65" s="938" t="s">
        <v>736</v>
      </c>
      <c r="V65" s="940">
        <v>21951</v>
      </c>
      <c r="W65" s="940">
        <v>5305</v>
      </c>
      <c r="X65" s="940">
        <v>22809</v>
      </c>
      <c r="Y65" s="940">
        <v>0</v>
      </c>
      <c r="Z65" s="940"/>
      <c r="AA65" s="940">
        <v>0</v>
      </c>
      <c r="AB65" s="940"/>
      <c r="AC65" s="940">
        <v>0</v>
      </c>
      <c r="AD65" s="940">
        <v>0</v>
      </c>
      <c r="AE65" s="941"/>
      <c r="AF65" s="942">
        <f aca="true" t="shared" si="34" ref="AF65:AF78">SUM(V65:AD65)-Y65</f>
        <v>50065</v>
      </c>
      <c r="AH65" s="944">
        <v>50065</v>
      </c>
    </row>
    <row r="66" spans="1:34" ht="12.75" customHeight="1">
      <c r="A66" s="1267"/>
      <c r="B66" s="938" t="s">
        <v>736</v>
      </c>
      <c r="C66" s="939" t="s">
        <v>445</v>
      </c>
      <c r="D66" s="943">
        <v>1230</v>
      </c>
      <c r="E66" s="943">
        <v>0</v>
      </c>
      <c r="F66" s="943">
        <v>332</v>
      </c>
      <c r="G66" s="943">
        <v>0</v>
      </c>
      <c r="H66" s="943">
        <v>0</v>
      </c>
      <c r="I66" s="943">
        <v>0</v>
      </c>
      <c r="J66" s="943">
        <v>10000</v>
      </c>
      <c r="K66" s="943">
        <v>0</v>
      </c>
      <c r="L66" s="943">
        <v>948</v>
      </c>
      <c r="M66" s="943">
        <v>0</v>
      </c>
      <c r="N66" s="943">
        <v>4807</v>
      </c>
      <c r="O66" s="943">
        <v>0</v>
      </c>
      <c r="P66" s="943">
        <f t="shared" si="31"/>
        <v>40527</v>
      </c>
      <c r="Q66" s="955">
        <f t="shared" si="32"/>
        <v>17317</v>
      </c>
      <c r="R66" s="942">
        <f t="shared" si="33"/>
        <v>57844</v>
      </c>
      <c r="S66" s="1267"/>
      <c r="T66" s="952" t="s">
        <v>445</v>
      </c>
      <c r="U66" s="953" t="s">
        <v>736</v>
      </c>
      <c r="V66" s="943">
        <f>21951+2000+255</f>
        <v>24206</v>
      </c>
      <c r="W66" s="943">
        <f>5305+540+69</f>
        <v>5914</v>
      </c>
      <c r="X66" s="943">
        <f>22809+1700+3215</f>
        <v>27724</v>
      </c>
      <c r="Y66" s="943">
        <v>0</v>
      </c>
      <c r="Z66" s="943"/>
      <c r="AA66" s="943">
        <v>0</v>
      </c>
      <c r="AB66" s="943"/>
      <c r="AC66" s="943">
        <v>0</v>
      </c>
      <c r="AD66" s="943">
        <v>0</v>
      </c>
      <c r="AE66" s="955"/>
      <c r="AF66" s="954">
        <f t="shared" si="34"/>
        <v>57844</v>
      </c>
      <c r="AH66" s="944">
        <v>50065</v>
      </c>
    </row>
    <row r="67" spans="1:34" ht="12.75" customHeight="1">
      <c r="A67" s="1268"/>
      <c r="B67" s="938" t="s">
        <v>736</v>
      </c>
      <c r="C67" s="939" t="s">
        <v>416</v>
      </c>
      <c r="D67" s="943">
        <v>1230</v>
      </c>
      <c r="E67" s="943">
        <v>0</v>
      </c>
      <c r="F67" s="943">
        <v>332</v>
      </c>
      <c r="G67" s="943">
        <v>0</v>
      </c>
      <c r="H67" s="943">
        <v>0</v>
      </c>
      <c r="I67" s="943">
        <v>0</v>
      </c>
      <c r="J67" s="943">
        <v>10000</v>
      </c>
      <c r="K67" s="943">
        <v>0</v>
      </c>
      <c r="L67" s="943">
        <v>948</v>
      </c>
      <c r="M67" s="943">
        <v>0</v>
      </c>
      <c r="N67" s="943">
        <v>4807</v>
      </c>
      <c r="O67" s="943">
        <v>0</v>
      </c>
      <c r="P67" s="943">
        <f t="shared" si="31"/>
        <v>42632</v>
      </c>
      <c r="Q67" s="955">
        <f t="shared" si="32"/>
        <v>17317</v>
      </c>
      <c r="R67" s="942">
        <f t="shared" si="33"/>
        <v>59949</v>
      </c>
      <c r="S67" s="1268"/>
      <c r="T67" s="939" t="s">
        <v>416</v>
      </c>
      <c r="U67" s="953" t="s">
        <v>736</v>
      </c>
      <c r="V67" s="943">
        <f>21951+2000+255+255</f>
        <v>24461</v>
      </c>
      <c r="W67" s="943">
        <f>5305+540+69+69</f>
        <v>5983</v>
      </c>
      <c r="X67" s="943">
        <f>22809+1700+3215+1781</f>
        <v>29505</v>
      </c>
      <c r="Y67" s="943">
        <v>0</v>
      </c>
      <c r="Z67" s="943"/>
      <c r="AA67" s="943">
        <v>0</v>
      </c>
      <c r="AB67" s="943"/>
      <c r="AC67" s="943">
        <v>0</v>
      </c>
      <c r="AD67" s="943">
        <v>0</v>
      </c>
      <c r="AE67" s="955"/>
      <c r="AF67" s="954">
        <f t="shared" si="34"/>
        <v>59949</v>
      </c>
      <c r="AH67" s="944"/>
    </row>
    <row r="68" spans="1:34" ht="13.5" customHeight="1">
      <c r="A68" s="1266" t="s">
        <v>759</v>
      </c>
      <c r="B68" s="938" t="s">
        <v>736</v>
      </c>
      <c r="C68" s="939" t="s">
        <v>521</v>
      </c>
      <c r="D68" s="943">
        <v>480</v>
      </c>
      <c r="E68" s="943">
        <v>0</v>
      </c>
      <c r="F68" s="943">
        <v>130</v>
      </c>
      <c r="G68" s="943">
        <v>0</v>
      </c>
      <c r="H68" s="943">
        <v>0</v>
      </c>
      <c r="I68" s="943">
        <v>0</v>
      </c>
      <c r="J68" s="943">
        <v>0</v>
      </c>
      <c r="K68" s="943">
        <v>0</v>
      </c>
      <c r="L68" s="943"/>
      <c r="M68" s="943">
        <v>0</v>
      </c>
      <c r="N68" s="943">
        <v>0</v>
      </c>
      <c r="O68" s="943">
        <v>0</v>
      </c>
      <c r="P68" s="943">
        <f t="shared" si="31"/>
        <v>2739</v>
      </c>
      <c r="Q68" s="955">
        <f t="shared" si="32"/>
        <v>610</v>
      </c>
      <c r="R68" s="942">
        <f t="shared" si="33"/>
        <v>3349</v>
      </c>
      <c r="S68" s="1266" t="s">
        <v>759</v>
      </c>
      <c r="T68" s="952" t="s">
        <v>521</v>
      </c>
      <c r="U68" s="953" t="s">
        <v>736</v>
      </c>
      <c r="V68" s="943">
        <v>1518</v>
      </c>
      <c r="W68" s="943">
        <v>0</v>
      </c>
      <c r="X68" s="943">
        <v>469</v>
      </c>
      <c r="Y68" s="943">
        <v>0</v>
      </c>
      <c r="Z68" s="943"/>
      <c r="AA68" s="943">
        <v>0</v>
      </c>
      <c r="AB68" s="943"/>
      <c r="AC68" s="943">
        <v>1362</v>
      </c>
      <c r="AD68" s="943">
        <v>0</v>
      </c>
      <c r="AE68" s="955"/>
      <c r="AF68" s="954">
        <f t="shared" si="34"/>
        <v>3349</v>
      </c>
      <c r="AH68" s="944">
        <v>3349</v>
      </c>
    </row>
    <row r="69" spans="1:34" ht="12.75" customHeight="1">
      <c r="A69" s="1267"/>
      <c r="B69" s="938" t="s">
        <v>736</v>
      </c>
      <c r="C69" s="939" t="s">
        <v>445</v>
      </c>
      <c r="D69" s="940">
        <v>480</v>
      </c>
      <c r="E69" s="940">
        <v>0</v>
      </c>
      <c r="F69" s="940">
        <v>130</v>
      </c>
      <c r="G69" s="940">
        <v>0</v>
      </c>
      <c r="H69" s="940">
        <v>0</v>
      </c>
      <c r="I69" s="940">
        <v>0</v>
      </c>
      <c r="J69" s="943">
        <v>0</v>
      </c>
      <c r="K69" s="943">
        <v>0</v>
      </c>
      <c r="L69" s="943"/>
      <c r="M69" s="943">
        <v>0</v>
      </c>
      <c r="N69" s="943">
        <v>0</v>
      </c>
      <c r="O69" s="943">
        <v>0</v>
      </c>
      <c r="P69" s="943">
        <f t="shared" si="31"/>
        <v>2739</v>
      </c>
      <c r="Q69" s="955">
        <f t="shared" si="32"/>
        <v>610</v>
      </c>
      <c r="R69" s="942">
        <f t="shared" si="33"/>
        <v>3349</v>
      </c>
      <c r="S69" s="1267"/>
      <c r="T69" s="952" t="s">
        <v>445</v>
      </c>
      <c r="U69" s="953" t="s">
        <v>736</v>
      </c>
      <c r="V69" s="943">
        <v>1518</v>
      </c>
      <c r="W69" s="943">
        <v>0</v>
      </c>
      <c r="X69" s="943">
        <v>469</v>
      </c>
      <c r="Y69" s="943">
        <v>0</v>
      </c>
      <c r="Z69" s="943"/>
      <c r="AA69" s="943">
        <v>0</v>
      </c>
      <c r="AB69" s="943"/>
      <c r="AC69" s="943">
        <v>1362</v>
      </c>
      <c r="AD69" s="943">
        <v>0</v>
      </c>
      <c r="AE69" s="955"/>
      <c r="AF69" s="954">
        <f t="shared" si="34"/>
        <v>3349</v>
      </c>
      <c r="AH69" s="944">
        <v>3349</v>
      </c>
    </row>
    <row r="70" spans="1:34" s="956" customFormat="1" ht="12.75" customHeight="1">
      <c r="A70" s="1268"/>
      <c r="B70" s="953" t="s">
        <v>736</v>
      </c>
      <c r="C70" s="939" t="s">
        <v>416</v>
      </c>
      <c r="D70" s="943">
        <f>480-480</f>
        <v>0</v>
      </c>
      <c r="E70" s="943">
        <v>0</v>
      </c>
      <c r="F70" s="943">
        <f>130-130</f>
        <v>0</v>
      </c>
      <c r="G70" s="943">
        <v>0</v>
      </c>
      <c r="H70" s="943">
        <v>0</v>
      </c>
      <c r="I70" s="943">
        <v>0</v>
      </c>
      <c r="J70" s="943">
        <v>0</v>
      </c>
      <c r="K70" s="943">
        <v>0</v>
      </c>
      <c r="L70" s="943"/>
      <c r="M70" s="943">
        <v>0</v>
      </c>
      <c r="N70" s="943">
        <v>0</v>
      </c>
      <c r="O70" s="943">
        <v>0</v>
      </c>
      <c r="P70" s="943">
        <f>AF70-Q70</f>
        <v>1586</v>
      </c>
      <c r="Q70" s="955">
        <f t="shared" si="32"/>
        <v>0</v>
      </c>
      <c r="R70" s="954">
        <f t="shared" si="33"/>
        <v>1586</v>
      </c>
      <c r="S70" s="1268"/>
      <c r="T70" s="939" t="s">
        <v>416</v>
      </c>
      <c r="U70" s="953" t="s">
        <v>736</v>
      </c>
      <c r="V70" s="943">
        <f>1518-672</f>
        <v>846</v>
      </c>
      <c r="W70" s="943">
        <f>19-1</f>
        <v>18</v>
      </c>
      <c r="X70" s="943">
        <f>469+603-350</f>
        <v>722</v>
      </c>
      <c r="Y70" s="943">
        <v>0</v>
      </c>
      <c r="Z70" s="943"/>
      <c r="AA70" s="943">
        <v>0</v>
      </c>
      <c r="AB70" s="943"/>
      <c r="AC70" s="943">
        <f>1362-1362</f>
        <v>0</v>
      </c>
      <c r="AD70" s="943">
        <v>0</v>
      </c>
      <c r="AE70" s="955"/>
      <c r="AF70" s="954">
        <f t="shared" si="34"/>
        <v>1586</v>
      </c>
      <c r="AH70" s="957"/>
    </row>
    <row r="71" spans="1:34" ht="12.75">
      <c r="A71" s="1266" t="s">
        <v>760</v>
      </c>
      <c r="B71" s="938" t="s">
        <v>736</v>
      </c>
      <c r="C71" s="939" t="s">
        <v>521</v>
      </c>
      <c r="D71" s="940">
        <v>0</v>
      </c>
      <c r="E71" s="940">
        <v>0</v>
      </c>
      <c r="F71" s="940">
        <v>0</v>
      </c>
      <c r="G71" s="940">
        <v>0</v>
      </c>
      <c r="H71" s="940">
        <v>0</v>
      </c>
      <c r="I71" s="940">
        <v>0</v>
      </c>
      <c r="J71" s="943">
        <v>0</v>
      </c>
      <c r="K71" s="943">
        <v>0</v>
      </c>
      <c r="L71" s="943"/>
      <c r="M71" s="943">
        <v>0</v>
      </c>
      <c r="N71" s="943">
        <v>0</v>
      </c>
      <c r="O71" s="943">
        <v>0</v>
      </c>
      <c r="P71" s="943">
        <f t="shared" si="31"/>
        <v>18476</v>
      </c>
      <c r="Q71" s="955">
        <f t="shared" si="32"/>
        <v>0</v>
      </c>
      <c r="R71" s="942">
        <f t="shared" si="33"/>
        <v>18476</v>
      </c>
      <c r="S71" s="1266" t="s">
        <v>760</v>
      </c>
      <c r="T71" s="952" t="s">
        <v>521</v>
      </c>
      <c r="U71" s="953" t="s">
        <v>736</v>
      </c>
      <c r="V71" s="943">
        <v>8565</v>
      </c>
      <c r="W71" s="943">
        <v>2207</v>
      </c>
      <c r="X71" s="943">
        <v>7704</v>
      </c>
      <c r="Y71" s="943">
        <v>0</v>
      </c>
      <c r="Z71" s="943"/>
      <c r="AA71" s="943">
        <v>0</v>
      </c>
      <c r="AB71" s="943"/>
      <c r="AC71" s="943">
        <v>0</v>
      </c>
      <c r="AD71" s="943">
        <v>0</v>
      </c>
      <c r="AE71" s="955"/>
      <c r="AF71" s="954">
        <f t="shared" si="34"/>
        <v>18476</v>
      </c>
      <c r="AH71" s="944">
        <v>18476</v>
      </c>
    </row>
    <row r="72" spans="1:34" ht="12.75" customHeight="1">
      <c r="A72" s="1267"/>
      <c r="B72" s="938" t="s">
        <v>736</v>
      </c>
      <c r="C72" s="939" t="s">
        <v>445</v>
      </c>
      <c r="D72" s="940">
        <v>0</v>
      </c>
      <c r="E72" s="940">
        <v>0</v>
      </c>
      <c r="F72" s="940">
        <v>0</v>
      </c>
      <c r="G72" s="940">
        <v>0</v>
      </c>
      <c r="H72" s="940">
        <v>0</v>
      </c>
      <c r="I72" s="940">
        <v>0</v>
      </c>
      <c r="J72" s="943">
        <v>0</v>
      </c>
      <c r="K72" s="943">
        <v>0</v>
      </c>
      <c r="L72" s="943"/>
      <c r="M72" s="943">
        <v>0</v>
      </c>
      <c r="N72" s="943">
        <v>0</v>
      </c>
      <c r="O72" s="943">
        <v>0</v>
      </c>
      <c r="P72" s="943">
        <f t="shared" si="31"/>
        <v>18758</v>
      </c>
      <c r="Q72" s="955">
        <f t="shared" si="32"/>
        <v>0</v>
      </c>
      <c r="R72" s="942">
        <f t="shared" si="33"/>
        <v>18758</v>
      </c>
      <c r="S72" s="1267"/>
      <c r="T72" s="952" t="s">
        <v>445</v>
      </c>
      <c r="U72" s="953" t="s">
        <v>736</v>
      </c>
      <c r="V72" s="943">
        <f>8565+143</f>
        <v>8708</v>
      </c>
      <c r="W72" s="943">
        <f>2207+39</f>
        <v>2246</v>
      </c>
      <c r="X72" s="943">
        <f>7704+100</f>
        <v>7804</v>
      </c>
      <c r="Y72" s="943">
        <v>0</v>
      </c>
      <c r="Z72" s="943"/>
      <c r="AA72" s="943">
        <v>0</v>
      </c>
      <c r="AB72" s="943"/>
      <c r="AC72" s="943">
        <v>0</v>
      </c>
      <c r="AD72" s="943">
        <v>0</v>
      </c>
      <c r="AE72" s="955"/>
      <c r="AF72" s="954">
        <f t="shared" si="34"/>
        <v>18758</v>
      </c>
      <c r="AH72" s="944">
        <v>18476</v>
      </c>
    </row>
    <row r="73" spans="1:34" s="956" customFormat="1" ht="12.75" customHeight="1">
      <c r="A73" s="1268"/>
      <c r="B73" s="953" t="s">
        <v>736</v>
      </c>
      <c r="C73" s="939" t="s">
        <v>416</v>
      </c>
      <c r="D73" s="943">
        <v>0</v>
      </c>
      <c r="E73" s="943">
        <v>0</v>
      </c>
      <c r="F73" s="943">
        <v>0</v>
      </c>
      <c r="G73" s="943">
        <v>0</v>
      </c>
      <c r="H73" s="943">
        <v>0</v>
      </c>
      <c r="I73" s="943">
        <v>0</v>
      </c>
      <c r="J73" s="943">
        <v>0</v>
      </c>
      <c r="K73" s="943">
        <v>0</v>
      </c>
      <c r="L73" s="943"/>
      <c r="M73" s="943">
        <v>0</v>
      </c>
      <c r="N73" s="943">
        <v>0</v>
      </c>
      <c r="O73" s="943">
        <v>0</v>
      </c>
      <c r="P73" s="943">
        <f t="shared" si="31"/>
        <v>8229</v>
      </c>
      <c r="Q73" s="955">
        <f t="shared" si="32"/>
        <v>0</v>
      </c>
      <c r="R73" s="954">
        <f t="shared" si="33"/>
        <v>8229</v>
      </c>
      <c r="S73" s="1268"/>
      <c r="T73" s="939" t="s">
        <v>416</v>
      </c>
      <c r="U73" s="953" t="s">
        <v>736</v>
      </c>
      <c r="V73" s="943">
        <f>8565+143+143-3515</f>
        <v>5336</v>
      </c>
      <c r="W73" s="943">
        <f>2207+39+39-1159</f>
        <v>1126</v>
      </c>
      <c r="X73" s="943">
        <f>7704+100-6037</f>
        <v>1767</v>
      </c>
      <c r="Y73" s="943">
        <v>0</v>
      </c>
      <c r="Z73" s="943"/>
      <c r="AA73" s="943">
        <v>0</v>
      </c>
      <c r="AB73" s="943"/>
      <c r="AC73" s="943">
        <v>0</v>
      </c>
      <c r="AD73" s="943">
        <v>0</v>
      </c>
      <c r="AE73" s="955"/>
      <c r="AF73" s="954">
        <f t="shared" si="34"/>
        <v>8229</v>
      </c>
      <c r="AH73" s="957"/>
    </row>
    <row r="74" spans="1:34" ht="12.75">
      <c r="A74" s="1266" t="s">
        <v>761</v>
      </c>
      <c r="B74" s="938" t="s">
        <v>736</v>
      </c>
      <c r="C74" s="939" t="s">
        <v>521</v>
      </c>
      <c r="D74" s="940">
        <v>0</v>
      </c>
      <c r="E74" s="940">
        <v>0</v>
      </c>
      <c r="F74" s="940">
        <v>0</v>
      </c>
      <c r="G74" s="940">
        <v>0</v>
      </c>
      <c r="H74" s="940">
        <v>0</v>
      </c>
      <c r="I74" s="940">
        <v>0</v>
      </c>
      <c r="J74" s="943">
        <v>0</v>
      </c>
      <c r="K74" s="943">
        <v>0</v>
      </c>
      <c r="L74" s="943"/>
      <c r="M74" s="943">
        <v>0</v>
      </c>
      <c r="N74" s="943">
        <v>0</v>
      </c>
      <c r="O74" s="943">
        <v>0</v>
      </c>
      <c r="P74" s="943">
        <f t="shared" si="31"/>
        <v>9605</v>
      </c>
      <c r="Q74" s="955">
        <f t="shared" si="32"/>
        <v>0</v>
      </c>
      <c r="R74" s="942">
        <f t="shared" si="33"/>
        <v>9605</v>
      </c>
      <c r="S74" s="1266" t="s">
        <v>761</v>
      </c>
      <c r="T74" s="952" t="s">
        <v>521</v>
      </c>
      <c r="U74" s="953" t="s">
        <v>736</v>
      </c>
      <c r="V74" s="943">
        <v>4912</v>
      </c>
      <c r="W74" s="943">
        <v>1312</v>
      </c>
      <c r="X74" s="943">
        <v>2030</v>
      </c>
      <c r="Y74" s="943">
        <v>0</v>
      </c>
      <c r="Z74" s="943"/>
      <c r="AA74" s="943">
        <v>0</v>
      </c>
      <c r="AB74" s="943"/>
      <c r="AC74" s="943">
        <v>1351</v>
      </c>
      <c r="AD74" s="943">
        <v>0</v>
      </c>
      <c r="AE74" s="955"/>
      <c r="AF74" s="954">
        <f t="shared" si="34"/>
        <v>9605</v>
      </c>
      <c r="AH74" s="944">
        <v>9605</v>
      </c>
    </row>
    <row r="75" spans="1:34" ht="12" customHeight="1">
      <c r="A75" s="1267"/>
      <c r="B75" s="938" t="s">
        <v>736</v>
      </c>
      <c r="C75" s="939" t="s">
        <v>445</v>
      </c>
      <c r="D75" s="940">
        <v>0</v>
      </c>
      <c r="E75" s="940">
        <v>0</v>
      </c>
      <c r="F75" s="940">
        <v>0</v>
      </c>
      <c r="G75" s="940">
        <v>0</v>
      </c>
      <c r="H75" s="940">
        <v>0</v>
      </c>
      <c r="I75" s="940">
        <v>0</v>
      </c>
      <c r="J75" s="943">
        <v>0</v>
      </c>
      <c r="K75" s="943">
        <v>0</v>
      </c>
      <c r="L75" s="943"/>
      <c r="M75" s="943">
        <v>0</v>
      </c>
      <c r="N75" s="943">
        <v>0</v>
      </c>
      <c r="O75" s="943">
        <v>0</v>
      </c>
      <c r="P75" s="943">
        <f t="shared" si="31"/>
        <v>9853</v>
      </c>
      <c r="Q75" s="955">
        <f t="shared" si="32"/>
        <v>0</v>
      </c>
      <c r="R75" s="942">
        <f t="shared" si="33"/>
        <v>9853</v>
      </c>
      <c r="S75" s="1267"/>
      <c r="T75" s="952" t="s">
        <v>445</v>
      </c>
      <c r="U75" s="953" t="s">
        <v>736</v>
      </c>
      <c r="V75" s="943">
        <f>4912+38</f>
        <v>4950</v>
      </c>
      <c r="W75" s="943">
        <f>1312+10</f>
        <v>1322</v>
      </c>
      <c r="X75" s="943">
        <f>2030+200</f>
        <v>2230</v>
      </c>
      <c r="Y75" s="943">
        <v>0</v>
      </c>
      <c r="Z75" s="943"/>
      <c r="AA75" s="943">
        <v>0</v>
      </c>
      <c r="AB75" s="943"/>
      <c r="AC75" s="943">
        <v>1351</v>
      </c>
      <c r="AD75" s="943">
        <v>0</v>
      </c>
      <c r="AE75" s="955"/>
      <c r="AF75" s="954">
        <f t="shared" si="34"/>
        <v>9853</v>
      </c>
      <c r="AH75" s="944">
        <v>9605</v>
      </c>
    </row>
    <row r="76" spans="1:34" s="956" customFormat="1" ht="12" customHeight="1">
      <c r="A76" s="1268"/>
      <c r="B76" s="953" t="s">
        <v>736</v>
      </c>
      <c r="C76" s="939" t="s">
        <v>416</v>
      </c>
      <c r="D76" s="943">
        <v>0</v>
      </c>
      <c r="E76" s="943">
        <v>0</v>
      </c>
      <c r="F76" s="943">
        <v>0</v>
      </c>
      <c r="G76" s="943">
        <v>0</v>
      </c>
      <c r="H76" s="943">
        <v>0</v>
      </c>
      <c r="I76" s="943">
        <v>0</v>
      </c>
      <c r="J76" s="943">
        <v>0</v>
      </c>
      <c r="K76" s="943">
        <v>0</v>
      </c>
      <c r="L76" s="943"/>
      <c r="M76" s="943">
        <v>0</v>
      </c>
      <c r="N76" s="943">
        <v>0</v>
      </c>
      <c r="O76" s="943">
        <v>0</v>
      </c>
      <c r="P76" s="943">
        <f t="shared" si="31"/>
        <v>5182</v>
      </c>
      <c r="Q76" s="955">
        <f t="shared" si="32"/>
        <v>0</v>
      </c>
      <c r="R76" s="954">
        <f t="shared" si="33"/>
        <v>5182</v>
      </c>
      <c r="S76" s="1268"/>
      <c r="T76" s="939" t="s">
        <v>416</v>
      </c>
      <c r="U76" s="953" t="s">
        <v>736</v>
      </c>
      <c r="V76" s="943">
        <f>4912+38+36-1349</f>
        <v>3637</v>
      </c>
      <c r="W76" s="943">
        <f>1312+10+10-462</f>
        <v>870</v>
      </c>
      <c r="X76" s="943">
        <f>2030+200-1555</f>
        <v>675</v>
      </c>
      <c r="Y76" s="943">
        <v>0</v>
      </c>
      <c r="Z76" s="943"/>
      <c r="AA76" s="943">
        <v>0</v>
      </c>
      <c r="AB76" s="943"/>
      <c r="AC76" s="943">
        <f>1351-1351</f>
        <v>0</v>
      </c>
      <c r="AD76" s="943">
        <v>0</v>
      </c>
      <c r="AE76" s="955"/>
      <c r="AF76" s="954">
        <f t="shared" si="34"/>
        <v>5182</v>
      </c>
      <c r="AH76" s="957"/>
    </row>
    <row r="77" spans="1:34" ht="14.25" customHeight="1">
      <c r="A77" s="1266" t="s">
        <v>762</v>
      </c>
      <c r="B77" s="938" t="s">
        <v>736</v>
      </c>
      <c r="C77" s="939" t="s">
        <v>521</v>
      </c>
      <c r="D77" s="940">
        <v>12198</v>
      </c>
      <c r="E77" s="940">
        <v>0</v>
      </c>
      <c r="F77" s="940">
        <v>2781</v>
      </c>
      <c r="G77" s="940">
        <v>0</v>
      </c>
      <c r="H77" s="940">
        <v>0</v>
      </c>
      <c r="I77" s="940">
        <v>0</v>
      </c>
      <c r="J77" s="943">
        <v>0</v>
      </c>
      <c r="K77" s="943">
        <v>0</v>
      </c>
      <c r="L77" s="943"/>
      <c r="M77" s="943">
        <v>0</v>
      </c>
      <c r="N77" s="943">
        <v>0</v>
      </c>
      <c r="O77" s="943">
        <v>0</v>
      </c>
      <c r="P77" s="943">
        <f t="shared" si="31"/>
        <v>124065</v>
      </c>
      <c r="Q77" s="955">
        <f>SUM(D77:O77)-E77</f>
        <v>14979</v>
      </c>
      <c r="R77" s="942">
        <f t="shared" si="33"/>
        <v>139044</v>
      </c>
      <c r="S77" s="1266" t="s">
        <v>762</v>
      </c>
      <c r="T77" s="952" t="s">
        <v>521</v>
      </c>
      <c r="U77" s="953" t="s">
        <v>736</v>
      </c>
      <c r="V77" s="943">
        <f>87918</f>
        <v>87918</v>
      </c>
      <c r="W77" s="943">
        <f>22808</f>
        <v>22808</v>
      </c>
      <c r="X77" s="943">
        <v>28318</v>
      </c>
      <c r="Y77" s="943">
        <v>10495</v>
      </c>
      <c r="Z77" s="943"/>
      <c r="AA77" s="943">
        <v>0</v>
      </c>
      <c r="AB77" s="943"/>
      <c r="AC77" s="943">
        <v>0</v>
      </c>
      <c r="AD77" s="943">
        <v>0</v>
      </c>
      <c r="AE77" s="955"/>
      <c r="AF77" s="954">
        <f t="shared" si="34"/>
        <v>139044</v>
      </c>
      <c r="AH77" s="944">
        <v>139044</v>
      </c>
    </row>
    <row r="78" spans="1:34" ht="13.5" customHeight="1">
      <c r="A78" s="1267"/>
      <c r="B78" s="938" t="s">
        <v>736</v>
      </c>
      <c r="C78" s="939" t="s">
        <v>445</v>
      </c>
      <c r="D78" s="940">
        <v>12198</v>
      </c>
      <c r="E78" s="940">
        <v>0</v>
      </c>
      <c r="F78" s="940">
        <v>2781</v>
      </c>
      <c r="G78" s="940">
        <v>0</v>
      </c>
      <c r="H78" s="940">
        <v>0</v>
      </c>
      <c r="I78" s="940">
        <v>0</v>
      </c>
      <c r="J78" s="940">
        <f>760+728+391+608</f>
        <v>2487</v>
      </c>
      <c r="K78" s="940">
        <v>0</v>
      </c>
      <c r="L78" s="940">
        <v>726</v>
      </c>
      <c r="M78" s="940">
        <v>0</v>
      </c>
      <c r="N78" s="940">
        <v>867</v>
      </c>
      <c r="O78" s="940">
        <v>0</v>
      </c>
      <c r="P78" s="943">
        <f t="shared" si="31"/>
        <v>126055</v>
      </c>
      <c r="Q78" s="955">
        <f t="shared" si="32"/>
        <v>19059</v>
      </c>
      <c r="R78" s="942">
        <f t="shared" si="33"/>
        <v>145114</v>
      </c>
      <c r="S78" s="1267"/>
      <c r="T78" s="952" t="s">
        <v>445</v>
      </c>
      <c r="U78" s="953" t="s">
        <v>736</v>
      </c>
      <c r="V78" s="943">
        <f>87918+400+744+1512-143-38</f>
        <v>90393</v>
      </c>
      <c r="W78" s="943">
        <f>22808+108-2+408-39-10</f>
        <v>23273</v>
      </c>
      <c r="X78" s="943">
        <f>28318+760+220+391+608+300-338+851+338</f>
        <v>31448</v>
      </c>
      <c r="Y78" s="943">
        <v>10495</v>
      </c>
      <c r="Z78" s="943"/>
      <c r="AA78" s="943">
        <v>0</v>
      </c>
      <c r="AB78" s="943"/>
      <c r="AC78" s="943">
        <v>0</v>
      </c>
      <c r="AD78" s="943">
        <v>0</v>
      </c>
      <c r="AE78" s="955"/>
      <c r="AF78" s="954">
        <f t="shared" si="34"/>
        <v>145114</v>
      </c>
      <c r="AH78" s="944">
        <v>139044</v>
      </c>
    </row>
    <row r="79" spans="1:34" s="956" customFormat="1" ht="20.25" customHeight="1">
      <c r="A79" s="1268"/>
      <c r="B79" s="953" t="s">
        <v>736</v>
      </c>
      <c r="C79" s="939" t="s">
        <v>416</v>
      </c>
      <c r="D79" s="943">
        <f>12198-6971</f>
        <v>5227</v>
      </c>
      <c r="E79" s="943">
        <v>0</v>
      </c>
      <c r="F79" s="943">
        <f>2781-1668</f>
        <v>1113</v>
      </c>
      <c r="G79" s="943">
        <v>0</v>
      </c>
      <c r="H79" s="943">
        <v>0</v>
      </c>
      <c r="I79" s="943">
        <v>0</v>
      </c>
      <c r="J79" s="943">
        <f>760+728+391+608+194</f>
        <v>2681</v>
      </c>
      <c r="K79" s="943">
        <v>0</v>
      </c>
      <c r="L79" s="943">
        <v>726</v>
      </c>
      <c r="M79" s="943">
        <v>0</v>
      </c>
      <c r="N79" s="943">
        <v>867</v>
      </c>
      <c r="O79" s="943">
        <v>0</v>
      </c>
      <c r="P79" s="943">
        <f>AF79-Q79</f>
        <v>61872</v>
      </c>
      <c r="Q79" s="955">
        <f t="shared" si="32"/>
        <v>10614</v>
      </c>
      <c r="R79" s="954">
        <f t="shared" si="33"/>
        <v>72486</v>
      </c>
      <c r="S79" s="1268"/>
      <c r="T79" s="939" t="s">
        <v>416</v>
      </c>
      <c r="U79" s="953" t="s">
        <v>736</v>
      </c>
      <c r="V79" s="943">
        <f>87918+400+744+1512-143-38+1251+153-44446</f>
        <v>47351</v>
      </c>
      <c r="W79" s="943">
        <f>22808+108-2+408-39-10+337+41-19-11711</f>
        <v>11921</v>
      </c>
      <c r="X79" s="943">
        <f>28318+760+220+391+608+300-338+851+338-603-450-17631</f>
        <v>12764</v>
      </c>
      <c r="Y79" s="943">
        <v>10495</v>
      </c>
      <c r="Z79" s="943"/>
      <c r="AA79" s="943">
        <v>0</v>
      </c>
      <c r="AB79" s="943">
        <v>450</v>
      </c>
      <c r="AC79" s="943">
        <v>0</v>
      </c>
      <c r="AD79" s="943">
        <v>0</v>
      </c>
      <c r="AE79" s="955"/>
      <c r="AF79" s="954">
        <f>SUM(V79:AD79)-Y79</f>
        <v>72486</v>
      </c>
      <c r="AH79" s="957"/>
    </row>
    <row r="80" spans="1:34" s="960" customFormat="1" ht="24.75" customHeight="1">
      <c r="A80" s="1269" t="s">
        <v>763</v>
      </c>
      <c r="B80" s="804" t="s">
        <v>736</v>
      </c>
      <c r="C80" s="805" t="s">
        <v>521</v>
      </c>
      <c r="D80" s="946">
        <f aca="true" t="shared" si="35" ref="D80:K82">D68+D71+D74+D77</f>
        <v>12678</v>
      </c>
      <c r="E80" s="946">
        <f t="shared" si="35"/>
        <v>0</v>
      </c>
      <c r="F80" s="946">
        <f t="shared" si="35"/>
        <v>2911</v>
      </c>
      <c r="G80" s="946">
        <f t="shared" si="35"/>
        <v>0</v>
      </c>
      <c r="H80" s="946">
        <f t="shared" si="35"/>
        <v>0</v>
      </c>
      <c r="I80" s="946">
        <f t="shared" si="35"/>
        <v>0</v>
      </c>
      <c r="J80" s="946">
        <f t="shared" si="35"/>
        <v>0</v>
      </c>
      <c r="K80" s="946">
        <f t="shared" si="35"/>
        <v>0</v>
      </c>
      <c r="L80" s="946"/>
      <c r="M80" s="946">
        <f aca="true" t="shared" si="36" ref="M80:R82">M68+M71+M74+M77</f>
        <v>0</v>
      </c>
      <c r="N80" s="946">
        <f t="shared" si="36"/>
        <v>0</v>
      </c>
      <c r="O80" s="946">
        <f t="shared" si="36"/>
        <v>0</v>
      </c>
      <c r="P80" s="946">
        <f t="shared" si="36"/>
        <v>154885</v>
      </c>
      <c r="Q80" s="946">
        <f t="shared" si="36"/>
        <v>15589</v>
      </c>
      <c r="R80" s="946">
        <f t="shared" si="36"/>
        <v>170474</v>
      </c>
      <c r="S80" s="1269" t="s">
        <v>763</v>
      </c>
      <c r="T80" s="958" t="s">
        <v>521</v>
      </c>
      <c r="U80" s="959" t="s">
        <v>736</v>
      </c>
      <c r="V80" s="946">
        <f aca="true" t="shared" si="37" ref="V80:AA82">V68+V71+V74+V77</f>
        <v>102913</v>
      </c>
      <c r="W80" s="946">
        <f t="shared" si="37"/>
        <v>26327</v>
      </c>
      <c r="X80" s="946">
        <f t="shared" si="37"/>
        <v>38521</v>
      </c>
      <c r="Y80" s="946">
        <f t="shared" si="37"/>
        <v>10495</v>
      </c>
      <c r="Z80" s="946">
        <f t="shared" si="37"/>
        <v>0</v>
      </c>
      <c r="AA80" s="946">
        <f t="shared" si="37"/>
        <v>0</v>
      </c>
      <c r="AB80" s="946"/>
      <c r="AC80" s="946">
        <f aca="true" t="shared" si="38" ref="AC80:AD82">AC68+AC71+AC74+AC77</f>
        <v>2713</v>
      </c>
      <c r="AD80" s="946">
        <f t="shared" si="38"/>
        <v>0</v>
      </c>
      <c r="AE80" s="946"/>
      <c r="AF80" s="946">
        <f>AF68+AF71+AF74+AF77</f>
        <v>170474</v>
      </c>
      <c r="AG80" s="946">
        <f>AG68+AG71+AG74+AG77</f>
        <v>0</v>
      </c>
      <c r="AH80" s="946">
        <f>AH68+AH71+AH74+AH77</f>
        <v>170474</v>
      </c>
    </row>
    <row r="81" spans="1:34" s="950" customFormat="1" ht="12.75" customHeight="1">
      <c r="A81" s="1270"/>
      <c r="B81" s="149" t="s">
        <v>736</v>
      </c>
      <c r="C81" s="945" t="s">
        <v>445</v>
      </c>
      <c r="D81" s="946">
        <f t="shared" si="35"/>
        <v>12678</v>
      </c>
      <c r="E81" s="946">
        <f t="shared" si="35"/>
        <v>0</v>
      </c>
      <c r="F81" s="946">
        <f t="shared" si="35"/>
        <v>2911</v>
      </c>
      <c r="G81" s="946">
        <f t="shared" si="35"/>
        <v>0</v>
      </c>
      <c r="H81" s="946">
        <f t="shared" si="35"/>
        <v>0</v>
      </c>
      <c r="I81" s="946">
        <f t="shared" si="35"/>
        <v>0</v>
      </c>
      <c r="J81" s="946">
        <f t="shared" si="35"/>
        <v>2487</v>
      </c>
      <c r="K81" s="946">
        <f t="shared" si="35"/>
        <v>0</v>
      </c>
      <c r="L81" s="946">
        <f>L69+L72+L75+L78</f>
        <v>726</v>
      </c>
      <c r="M81" s="946">
        <f t="shared" si="36"/>
        <v>0</v>
      </c>
      <c r="N81" s="946">
        <f t="shared" si="36"/>
        <v>867</v>
      </c>
      <c r="O81" s="946">
        <f t="shared" si="36"/>
        <v>0</v>
      </c>
      <c r="P81" s="946">
        <f t="shared" si="36"/>
        <v>157405</v>
      </c>
      <c r="Q81" s="946">
        <f t="shared" si="36"/>
        <v>19669</v>
      </c>
      <c r="R81" s="946">
        <f t="shared" si="36"/>
        <v>177074</v>
      </c>
      <c r="S81" s="1270"/>
      <c r="T81" s="958" t="s">
        <v>445</v>
      </c>
      <c r="U81" s="959" t="s">
        <v>736</v>
      </c>
      <c r="V81" s="946">
        <f t="shared" si="37"/>
        <v>105569</v>
      </c>
      <c r="W81" s="946">
        <f t="shared" si="37"/>
        <v>26841</v>
      </c>
      <c r="X81" s="946">
        <f t="shared" si="37"/>
        <v>41951</v>
      </c>
      <c r="Y81" s="946">
        <f t="shared" si="37"/>
        <v>10495</v>
      </c>
      <c r="Z81" s="946">
        <f t="shared" si="37"/>
        <v>0</v>
      </c>
      <c r="AA81" s="946">
        <f t="shared" si="37"/>
        <v>0</v>
      </c>
      <c r="AB81" s="946"/>
      <c r="AC81" s="946">
        <f t="shared" si="38"/>
        <v>2713</v>
      </c>
      <c r="AD81" s="946">
        <f t="shared" si="38"/>
        <v>0</v>
      </c>
      <c r="AE81" s="946"/>
      <c r="AF81" s="946">
        <f>AF69+AF72+AF75+AF78</f>
        <v>177074</v>
      </c>
      <c r="AH81" s="961">
        <v>170474</v>
      </c>
    </row>
    <row r="82" spans="1:34" s="960" customFormat="1" ht="12.75" customHeight="1">
      <c r="A82" s="1271"/>
      <c r="B82" s="804" t="s">
        <v>736</v>
      </c>
      <c r="C82" s="150" t="s">
        <v>416</v>
      </c>
      <c r="D82" s="946">
        <f t="shared" si="35"/>
        <v>5227</v>
      </c>
      <c r="E82" s="946">
        <f t="shared" si="35"/>
        <v>0</v>
      </c>
      <c r="F82" s="946">
        <f t="shared" si="35"/>
        <v>1113</v>
      </c>
      <c r="G82" s="946">
        <f t="shared" si="35"/>
        <v>0</v>
      </c>
      <c r="H82" s="946">
        <f t="shared" si="35"/>
        <v>0</v>
      </c>
      <c r="I82" s="946">
        <f t="shared" si="35"/>
        <v>0</v>
      </c>
      <c r="J82" s="946">
        <f t="shared" si="35"/>
        <v>2681</v>
      </c>
      <c r="K82" s="946">
        <f t="shared" si="35"/>
        <v>0</v>
      </c>
      <c r="L82" s="946">
        <f>L70+L73+L76+L79</f>
        <v>726</v>
      </c>
      <c r="M82" s="946">
        <f t="shared" si="36"/>
        <v>0</v>
      </c>
      <c r="N82" s="946">
        <f t="shared" si="36"/>
        <v>867</v>
      </c>
      <c r="O82" s="946">
        <f t="shared" si="36"/>
        <v>0</v>
      </c>
      <c r="P82" s="946">
        <f t="shared" si="36"/>
        <v>76869</v>
      </c>
      <c r="Q82" s="946">
        <f t="shared" si="36"/>
        <v>10614</v>
      </c>
      <c r="R82" s="946">
        <f t="shared" si="36"/>
        <v>87483</v>
      </c>
      <c r="S82" s="1271"/>
      <c r="T82" s="150" t="s">
        <v>416</v>
      </c>
      <c r="U82" s="959" t="s">
        <v>736</v>
      </c>
      <c r="V82" s="946">
        <f t="shared" si="37"/>
        <v>57170</v>
      </c>
      <c r="W82" s="946">
        <f t="shared" si="37"/>
        <v>13935</v>
      </c>
      <c r="X82" s="946">
        <f t="shared" si="37"/>
        <v>15928</v>
      </c>
      <c r="Y82" s="946">
        <f t="shared" si="37"/>
        <v>10495</v>
      </c>
      <c r="Z82" s="946">
        <f t="shared" si="37"/>
        <v>0</v>
      </c>
      <c r="AA82" s="946">
        <f t="shared" si="37"/>
        <v>0</v>
      </c>
      <c r="AB82" s="946">
        <f>AB70+AB73+AB76+AB79</f>
        <v>450</v>
      </c>
      <c r="AC82" s="946">
        <f t="shared" si="38"/>
        <v>0</v>
      </c>
      <c r="AD82" s="946">
        <f t="shared" si="38"/>
        <v>0</v>
      </c>
      <c r="AE82" s="946">
        <f>AE70+AE73+AE76+AE79</f>
        <v>0</v>
      </c>
      <c r="AF82" s="946">
        <f>AF70+AF73+AF76+AF79</f>
        <v>87483</v>
      </c>
      <c r="AH82" s="962"/>
    </row>
    <row r="83" spans="1:34" s="1032" customFormat="1" ht="26.25" customHeight="1" hidden="1">
      <c r="A83" s="1028" t="s">
        <v>774</v>
      </c>
      <c r="B83" s="1029" t="s">
        <v>736</v>
      </c>
      <c r="C83" s="1030" t="s">
        <v>773</v>
      </c>
      <c r="D83" s="1031"/>
      <c r="E83" s="1031"/>
      <c r="F83" s="1031"/>
      <c r="G83" s="1031"/>
      <c r="H83" s="1031"/>
      <c r="I83" s="1031"/>
      <c r="J83" s="1031"/>
      <c r="K83" s="1031"/>
      <c r="L83" s="1031"/>
      <c r="M83" s="1031"/>
      <c r="N83" s="1031"/>
      <c r="O83" s="1031"/>
      <c r="P83" s="1031">
        <f>AF83-Q83</f>
        <v>0</v>
      </c>
      <c r="Q83" s="1031">
        <f>(D83+E83+F83+H83+I83+J83+K83+L83+M83+N83+O83)-E83</f>
        <v>0</v>
      </c>
      <c r="R83" s="1031">
        <f>P83+Q83</f>
        <v>0</v>
      </c>
      <c r="S83" s="1028" t="s">
        <v>774</v>
      </c>
      <c r="T83" s="952" t="s">
        <v>773</v>
      </c>
      <c r="U83" s="959" t="s">
        <v>736</v>
      </c>
      <c r="V83" s="946"/>
      <c r="W83" s="946"/>
      <c r="X83" s="946"/>
      <c r="Y83" s="946"/>
      <c r="Z83" s="946"/>
      <c r="AA83" s="946"/>
      <c r="AB83" s="946"/>
      <c r="AC83" s="946"/>
      <c r="AD83" s="946"/>
      <c r="AE83" s="946"/>
      <c r="AF83" s="946">
        <f>(V83+W83+X83+Y83+AA83+AC83+AD83)-Y83</f>
        <v>0</v>
      </c>
      <c r="AH83" s="1033"/>
    </row>
    <row r="84" spans="1:34" s="949" customFormat="1" ht="26.25" customHeight="1">
      <c r="A84" s="1272" t="s">
        <v>764</v>
      </c>
      <c r="B84" s="963" t="s">
        <v>757</v>
      </c>
      <c r="C84" s="945" t="s">
        <v>521</v>
      </c>
      <c r="D84" s="947">
        <f aca="true" t="shared" si="39" ref="D84:K84">D4+D8+D12+D15+D18+D21+D24+D27+D62+D65+D80</f>
        <v>129030</v>
      </c>
      <c r="E84" s="947">
        <f t="shared" si="39"/>
        <v>75180</v>
      </c>
      <c r="F84" s="947">
        <f t="shared" si="39"/>
        <v>39341</v>
      </c>
      <c r="G84" s="947">
        <f t="shared" si="39"/>
        <v>0</v>
      </c>
      <c r="H84" s="947">
        <f t="shared" si="39"/>
        <v>9880</v>
      </c>
      <c r="I84" s="947">
        <f t="shared" si="39"/>
        <v>0</v>
      </c>
      <c r="J84" s="947">
        <f t="shared" si="39"/>
        <v>10000</v>
      </c>
      <c r="K84" s="947">
        <f t="shared" si="39"/>
        <v>0</v>
      </c>
      <c r="L84" s="947"/>
      <c r="M84" s="947">
        <f aca="true" t="shared" si="40" ref="M84:R84">M4+M8+M12+M15+M18+M21+M24+M27+M62+M65+M80</f>
        <v>0</v>
      </c>
      <c r="N84" s="947">
        <f t="shared" si="40"/>
        <v>0</v>
      </c>
      <c r="O84" s="947">
        <f t="shared" si="40"/>
        <v>0</v>
      </c>
      <c r="P84" s="947">
        <f t="shared" si="40"/>
        <v>779538</v>
      </c>
      <c r="Q84" s="947">
        <f t="shared" si="40"/>
        <v>188251</v>
      </c>
      <c r="R84" s="947">
        <f t="shared" si="40"/>
        <v>967789</v>
      </c>
      <c r="S84" s="1272" t="s">
        <v>764</v>
      </c>
      <c r="T84" s="958" t="s">
        <v>521</v>
      </c>
      <c r="U84" s="959" t="s">
        <v>757</v>
      </c>
      <c r="V84" s="946">
        <f aca="true" t="shared" si="41" ref="V84:AA84">V4+V8+V12+V15+V18+V21+V24+V27+V62+V65+V80</f>
        <v>384911</v>
      </c>
      <c r="W84" s="946">
        <f t="shared" si="41"/>
        <v>100643</v>
      </c>
      <c r="X84" s="946">
        <f t="shared" si="41"/>
        <v>468022</v>
      </c>
      <c r="Y84" s="946">
        <f t="shared" si="41"/>
        <v>171834</v>
      </c>
      <c r="Z84" s="946">
        <f t="shared" si="41"/>
        <v>0</v>
      </c>
      <c r="AA84" s="946">
        <f t="shared" si="41"/>
        <v>0</v>
      </c>
      <c r="AB84" s="946"/>
      <c r="AC84" s="946">
        <f>AC4+AC8+AC12+AC15+AC18+AC21+AC24+AC27+AC62+AC65+AC80</f>
        <v>4813</v>
      </c>
      <c r="AD84" s="946">
        <f>AD4+AD8+AD12+AD15+AD18+AD21+AD24+AD27+AD62+AD65+AD80</f>
        <v>9400</v>
      </c>
      <c r="AE84" s="946"/>
      <c r="AF84" s="946">
        <f>AF4+AF8+AF12+AF15+AF18+AF21+AF24+AF27+AF62+AF65+AF80</f>
        <v>967789</v>
      </c>
      <c r="AH84" s="944">
        <v>967789</v>
      </c>
    </row>
    <row r="85" spans="1:34" ht="21.75" customHeight="1" hidden="1">
      <c r="A85" s="1273"/>
      <c r="B85" s="1034"/>
      <c r="C85" s="1034"/>
      <c r="D85" s="947" t="e">
        <f>D5+D9+#REF!+#REF!+#REF!+#REF!+#REF!+#REF!+#REF!+#REF!+#REF!</f>
        <v>#REF!</v>
      </c>
      <c r="E85" s="947">
        <v>75180</v>
      </c>
      <c r="F85" s="1034">
        <v>32796</v>
      </c>
      <c r="G85" s="1034"/>
      <c r="H85" s="1034">
        <v>2300</v>
      </c>
      <c r="I85" s="1034">
        <v>0</v>
      </c>
      <c r="J85" s="1034">
        <v>46595</v>
      </c>
      <c r="K85" s="1034"/>
      <c r="L85" s="1034"/>
      <c r="M85" s="1034">
        <v>750</v>
      </c>
      <c r="N85" s="1034"/>
      <c r="O85" s="1034"/>
      <c r="P85" s="940" t="e">
        <f aca="true" t="shared" si="42" ref="P85:P96">AF85-Q85</f>
        <v>#REF!</v>
      </c>
      <c r="Q85" s="941" t="e">
        <f aca="true" t="shared" si="43" ref="Q85:Q96">SUM(D85:O85)-E85</f>
        <v>#REF!</v>
      </c>
      <c r="R85" s="942" t="e">
        <f aca="true" t="shared" si="44" ref="R85:R96">P85+Q85</f>
        <v>#REF!</v>
      </c>
      <c r="S85" s="1273"/>
      <c r="T85" s="1035"/>
      <c r="U85" s="1036"/>
      <c r="V85" s="1035"/>
      <c r="W85" s="1037">
        <v>229288</v>
      </c>
      <c r="X85" s="1037">
        <v>447550</v>
      </c>
      <c r="Y85" s="1037">
        <v>158798</v>
      </c>
      <c r="Z85" s="1037"/>
      <c r="AA85" s="1037">
        <v>9420</v>
      </c>
      <c r="AB85" s="1037"/>
      <c r="AC85" s="1037">
        <v>6719</v>
      </c>
      <c r="AD85" s="1037">
        <v>0</v>
      </c>
      <c r="AE85" s="1037"/>
      <c r="AF85" s="954">
        <f aca="true" t="shared" si="45" ref="AF85:AF96">SUM(V85:AD85)-Y85</f>
        <v>692977</v>
      </c>
      <c r="AH85" s="944"/>
    </row>
    <row r="86" spans="1:34" s="949" customFormat="1" ht="21.75" customHeight="1" hidden="1">
      <c r="A86" s="1273"/>
      <c r="B86" s="1038"/>
      <c r="C86" s="1038"/>
      <c r="D86" s="947" t="e">
        <f>#REF!+#REF!+D13+D16+D19+D22+D25+D28+D63+D66+D81</f>
        <v>#REF!</v>
      </c>
      <c r="E86" s="947">
        <v>75180</v>
      </c>
      <c r="F86" s="964">
        <v>6545</v>
      </c>
      <c r="G86" s="964">
        <v>0</v>
      </c>
      <c r="H86" s="964">
        <v>7580</v>
      </c>
      <c r="I86" s="964">
        <v>0</v>
      </c>
      <c r="J86" s="964">
        <v>-36595</v>
      </c>
      <c r="K86" s="964">
        <v>0</v>
      </c>
      <c r="L86" s="964"/>
      <c r="M86" s="964">
        <v>-750</v>
      </c>
      <c r="N86" s="964">
        <v>0</v>
      </c>
      <c r="O86" s="964">
        <v>0</v>
      </c>
      <c r="P86" s="940" t="e">
        <f t="shared" si="42"/>
        <v>#REF!</v>
      </c>
      <c r="Q86" s="941" t="e">
        <f t="shared" si="43"/>
        <v>#REF!</v>
      </c>
      <c r="R86" s="942" t="e">
        <f t="shared" si="44"/>
        <v>#REF!</v>
      </c>
      <c r="S86" s="1273"/>
      <c r="T86" s="1039"/>
      <c r="U86" s="1039"/>
      <c r="V86" s="1039"/>
      <c r="W86" s="1040">
        <v>-128645</v>
      </c>
      <c r="X86" s="1040">
        <v>20472</v>
      </c>
      <c r="Y86" s="1040">
        <v>13036</v>
      </c>
      <c r="Z86" s="1040"/>
      <c r="AA86" s="1040">
        <v>-9420</v>
      </c>
      <c r="AB86" s="1040"/>
      <c r="AC86" s="1040">
        <v>-1906</v>
      </c>
      <c r="AD86" s="1040">
        <v>9400</v>
      </c>
      <c r="AE86" s="1040"/>
      <c r="AF86" s="954">
        <f t="shared" si="45"/>
        <v>-110099</v>
      </c>
      <c r="AG86" s="1041">
        <v>0</v>
      </c>
      <c r="AH86" s="1041">
        <v>967789</v>
      </c>
    </row>
    <row r="87" spans="1:34" ht="21.75" customHeight="1" hidden="1">
      <c r="A87" s="1273"/>
      <c r="B87" s="1034"/>
      <c r="C87" s="1034"/>
      <c r="D87" s="947">
        <f>D6+D10+D15+D18+D21+D24+D27+D30+D65+D68+D84</f>
        <v>194112</v>
      </c>
      <c r="E87" s="947">
        <v>75180</v>
      </c>
      <c r="F87" s="1034"/>
      <c r="G87" s="1034"/>
      <c r="H87" s="1034"/>
      <c r="I87" s="1034"/>
      <c r="J87" s="1034"/>
      <c r="K87" s="1034"/>
      <c r="L87" s="1034"/>
      <c r="M87" s="1034"/>
      <c r="N87" s="1034"/>
      <c r="O87" s="1034"/>
      <c r="P87" s="940">
        <f t="shared" si="42"/>
        <v>-193950</v>
      </c>
      <c r="Q87" s="941">
        <f t="shared" si="43"/>
        <v>194112</v>
      </c>
      <c r="R87" s="942">
        <f t="shared" si="44"/>
        <v>162</v>
      </c>
      <c r="S87" s="1273"/>
      <c r="T87" s="1035"/>
      <c r="U87" s="1036"/>
      <c r="V87" s="1035"/>
      <c r="W87" s="1037">
        <v>162</v>
      </c>
      <c r="X87" s="1037"/>
      <c r="Y87" s="1037"/>
      <c r="Z87" s="1037"/>
      <c r="AA87" s="1037"/>
      <c r="AB87" s="1037"/>
      <c r="AC87" s="1037"/>
      <c r="AD87" s="1037"/>
      <c r="AE87" s="1037"/>
      <c r="AF87" s="954">
        <f t="shared" si="45"/>
        <v>162</v>
      </c>
      <c r="AH87" s="944"/>
    </row>
    <row r="88" spans="1:34" ht="21.75" customHeight="1" hidden="1">
      <c r="A88" s="1273"/>
      <c r="B88" s="1034"/>
      <c r="C88" s="1034"/>
      <c r="D88" s="947" t="e">
        <f>D8+D12+#REF!+#REF!+#REF!+#REF!+#REF!+#REF!+#REF!+#REF!+D85</f>
        <v>#REF!</v>
      </c>
      <c r="E88" s="947">
        <v>75180</v>
      </c>
      <c r="F88" s="1034"/>
      <c r="G88" s="1034"/>
      <c r="H88" s="1034"/>
      <c r="I88" s="1034"/>
      <c r="J88" s="1034"/>
      <c r="K88" s="1034"/>
      <c r="L88" s="1034"/>
      <c r="M88" s="1034"/>
      <c r="N88" s="1034"/>
      <c r="O88" s="1034"/>
      <c r="P88" s="940" t="e">
        <f t="shared" si="42"/>
        <v>#REF!</v>
      </c>
      <c r="Q88" s="941" t="e">
        <f t="shared" si="43"/>
        <v>#REF!</v>
      </c>
      <c r="R88" s="942" t="e">
        <f t="shared" si="44"/>
        <v>#REF!</v>
      </c>
      <c r="S88" s="1273"/>
      <c r="T88" s="1035"/>
      <c r="U88" s="1036"/>
      <c r="V88" s="1035"/>
      <c r="W88" s="1037">
        <v>3348</v>
      </c>
      <c r="X88" s="1037"/>
      <c r="Y88" s="1037"/>
      <c r="Z88" s="1037"/>
      <c r="AA88" s="1037"/>
      <c r="AB88" s="1037"/>
      <c r="AC88" s="1037"/>
      <c r="AD88" s="1037"/>
      <c r="AE88" s="1037"/>
      <c r="AF88" s="954">
        <f t="shared" si="45"/>
        <v>3348</v>
      </c>
      <c r="AH88" s="944"/>
    </row>
    <row r="89" spans="1:34" ht="21.75" customHeight="1" hidden="1">
      <c r="A89" s="1273"/>
      <c r="B89" s="1034"/>
      <c r="C89" s="1034"/>
      <c r="D89" s="947" t="e">
        <f>D9+#REF!+D16+D19+D22+D25+D28+D31+D66+D69+D86</f>
        <v>#REF!</v>
      </c>
      <c r="E89" s="947">
        <v>75180</v>
      </c>
      <c r="F89" s="1034"/>
      <c r="G89" s="1034"/>
      <c r="H89" s="1034"/>
      <c r="I89" s="1034"/>
      <c r="J89" s="1034"/>
      <c r="K89" s="1034"/>
      <c r="L89" s="1034"/>
      <c r="M89" s="1034"/>
      <c r="N89" s="1034"/>
      <c r="O89" s="1034"/>
      <c r="P89" s="940" t="e">
        <f t="shared" si="42"/>
        <v>#REF!</v>
      </c>
      <c r="Q89" s="941" t="e">
        <f t="shared" si="43"/>
        <v>#REF!</v>
      </c>
      <c r="R89" s="942" t="e">
        <f t="shared" si="44"/>
        <v>#REF!</v>
      </c>
      <c r="S89" s="1273"/>
      <c r="T89" s="1035"/>
      <c r="U89" s="1036"/>
      <c r="V89" s="1035"/>
      <c r="W89" s="1037">
        <v>-270</v>
      </c>
      <c r="X89" s="1037"/>
      <c r="Y89" s="1037"/>
      <c r="Z89" s="1037"/>
      <c r="AA89" s="1037"/>
      <c r="AB89" s="1037"/>
      <c r="AC89" s="1037"/>
      <c r="AD89" s="1037"/>
      <c r="AE89" s="1037"/>
      <c r="AF89" s="954">
        <f t="shared" si="45"/>
        <v>-270</v>
      </c>
      <c r="AH89" s="944"/>
    </row>
    <row r="90" spans="1:34" ht="21.75" customHeight="1" hidden="1">
      <c r="A90" s="1273"/>
      <c r="B90" s="1034"/>
      <c r="C90" s="1034"/>
      <c r="D90" s="947" t="e">
        <f>#REF!+D13+D18+D21+D24+D27+D30+D33+D68+D71+D87</f>
        <v>#REF!</v>
      </c>
      <c r="E90" s="947">
        <v>75180</v>
      </c>
      <c r="F90" s="1034"/>
      <c r="G90" s="1034"/>
      <c r="H90" s="1034"/>
      <c r="I90" s="1034"/>
      <c r="J90" s="1034"/>
      <c r="K90" s="1034"/>
      <c r="L90" s="1034"/>
      <c r="M90" s="1034"/>
      <c r="N90" s="1034"/>
      <c r="O90" s="1034"/>
      <c r="P90" s="940" t="e">
        <f t="shared" si="42"/>
        <v>#REF!</v>
      </c>
      <c r="Q90" s="941" t="e">
        <f t="shared" si="43"/>
        <v>#REF!</v>
      </c>
      <c r="R90" s="942" t="e">
        <f t="shared" si="44"/>
        <v>#REF!</v>
      </c>
      <c r="S90" s="1273"/>
      <c r="T90" s="1035"/>
      <c r="U90" s="1036"/>
      <c r="V90" s="1035"/>
      <c r="W90" s="1037"/>
      <c r="X90" s="1037"/>
      <c r="Y90" s="1037"/>
      <c r="Z90" s="1037"/>
      <c r="AA90" s="1037"/>
      <c r="AB90" s="1037"/>
      <c r="AC90" s="1037"/>
      <c r="AD90" s="1037"/>
      <c r="AE90" s="1037"/>
      <c r="AF90" s="954">
        <f t="shared" si="45"/>
        <v>0</v>
      </c>
      <c r="AH90" s="944"/>
    </row>
    <row r="91" spans="1:35" ht="21.75" customHeight="1" hidden="1">
      <c r="A91" s="1273"/>
      <c r="B91" s="1034"/>
      <c r="C91" s="1034"/>
      <c r="D91" s="947" t="e">
        <f>D10+D15+#REF!+#REF!+#REF!+#REF!+#REF!+#REF!+#REF!+#REF!+D88</f>
        <v>#REF!</v>
      </c>
      <c r="E91" s="947">
        <v>75180</v>
      </c>
      <c r="F91" s="1034"/>
      <c r="G91" s="1034"/>
      <c r="H91" s="1034"/>
      <c r="I91" s="1034"/>
      <c r="J91" s="1034"/>
      <c r="K91" s="1034"/>
      <c r="L91" s="1034"/>
      <c r="M91" s="1034"/>
      <c r="N91" s="1034"/>
      <c r="O91" s="1034"/>
      <c r="P91" s="940" t="e">
        <f t="shared" si="42"/>
        <v>#REF!</v>
      </c>
      <c r="Q91" s="941" t="e">
        <f t="shared" si="43"/>
        <v>#REF!</v>
      </c>
      <c r="R91" s="942" t="e">
        <f t="shared" si="44"/>
        <v>#REF!</v>
      </c>
      <c r="S91" s="1273"/>
      <c r="T91" s="1035"/>
      <c r="U91" s="1036"/>
      <c r="V91" s="1035"/>
      <c r="W91" s="1042">
        <v>0</v>
      </c>
      <c r="X91" s="1042"/>
      <c r="Y91" s="1042"/>
      <c r="Z91" s="1042"/>
      <c r="AA91" s="1042"/>
      <c r="AB91" s="1042"/>
      <c r="AC91" s="1042"/>
      <c r="AD91" s="1042"/>
      <c r="AE91" s="1042"/>
      <c r="AF91" s="954">
        <f t="shared" si="45"/>
        <v>0</v>
      </c>
      <c r="AG91" s="1043"/>
      <c r="AH91" s="1043"/>
      <c r="AI91" s="1043"/>
    </row>
    <row r="92" spans="1:35" ht="21.75" customHeight="1" hidden="1">
      <c r="A92" s="1273"/>
      <c r="B92" s="1034"/>
      <c r="C92" s="1034"/>
      <c r="D92" s="947" t="e">
        <f>D12+#REF!+D19+D22+D25+D28+D31+D34+D69+D72+D89</f>
        <v>#REF!</v>
      </c>
      <c r="E92" s="947">
        <v>75180</v>
      </c>
      <c r="F92" s="1034"/>
      <c r="G92" s="1034"/>
      <c r="H92" s="1034"/>
      <c r="I92" s="1034"/>
      <c r="J92" s="1034"/>
      <c r="K92" s="1034"/>
      <c r="L92" s="1034"/>
      <c r="M92" s="1034"/>
      <c r="N92" s="1034"/>
      <c r="O92" s="1034"/>
      <c r="P92" s="940" t="e">
        <f t="shared" si="42"/>
        <v>#REF!</v>
      </c>
      <c r="Q92" s="941" t="e">
        <f t="shared" si="43"/>
        <v>#REF!</v>
      </c>
      <c r="R92" s="942" t="e">
        <f t="shared" si="44"/>
        <v>#REF!</v>
      </c>
      <c r="S92" s="1273"/>
      <c r="T92" s="1035"/>
      <c r="U92" s="1036"/>
      <c r="V92" s="1035"/>
      <c r="W92" s="1042">
        <v>366</v>
      </c>
      <c r="X92" s="1042"/>
      <c r="Y92" s="1042"/>
      <c r="Z92" s="1042"/>
      <c r="AA92" s="1042"/>
      <c r="AB92" s="1042"/>
      <c r="AC92" s="1042"/>
      <c r="AD92" s="1042"/>
      <c r="AE92" s="1042"/>
      <c r="AF92" s="954">
        <f t="shared" si="45"/>
        <v>366</v>
      </c>
      <c r="AG92" s="1043"/>
      <c r="AH92" s="1043"/>
      <c r="AI92" s="1043"/>
    </row>
    <row r="93" spans="1:35" ht="21.75" customHeight="1" hidden="1">
      <c r="A93" s="1273"/>
      <c r="B93" s="1034"/>
      <c r="C93" s="1034"/>
      <c r="D93" s="947" t="e">
        <f>#REF!+D16+D21+D24+D27+D30+D33+D36+D71+D74+D90</f>
        <v>#REF!</v>
      </c>
      <c r="E93" s="947">
        <v>75180</v>
      </c>
      <c r="F93" s="1034"/>
      <c r="G93" s="1034"/>
      <c r="H93" s="1034"/>
      <c r="I93" s="1034"/>
      <c r="J93" s="1034"/>
      <c r="K93" s="1034"/>
      <c r="L93" s="1034"/>
      <c r="M93" s="1034"/>
      <c r="N93" s="1034"/>
      <c r="O93" s="1034"/>
      <c r="P93" s="940" t="e">
        <f t="shared" si="42"/>
        <v>#REF!</v>
      </c>
      <c r="Q93" s="941" t="e">
        <f t="shared" si="43"/>
        <v>#REF!</v>
      </c>
      <c r="R93" s="942" t="e">
        <f t="shared" si="44"/>
        <v>#REF!</v>
      </c>
      <c r="S93" s="1273"/>
      <c r="T93" s="1035"/>
      <c r="U93" s="1036"/>
      <c r="V93" s="1035"/>
      <c r="W93" s="1042">
        <v>-535</v>
      </c>
      <c r="X93" s="1042"/>
      <c r="Y93" s="1042"/>
      <c r="Z93" s="1042"/>
      <c r="AA93" s="1042"/>
      <c r="AB93" s="1042"/>
      <c r="AC93" s="1042"/>
      <c r="AD93" s="1042"/>
      <c r="AE93" s="1042"/>
      <c r="AF93" s="954">
        <f t="shared" si="45"/>
        <v>-535</v>
      </c>
      <c r="AG93" s="1043"/>
      <c r="AH93" s="1043"/>
      <c r="AI93" s="1043"/>
    </row>
    <row r="94" spans="1:32" ht="21.75" customHeight="1" hidden="1">
      <c r="A94" s="1273"/>
      <c r="B94" s="1034"/>
      <c r="C94" s="1034"/>
      <c r="D94" s="947" t="e">
        <f>D13+D18+#REF!+#REF!+#REF!+#REF!+#REF!+#REF!+#REF!+#REF!+D91</f>
        <v>#REF!</v>
      </c>
      <c r="E94" s="947">
        <v>75180</v>
      </c>
      <c r="F94" s="1034"/>
      <c r="G94" s="1034"/>
      <c r="H94" s="1034"/>
      <c r="I94" s="1034"/>
      <c r="J94" s="1034"/>
      <c r="K94" s="1034"/>
      <c r="L94" s="1034"/>
      <c r="M94" s="1034"/>
      <c r="N94" s="1034"/>
      <c r="O94" s="1034"/>
      <c r="P94" s="940" t="e">
        <f t="shared" si="42"/>
        <v>#REF!</v>
      </c>
      <c r="Q94" s="941" t="e">
        <f t="shared" si="43"/>
        <v>#REF!</v>
      </c>
      <c r="R94" s="942" t="e">
        <f t="shared" si="44"/>
        <v>#REF!</v>
      </c>
      <c r="S94" s="1273"/>
      <c r="T94" s="1035"/>
      <c r="U94" s="1036"/>
      <c r="V94" s="1035"/>
      <c r="W94" s="1037">
        <v>-104</v>
      </c>
      <c r="X94" s="1037"/>
      <c r="Y94" s="1037"/>
      <c r="Z94" s="1037"/>
      <c r="AA94" s="1037"/>
      <c r="AB94" s="1037"/>
      <c r="AC94" s="1037"/>
      <c r="AD94" s="1037"/>
      <c r="AE94" s="1037"/>
      <c r="AF94" s="954">
        <f t="shared" si="45"/>
        <v>-104</v>
      </c>
    </row>
    <row r="95" spans="1:32" ht="21.75" customHeight="1" hidden="1">
      <c r="A95" s="1273"/>
      <c r="B95" s="1034"/>
      <c r="C95" s="1034"/>
      <c r="D95" s="947" t="e">
        <f>D15+#REF!+D22+D25+D28+D31+D34+D37+D72+D75+D92</f>
        <v>#REF!</v>
      </c>
      <c r="E95" s="947">
        <v>75180</v>
      </c>
      <c r="F95" s="1034"/>
      <c r="G95" s="1034"/>
      <c r="H95" s="1034"/>
      <c r="I95" s="1034"/>
      <c r="J95" s="1034"/>
      <c r="K95" s="1034"/>
      <c r="L95" s="1034"/>
      <c r="M95" s="1034"/>
      <c r="N95" s="1034"/>
      <c r="O95" s="1034"/>
      <c r="P95" s="940" t="e">
        <f t="shared" si="42"/>
        <v>#REF!</v>
      </c>
      <c r="Q95" s="941" t="e">
        <f t="shared" si="43"/>
        <v>#REF!</v>
      </c>
      <c r="R95" s="942" t="e">
        <f t="shared" si="44"/>
        <v>#REF!</v>
      </c>
      <c r="S95" s="1273"/>
      <c r="T95" s="1035"/>
      <c r="U95" s="1036"/>
      <c r="V95" s="1035"/>
      <c r="W95" s="1037"/>
      <c r="X95" s="1037"/>
      <c r="Y95" s="1037"/>
      <c r="Z95" s="1037"/>
      <c r="AA95" s="1037"/>
      <c r="AB95" s="1037"/>
      <c r="AC95" s="1037"/>
      <c r="AD95" s="1037"/>
      <c r="AE95" s="1037"/>
      <c r="AF95" s="954">
        <f t="shared" si="45"/>
        <v>0</v>
      </c>
    </row>
    <row r="96" spans="1:32" ht="21.75" customHeight="1" hidden="1">
      <c r="A96" s="1273"/>
      <c r="B96" s="1034"/>
      <c r="C96" s="1034"/>
      <c r="D96" s="947" t="e">
        <f>#REF!+D19+D24+D27+D30+D33+D36+D39+D74+D77+D93</f>
        <v>#REF!</v>
      </c>
      <c r="E96" s="947">
        <v>75180</v>
      </c>
      <c r="F96" s="1034"/>
      <c r="G96" s="1034"/>
      <c r="H96" s="1034"/>
      <c r="I96" s="1034"/>
      <c r="J96" s="1034"/>
      <c r="K96" s="1034"/>
      <c r="L96" s="1034"/>
      <c r="M96" s="1034"/>
      <c r="N96" s="1034"/>
      <c r="O96" s="1034"/>
      <c r="P96" s="940" t="e">
        <f t="shared" si="42"/>
        <v>#REF!</v>
      </c>
      <c r="Q96" s="941" t="e">
        <f t="shared" si="43"/>
        <v>#REF!</v>
      </c>
      <c r="R96" s="942" t="e">
        <f t="shared" si="44"/>
        <v>#REF!</v>
      </c>
      <c r="S96" s="1273"/>
      <c r="T96" s="1035"/>
      <c r="U96" s="1036"/>
      <c r="V96" s="1035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954">
        <f t="shared" si="45"/>
        <v>0</v>
      </c>
    </row>
    <row r="97" spans="1:35" ht="21.75" customHeight="1" hidden="1">
      <c r="A97" s="1273"/>
      <c r="B97" s="1034"/>
      <c r="C97" s="1034"/>
      <c r="D97" s="947" t="e">
        <f>D16+D21+#REF!+#REF!+#REF!+#REF!+#REF!+#REF!+#REF!+#REF!+D94</f>
        <v>#REF!</v>
      </c>
      <c r="E97" s="947">
        <v>75180</v>
      </c>
      <c r="F97" s="1034"/>
      <c r="G97" s="1034"/>
      <c r="H97" s="1034"/>
      <c r="I97" s="1034"/>
      <c r="J97" s="1034"/>
      <c r="K97" s="1034"/>
      <c r="L97" s="1034"/>
      <c r="M97" s="1034"/>
      <c r="N97" s="1034"/>
      <c r="O97" s="1034"/>
      <c r="P97" s="940" t="e">
        <f aca="true" t="shared" si="46" ref="P97:P111">AF97-Q97</f>
        <v>#REF!</v>
      </c>
      <c r="Q97" s="941" t="e">
        <f aca="true" t="shared" si="47" ref="Q97:Q111">SUM(D97:O97)-E97</f>
        <v>#REF!</v>
      </c>
      <c r="R97" s="942" t="e">
        <f aca="true" t="shared" si="48" ref="R97:R111">P97+Q97</f>
        <v>#REF!</v>
      </c>
      <c r="S97" s="1273"/>
      <c r="T97" s="1035"/>
      <c r="U97" s="1036"/>
      <c r="V97" s="1035"/>
      <c r="W97" s="1042">
        <v>2967</v>
      </c>
      <c r="X97" s="1042"/>
      <c r="Y97" s="1042"/>
      <c r="Z97" s="1042"/>
      <c r="AA97" s="1042"/>
      <c r="AB97" s="1042"/>
      <c r="AC97" s="1042"/>
      <c r="AD97" s="1042"/>
      <c r="AE97" s="1042"/>
      <c r="AF97" s="954">
        <f aca="true" t="shared" si="49" ref="AF97:AF111">SUM(V97:AD97)-Y97</f>
        <v>2967</v>
      </c>
      <c r="AG97" s="1043"/>
      <c r="AH97" s="1043"/>
      <c r="AI97" s="1043"/>
    </row>
    <row r="98" spans="1:32" ht="21.75" customHeight="1" hidden="1">
      <c r="A98" s="1273"/>
      <c r="B98" s="1034"/>
      <c r="C98" s="1034"/>
      <c r="D98" s="947" t="e">
        <f>D18+#REF!+D25+D28+D31+D34+D37+D40+D75+D78+D95</f>
        <v>#REF!</v>
      </c>
      <c r="E98" s="947">
        <v>75180</v>
      </c>
      <c r="F98" s="1034"/>
      <c r="G98" s="1034"/>
      <c r="H98" s="1034"/>
      <c r="I98" s="1034"/>
      <c r="J98" s="1034"/>
      <c r="K98" s="1034"/>
      <c r="L98" s="1034"/>
      <c r="M98" s="1034"/>
      <c r="N98" s="1034"/>
      <c r="O98" s="1034"/>
      <c r="P98" s="940" t="e">
        <f t="shared" si="46"/>
        <v>#REF!</v>
      </c>
      <c r="Q98" s="941" t="e">
        <f t="shared" si="47"/>
        <v>#REF!</v>
      </c>
      <c r="R98" s="942" t="e">
        <f t="shared" si="48"/>
        <v>#REF!</v>
      </c>
      <c r="S98" s="1273"/>
      <c r="T98" s="1035"/>
      <c r="U98" s="1036"/>
      <c r="V98" s="1035"/>
      <c r="W98" s="1037"/>
      <c r="X98" s="1037"/>
      <c r="Y98" s="1037"/>
      <c r="Z98" s="1037"/>
      <c r="AA98" s="1037"/>
      <c r="AB98" s="1037"/>
      <c r="AC98" s="1037"/>
      <c r="AD98" s="1037"/>
      <c r="AE98" s="1037"/>
      <c r="AF98" s="954">
        <f t="shared" si="49"/>
        <v>0</v>
      </c>
    </row>
    <row r="99" spans="1:32" ht="21.75" customHeight="1" hidden="1">
      <c r="A99" s="1273"/>
      <c r="B99" s="1034"/>
      <c r="C99" s="1034"/>
      <c r="D99" s="947" t="e">
        <f>#REF!+D22+D27+D30+D33+D36+D39+D42+D77+D80+D96</f>
        <v>#REF!</v>
      </c>
      <c r="E99" s="947">
        <v>75180</v>
      </c>
      <c r="F99" s="1034"/>
      <c r="G99" s="1034"/>
      <c r="H99" s="1034"/>
      <c r="I99" s="1034"/>
      <c r="J99" s="1034"/>
      <c r="K99" s="1034"/>
      <c r="L99" s="1034"/>
      <c r="M99" s="1034"/>
      <c r="N99" s="1034"/>
      <c r="O99" s="1034"/>
      <c r="P99" s="940" t="e">
        <f t="shared" si="46"/>
        <v>#REF!</v>
      </c>
      <c r="Q99" s="941" t="e">
        <f t="shared" si="47"/>
        <v>#REF!</v>
      </c>
      <c r="R99" s="942" t="e">
        <f t="shared" si="48"/>
        <v>#REF!</v>
      </c>
      <c r="S99" s="1273"/>
      <c r="T99" s="1035"/>
      <c r="U99" s="1036"/>
      <c r="V99" s="1035"/>
      <c r="W99" s="1037">
        <v>231427</v>
      </c>
      <c r="X99" s="1037">
        <v>447481</v>
      </c>
      <c r="Y99" s="1037"/>
      <c r="Z99" s="1037"/>
      <c r="AA99" s="1037">
        <v>9420</v>
      </c>
      <c r="AB99" s="1037"/>
      <c r="AC99" s="1037">
        <v>6719</v>
      </c>
      <c r="AD99" s="1037"/>
      <c r="AE99" s="1037"/>
      <c r="AF99" s="954">
        <f t="shared" si="49"/>
        <v>695047</v>
      </c>
    </row>
    <row r="100" spans="1:32" ht="8.25" customHeight="1" hidden="1">
      <c r="A100" s="1273"/>
      <c r="B100" s="1034"/>
      <c r="C100" s="1034"/>
      <c r="D100" s="947" t="e">
        <f>D19+D24+#REF!+#REF!+#REF!+#REF!+#REF!+#REF!+#REF!+#REF!+D97</f>
        <v>#REF!</v>
      </c>
      <c r="E100" s="947">
        <v>75180</v>
      </c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940" t="e">
        <f t="shared" si="46"/>
        <v>#REF!</v>
      </c>
      <c r="Q100" s="941" t="e">
        <f t="shared" si="47"/>
        <v>#REF!</v>
      </c>
      <c r="R100" s="942" t="e">
        <f t="shared" si="48"/>
        <v>#REF!</v>
      </c>
      <c r="S100" s="1273"/>
      <c r="T100" s="1035"/>
      <c r="U100" s="1036"/>
      <c r="V100" s="1035"/>
      <c r="W100" s="1037"/>
      <c r="X100" s="1037"/>
      <c r="Y100" s="1037"/>
      <c r="Z100" s="1037"/>
      <c r="AA100" s="1037"/>
      <c r="AB100" s="1037"/>
      <c r="AC100" s="1037"/>
      <c r="AD100" s="1037"/>
      <c r="AE100" s="1037"/>
      <c r="AF100" s="954">
        <f t="shared" si="49"/>
        <v>0</v>
      </c>
    </row>
    <row r="101" spans="1:34" s="965" customFormat="1" ht="12.75" customHeight="1">
      <c r="A101" s="1273"/>
      <c r="B101" s="959" t="s">
        <v>757</v>
      </c>
      <c r="C101" s="945" t="s">
        <v>445</v>
      </c>
      <c r="D101" s="947">
        <f aca="true" t="shared" si="50" ref="D101:O101">D6+D10+D13+D16+D19+D22+D25+D28+D63+D66+D81</f>
        <v>143983</v>
      </c>
      <c r="E101" s="947">
        <f t="shared" si="50"/>
        <v>90068</v>
      </c>
      <c r="F101" s="947">
        <f t="shared" si="50"/>
        <v>39341</v>
      </c>
      <c r="G101" s="947">
        <f t="shared" si="50"/>
        <v>0</v>
      </c>
      <c r="H101" s="947">
        <f t="shared" si="50"/>
        <v>9880</v>
      </c>
      <c r="I101" s="947">
        <f t="shared" si="50"/>
        <v>0</v>
      </c>
      <c r="J101" s="947">
        <f t="shared" si="50"/>
        <v>13848</v>
      </c>
      <c r="K101" s="947">
        <f t="shared" si="50"/>
        <v>285</v>
      </c>
      <c r="L101" s="947">
        <f t="shared" si="50"/>
        <v>17676</v>
      </c>
      <c r="M101" s="947">
        <f t="shared" si="50"/>
        <v>0</v>
      </c>
      <c r="N101" s="947">
        <f t="shared" si="50"/>
        <v>27601</v>
      </c>
      <c r="O101" s="947">
        <f t="shared" si="50"/>
        <v>0</v>
      </c>
      <c r="P101" s="940">
        <f>AF101-Q101</f>
        <v>804082</v>
      </c>
      <c r="Q101" s="941">
        <f>SUM(D101:O101)-E101</f>
        <v>252614</v>
      </c>
      <c r="R101" s="942">
        <f>P101+Q101</f>
        <v>1056696</v>
      </c>
      <c r="S101" s="1273"/>
      <c r="T101" s="958" t="s">
        <v>445</v>
      </c>
      <c r="U101" s="959" t="s">
        <v>757</v>
      </c>
      <c r="V101" s="946">
        <f aca="true" t="shared" si="51" ref="V101:AA101">V6+V10+V13+V16+V19+V22+V25+V28+V63+V66+V81</f>
        <v>397127</v>
      </c>
      <c r="W101" s="946">
        <f t="shared" si="51"/>
        <v>103488</v>
      </c>
      <c r="X101" s="946">
        <f t="shared" si="51"/>
        <v>523907</v>
      </c>
      <c r="Y101" s="946">
        <f t="shared" si="51"/>
        <v>200542</v>
      </c>
      <c r="Z101" s="946">
        <f t="shared" si="51"/>
        <v>0</v>
      </c>
      <c r="AA101" s="946">
        <f t="shared" si="51"/>
        <v>17676</v>
      </c>
      <c r="AB101" s="946"/>
      <c r="AC101" s="946">
        <f>AC6+AC10+AC13+AC16+AC19+AC22+AC25+AC28+AC63+AC66+AC81</f>
        <v>5098</v>
      </c>
      <c r="AD101" s="946">
        <f>AD6+AD10+AD13+AD16+AD19+AD22+AD25+AD28+AD63+AD66+AD81</f>
        <v>9400</v>
      </c>
      <c r="AE101" s="946"/>
      <c r="AF101" s="946">
        <f>AF6+AF10+AF13+AF16+AF19+AF22+AF25+AF28+AF63+AF66+AF81</f>
        <v>1056696</v>
      </c>
      <c r="AH101" s="957">
        <v>967789</v>
      </c>
    </row>
    <row r="102" spans="1:34" s="965" customFormat="1" ht="12.75" customHeight="1">
      <c r="A102" s="1274"/>
      <c r="B102" s="959" t="s">
        <v>757</v>
      </c>
      <c r="C102" s="150" t="s">
        <v>416</v>
      </c>
      <c r="D102" s="946">
        <f aca="true" t="shared" si="52" ref="D102:O102">D7+D11+D14+D17+D20+D23+D26+D29+D64+D67+D82</f>
        <v>138111</v>
      </c>
      <c r="E102" s="946">
        <f t="shared" si="52"/>
        <v>90068</v>
      </c>
      <c r="F102" s="946">
        <f t="shared" si="52"/>
        <v>37564</v>
      </c>
      <c r="G102" s="946">
        <f t="shared" si="52"/>
        <v>0</v>
      </c>
      <c r="H102" s="946">
        <f t="shared" si="52"/>
        <v>1921</v>
      </c>
      <c r="I102" s="946">
        <f t="shared" si="52"/>
        <v>0</v>
      </c>
      <c r="J102" s="946">
        <f t="shared" si="52"/>
        <v>14042</v>
      </c>
      <c r="K102" s="946">
        <f t="shared" si="52"/>
        <v>285</v>
      </c>
      <c r="L102" s="946">
        <f t="shared" si="52"/>
        <v>17676</v>
      </c>
      <c r="M102" s="946">
        <f t="shared" si="52"/>
        <v>0</v>
      </c>
      <c r="N102" s="946">
        <f t="shared" si="52"/>
        <v>27601</v>
      </c>
      <c r="O102" s="946">
        <f t="shared" si="52"/>
        <v>0</v>
      </c>
      <c r="P102" s="943">
        <f>AF102-Q102</f>
        <v>732082</v>
      </c>
      <c r="Q102" s="955">
        <f>SUM(D102:O102)-E102</f>
        <v>237200</v>
      </c>
      <c r="R102" s="954">
        <f>P102+Q102</f>
        <v>969282</v>
      </c>
      <c r="S102" s="1274"/>
      <c r="T102" s="150" t="s">
        <v>416</v>
      </c>
      <c r="U102" s="959" t="s">
        <v>757</v>
      </c>
      <c r="V102" s="946">
        <f aca="true" t="shared" si="53" ref="V102:AF102">V7+V11+V14+V17+V20+V23+V26+V29+V64+V67+V82+V83</f>
        <v>352578</v>
      </c>
      <c r="W102" s="946">
        <f t="shared" si="53"/>
        <v>91494</v>
      </c>
      <c r="X102" s="946">
        <f t="shared" si="53"/>
        <v>490883</v>
      </c>
      <c r="Y102" s="946">
        <f t="shared" si="53"/>
        <v>204242</v>
      </c>
      <c r="Z102" s="946">
        <f t="shared" si="53"/>
        <v>0</v>
      </c>
      <c r="AA102" s="946">
        <f t="shared" si="53"/>
        <v>17676</v>
      </c>
      <c r="AB102" s="946">
        <f t="shared" si="53"/>
        <v>766</v>
      </c>
      <c r="AC102" s="946">
        <f t="shared" si="53"/>
        <v>5865</v>
      </c>
      <c r="AD102" s="946">
        <f t="shared" si="53"/>
        <v>10020</v>
      </c>
      <c r="AE102" s="946">
        <f t="shared" si="53"/>
        <v>0</v>
      </c>
      <c r="AF102" s="946">
        <f t="shared" si="53"/>
        <v>969282</v>
      </c>
      <c r="AH102" s="957"/>
    </row>
    <row r="103" spans="1:32" s="956" customFormat="1" ht="27.75" customHeight="1">
      <c r="A103" s="1275" t="s">
        <v>765</v>
      </c>
      <c r="B103" s="959" t="s">
        <v>766</v>
      </c>
      <c r="C103" s="958" t="s">
        <v>521</v>
      </c>
      <c r="D103" s="946">
        <f aca="true" t="shared" si="54" ref="D103:O103">D84-D59</f>
        <v>128364</v>
      </c>
      <c r="E103" s="946">
        <f t="shared" si="54"/>
        <v>75180</v>
      </c>
      <c r="F103" s="946">
        <f t="shared" si="54"/>
        <v>31161</v>
      </c>
      <c r="G103" s="946">
        <f t="shared" si="54"/>
        <v>0</v>
      </c>
      <c r="H103" s="946">
        <f t="shared" si="54"/>
        <v>9880</v>
      </c>
      <c r="I103" s="946">
        <f t="shared" si="54"/>
        <v>0</v>
      </c>
      <c r="J103" s="946">
        <f t="shared" si="54"/>
        <v>10000</v>
      </c>
      <c r="K103" s="946">
        <f t="shared" si="54"/>
        <v>0</v>
      </c>
      <c r="L103" s="946">
        <f t="shared" si="54"/>
        <v>0</v>
      </c>
      <c r="M103" s="946">
        <f t="shared" si="54"/>
        <v>0</v>
      </c>
      <c r="N103" s="946">
        <f t="shared" si="54"/>
        <v>0</v>
      </c>
      <c r="O103" s="946">
        <f t="shared" si="54"/>
        <v>0</v>
      </c>
      <c r="P103" s="940">
        <f t="shared" si="46"/>
        <v>756050</v>
      </c>
      <c r="Q103" s="941">
        <f t="shared" si="47"/>
        <v>179405</v>
      </c>
      <c r="R103" s="942">
        <f t="shared" si="48"/>
        <v>935455</v>
      </c>
      <c r="S103" s="1275" t="s">
        <v>765</v>
      </c>
      <c r="T103" s="958" t="s">
        <v>521</v>
      </c>
      <c r="U103" s="959" t="s">
        <v>766</v>
      </c>
      <c r="V103" s="1044">
        <f>V84-V110</f>
        <v>367129</v>
      </c>
      <c r="W103" s="946">
        <f>W84-W59</f>
        <v>95905</v>
      </c>
      <c r="X103" s="946">
        <f>X84-X59</f>
        <v>458208</v>
      </c>
      <c r="Y103" s="946">
        <f>Y84-Y59</f>
        <v>171834</v>
      </c>
      <c r="Z103" s="946">
        <f>Z84-Z59</f>
        <v>0</v>
      </c>
      <c r="AA103" s="946">
        <f>AA84-AA59</f>
        <v>0</v>
      </c>
      <c r="AB103" s="946"/>
      <c r="AC103" s="946">
        <f>AC84-AC110</f>
        <v>4813</v>
      </c>
      <c r="AD103" s="946">
        <f>AD84-AD110</f>
        <v>9400</v>
      </c>
      <c r="AE103" s="1045"/>
      <c r="AF103" s="966">
        <f t="shared" si="49"/>
        <v>935455</v>
      </c>
    </row>
    <row r="104" spans="1:32" ht="10.5" customHeight="1" hidden="1">
      <c r="A104" s="1276"/>
      <c r="B104" s="1046"/>
      <c r="C104" s="1047"/>
      <c r="D104" s="946" t="e">
        <f>D85-#REF!</f>
        <v>#REF!</v>
      </c>
      <c r="E104" s="1048"/>
      <c r="F104" s="1048"/>
      <c r="G104" s="1048"/>
      <c r="H104" s="1048"/>
      <c r="I104" s="1048"/>
      <c r="J104" s="1048"/>
      <c r="K104" s="1048"/>
      <c r="L104" s="1048"/>
      <c r="M104" s="1048"/>
      <c r="N104" s="1048"/>
      <c r="O104" s="1048"/>
      <c r="P104" s="940" t="e">
        <f t="shared" si="46"/>
        <v>#REF!</v>
      </c>
      <c r="Q104" s="941" t="e">
        <f t="shared" si="47"/>
        <v>#REF!</v>
      </c>
      <c r="R104" s="942" t="e">
        <f t="shared" si="48"/>
        <v>#REF!</v>
      </c>
      <c r="S104" s="1276"/>
      <c r="T104" s="1049"/>
      <c r="U104" s="1050"/>
      <c r="V104" s="1049"/>
      <c r="W104" s="1051"/>
      <c r="X104" s="1051"/>
      <c r="Y104" s="1051"/>
      <c r="Z104" s="1051"/>
      <c r="AA104" s="1051"/>
      <c r="AB104" s="1051"/>
      <c r="AC104" s="1051"/>
      <c r="AD104" s="1051"/>
      <c r="AE104" s="1052"/>
      <c r="AF104" s="954">
        <f t="shared" si="49"/>
        <v>0</v>
      </c>
    </row>
    <row r="105" spans="1:32" ht="12.75" customHeight="1" hidden="1">
      <c r="A105" s="1276"/>
      <c r="B105" s="1046"/>
      <c r="C105" s="1047"/>
      <c r="D105" s="946" t="e">
        <f>D86-D60</f>
        <v>#REF!</v>
      </c>
      <c r="E105" s="1048">
        <v>69489</v>
      </c>
      <c r="F105" s="1048">
        <v>36954</v>
      </c>
      <c r="G105" s="1048">
        <v>0</v>
      </c>
      <c r="H105" s="1048">
        <v>3540</v>
      </c>
      <c r="I105" s="1048">
        <v>0</v>
      </c>
      <c r="J105" s="1048">
        <v>46595</v>
      </c>
      <c r="K105" s="1048">
        <v>0</v>
      </c>
      <c r="L105" s="1048"/>
      <c r="M105" s="1048">
        <v>750</v>
      </c>
      <c r="N105" s="1048">
        <v>0</v>
      </c>
      <c r="O105" s="1048">
        <v>0</v>
      </c>
      <c r="P105" s="940" t="e">
        <f t="shared" si="46"/>
        <v>#REF!</v>
      </c>
      <c r="Q105" s="941" t="e">
        <f t="shared" si="47"/>
        <v>#REF!</v>
      </c>
      <c r="R105" s="942" t="e">
        <f t="shared" si="48"/>
        <v>#REF!</v>
      </c>
      <c r="S105" s="1276"/>
      <c r="T105" s="1049"/>
      <c r="U105" s="1050"/>
      <c r="V105" s="1049"/>
      <c r="W105" s="1051">
        <v>231427</v>
      </c>
      <c r="X105" s="1051">
        <v>447481</v>
      </c>
      <c r="Y105" s="1051">
        <v>158798</v>
      </c>
      <c r="Z105" s="1051"/>
      <c r="AA105" s="1051">
        <v>9420</v>
      </c>
      <c r="AB105" s="1051"/>
      <c r="AC105" s="1051">
        <v>6719</v>
      </c>
      <c r="AD105" s="1051">
        <v>0</v>
      </c>
      <c r="AE105" s="1052"/>
      <c r="AF105" s="954">
        <f t="shared" si="49"/>
        <v>695047</v>
      </c>
    </row>
    <row r="106" spans="1:32" ht="12.75" customHeight="1" hidden="1">
      <c r="A106" s="1276"/>
      <c r="B106" s="1046"/>
      <c r="C106" s="1047"/>
      <c r="D106" s="946">
        <f>D87-D62</f>
        <v>131824</v>
      </c>
      <c r="E106" s="1048"/>
      <c r="F106" s="1048"/>
      <c r="G106" s="1048"/>
      <c r="H106" s="1048"/>
      <c r="I106" s="1048"/>
      <c r="J106" s="1048"/>
      <c r="K106" s="1048"/>
      <c r="L106" s="1048"/>
      <c r="M106" s="1048"/>
      <c r="N106" s="1048"/>
      <c r="O106" s="1048"/>
      <c r="P106" s="940">
        <f t="shared" si="46"/>
        <v>-131824</v>
      </c>
      <c r="Q106" s="941">
        <f t="shared" si="47"/>
        <v>131824</v>
      </c>
      <c r="R106" s="942">
        <f t="shared" si="48"/>
        <v>0</v>
      </c>
      <c r="S106" s="1276"/>
      <c r="T106" s="1049"/>
      <c r="U106" s="1050"/>
      <c r="V106" s="1049"/>
      <c r="W106" s="1051"/>
      <c r="X106" s="1051"/>
      <c r="Y106" s="1051"/>
      <c r="Z106" s="1051"/>
      <c r="AA106" s="1051"/>
      <c r="AB106" s="1051"/>
      <c r="AC106" s="1051"/>
      <c r="AD106" s="1051"/>
      <c r="AE106" s="1052"/>
      <c r="AF106" s="954">
        <f t="shared" si="49"/>
        <v>0</v>
      </c>
    </row>
    <row r="107" spans="1:32" ht="12.75" customHeight="1" hidden="1">
      <c r="A107" s="1276"/>
      <c r="B107" s="1046"/>
      <c r="C107" s="1047"/>
      <c r="D107" s="946" t="e">
        <f>D88-#REF!</f>
        <v>#REF!</v>
      </c>
      <c r="E107" s="1053">
        <v>5691</v>
      </c>
      <c r="F107" s="1053">
        <v>2387</v>
      </c>
      <c r="G107" s="1053">
        <v>0</v>
      </c>
      <c r="H107" s="1053">
        <v>6340</v>
      </c>
      <c r="I107" s="1053">
        <v>0</v>
      </c>
      <c r="J107" s="1053">
        <v>-36595</v>
      </c>
      <c r="K107" s="1053">
        <v>0</v>
      </c>
      <c r="L107" s="1053"/>
      <c r="M107" s="1053">
        <v>-750</v>
      </c>
      <c r="N107" s="1053">
        <v>0</v>
      </c>
      <c r="O107" s="1053">
        <v>0</v>
      </c>
      <c r="P107" s="940" t="e">
        <f t="shared" si="46"/>
        <v>#REF!</v>
      </c>
      <c r="Q107" s="941" t="e">
        <f t="shared" si="47"/>
        <v>#REF!</v>
      </c>
      <c r="R107" s="942" t="e">
        <f t="shared" si="48"/>
        <v>#REF!</v>
      </c>
      <c r="S107" s="1276"/>
      <c r="T107" s="1049"/>
      <c r="U107" s="1050"/>
      <c r="V107" s="1049"/>
      <c r="W107" s="1051">
        <v>-130784</v>
      </c>
      <c r="X107" s="1051">
        <v>20541</v>
      </c>
      <c r="Y107" s="1051">
        <v>13036</v>
      </c>
      <c r="Z107" s="1051"/>
      <c r="AA107" s="1051">
        <v>-9420</v>
      </c>
      <c r="AB107" s="1051"/>
      <c r="AC107" s="1051">
        <v>-1906</v>
      </c>
      <c r="AD107" s="1051">
        <v>9400</v>
      </c>
      <c r="AE107" s="1052"/>
      <c r="AF107" s="954">
        <f t="shared" si="49"/>
        <v>-112169</v>
      </c>
    </row>
    <row r="108" spans="1:34" ht="12.75" customHeight="1">
      <c r="A108" s="1276"/>
      <c r="B108" s="963" t="s">
        <v>766</v>
      </c>
      <c r="C108" s="945" t="s">
        <v>445</v>
      </c>
      <c r="D108" s="946">
        <f aca="true" t="shared" si="55" ref="D108:O108">D101-D60</f>
        <v>143317</v>
      </c>
      <c r="E108" s="946">
        <f t="shared" si="55"/>
        <v>90068</v>
      </c>
      <c r="F108" s="946">
        <f t="shared" si="55"/>
        <v>31161</v>
      </c>
      <c r="G108" s="946">
        <f t="shared" si="55"/>
        <v>0</v>
      </c>
      <c r="H108" s="946">
        <f t="shared" si="55"/>
        <v>9880</v>
      </c>
      <c r="I108" s="946">
        <f t="shared" si="55"/>
        <v>0</v>
      </c>
      <c r="J108" s="946">
        <f t="shared" si="55"/>
        <v>13848</v>
      </c>
      <c r="K108" s="946">
        <f t="shared" si="55"/>
        <v>285</v>
      </c>
      <c r="L108" s="946">
        <f t="shared" si="55"/>
        <v>17676</v>
      </c>
      <c r="M108" s="946">
        <f t="shared" si="55"/>
        <v>0</v>
      </c>
      <c r="N108" s="946">
        <f t="shared" si="55"/>
        <v>8294</v>
      </c>
      <c r="O108" s="946">
        <f t="shared" si="55"/>
        <v>0</v>
      </c>
      <c r="P108" s="940">
        <f>AF108-Q108</f>
        <v>779343</v>
      </c>
      <c r="Q108" s="941">
        <f>SUM(D108:O108)-E108</f>
        <v>224461</v>
      </c>
      <c r="R108" s="942">
        <f>P108+Q108</f>
        <v>1003804</v>
      </c>
      <c r="S108" s="1276"/>
      <c r="T108" s="945" t="s">
        <v>445</v>
      </c>
      <c r="U108" s="963" t="s">
        <v>766</v>
      </c>
      <c r="V108" s="967">
        <f aca="true" t="shared" si="56" ref="V108:AA109">V101-V60</f>
        <v>377852</v>
      </c>
      <c r="W108" s="967">
        <f t="shared" si="56"/>
        <v>98347</v>
      </c>
      <c r="X108" s="967">
        <f t="shared" si="56"/>
        <v>513107</v>
      </c>
      <c r="Y108" s="967">
        <f t="shared" si="56"/>
        <v>200542</v>
      </c>
      <c r="Z108" s="967">
        <f t="shared" si="56"/>
        <v>0</v>
      </c>
      <c r="AA108" s="967">
        <f t="shared" si="56"/>
        <v>0</v>
      </c>
      <c r="AB108" s="967"/>
      <c r="AC108" s="967">
        <f>AC101-AC60</f>
        <v>5098</v>
      </c>
      <c r="AD108" s="967">
        <f>AD101-AD60</f>
        <v>9400</v>
      </c>
      <c r="AE108" s="967"/>
      <c r="AF108" s="967">
        <f>AF101-AF60</f>
        <v>1003804</v>
      </c>
      <c r="AG108" s="967">
        <f>AG101-AG60</f>
        <v>0</v>
      </c>
      <c r="AH108" s="967">
        <f>AH101-AH60</f>
        <v>935455</v>
      </c>
    </row>
    <row r="109" spans="1:34" ht="12.75" customHeight="1">
      <c r="A109" s="1277"/>
      <c r="B109" s="963" t="s">
        <v>766</v>
      </c>
      <c r="C109" s="150" t="s">
        <v>416</v>
      </c>
      <c r="D109" s="946">
        <f aca="true" t="shared" si="57" ref="D109:O109">D102-D61</f>
        <v>137445</v>
      </c>
      <c r="E109" s="946">
        <f t="shared" si="57"/>
        <v>90068</v>
      </c>
      <c r="F109" s="946">
        <f t="shared" si="57"/>
        <v>29384</v>
      </c>
      <c r="G109" s="946">
        <f t="shared" si="57"/>
        <v>0</v>
      </c>
      <c r="H109" s="946">
        <f t="shared" si="57"/>
        <v>1244</v>
      </c>
      <c r="I109" s="946">
        <f t="shared" si="57"/>
        <v>0</v>
      </c>
      <c r="J109" s="946">
        <f t="shared" si="57"/>
        <v>14042</v>
      </c>
      <c r="K109" s="946">
        <f t="shared" si="57"/>
        <v>285</v>
      </c>
      <c r="L109" s="946">
        <f t="shared" si="57"/>
        <v>17676</v>
      </c>
      <c r="M109" s="946">
        <f t="shared" si="57"/>
        <v>0</v>
      </c>
      <c r="N109" s="946">
        <f t="shared" si="57"/>
        <v>8294</v>
      </c>
      <c r="O109" s="946">
        <f t="shared" si="57"/>
        <v>0</v>
      </c>
      <c r="P109" s="940">
        <f>AF109-Q109</f>
        <v>704374</v>
      </c>
      <c r="Q109" s="941">
        <f>SUM(D109:O109)-E109</f>
        <v>208370</v>
      </c>
      <c r="R109" s="942">
        <f>P109+Q109</f>
        <v>912744</v>
      </c>
      <c r="S109" s="1277"/>
      <c r="T109" s="150" t="s">
        <v>416</v>
      </c>
      <c r="U109" s="963" t="s">
        <v>766</v>
      </c>
      <c r="V109" s="967">
        <f t="shared" si="56"/>
        <v>332470</v>
      </c>
      <c r="W109" s="967">
        <f t="shared" si="56"/>
        <v>86140</v>
      </c>
      <c r="X109" s="967">
        <f t="shared" si="56"/>
        <v>480083</v>
      </c>
      <c r="Y109" s="967">
        <f t="shared" si="56"/>
        <v>204242</v>
      </c>
      <c r="Z109" s="967">
        <f t="shared" si="56"/>
        <v>0</v>
      </c>
      <c r="AA109" s="967">
        <f t="shared" si="56"/>
        <v>0</v>
      </c>
      <c r="AB109" s="967">
        <f>AB102-AB61</f>
        <v>766</v>
      </c>
      <c r="AC109" s="967">
        <f>AC102-AC61</f>
        <v>3265</v>
      </c>
      <c r="AD109" s="967">
        <f>AD102-AD61</f>
        <v>10020</v>
      </c>
      <c r="AE109" s="967">
        <f>AE102-AE61</f>
        <v>0</v>
      </c>
      <c r="AF109" s="967">
        <f>AF102-AF61</f>
        <v>912744</v>
      </c>
      <c r="AG109" s="967"/>
      <c r="AH109" s="967"/>
    </row>
    <row r="110" spans="1:34" ht="22.5" customHeight="1">
      <c r="A110" s="1263" t="s">
        <v>767</v>
      </c>
      <c r="B110" s="963" t="s">
        <v>768</v>
      </c>
      <c r="C110" s="945" t="s">
        <v>521</v>
      </c>
      <c r="D110" s="1054">
        <f aca="true" t="shared" si="58" ref="D110:K110">D84-D103</f>
        <v>666</v>
      </c>
      <c r="E110" s="1054">
        <f t="shared" si="58"/>
        <v>0</v>
      </c>
      <c r="F110" s="1054">
        <f t="shared" si="58"/>
        <v>8180</v>
      </c>
      <c r="G110" s="1054">
        <f t="shared" si="58"/>
        <v>0</v>
      </c>
      <c r="H110" s="1054">
        <f t="shared" si="58"/>
        <v>0</v>
      </c>
      <c r="I110" s="1054">
        <f t="shared" si="58"/>
        <v>0</v>
      </c>
      <c r="J110" s="1054">
        <f t="shared" si="58"/>
        <v>0</v>
      </c>
      <c r="K110" s="1054">
        <f t="shared" si="58"/>
        <v>0</v>
      </c>
      <c r="L110" s="1054"/>
      <c r="M110" s="1054">
        <f aca="true" t="shared" si="59" ref="M110:R110">M84-M103</f>
        <v>0</v>
      </c>
      <c r="N110" s="1054">
        <f t="shared" si="59"/>
        <v>0</v>
      </c>
      <c r="O110" s="1054">
        <f t="shared" si="59"/>
        <v>0</v>
      </c>
      <c r="P110" s="1054">
        <f t="shared" si="59"/>
        <v>23488</v>
      </c>
      <c r="Q110" s="1054">
        <f t="shared" si="59"/>
        <v>8846</v>
      </c>
      <c r="R110" s="1054">
        <f t="shared" si="59"/>
        <v>32334</v>
      </c>
      <c r="S110" s="1263" t="s">
        <v>767</v>
      </c>
      <c r="T110" s="945" t="s">
        <v>521</v>
      </c>
      <c r="U110" s="963" t="s">
        <v>768</v>
      </c>
      <c r="V110" s="967">
        <f>V59</f>
        <v>17782</v>
      </c>
      <c r="W110" s="967">
        <f aca="true" t="shared" si="60" ref="W110:AH110">W59</f>
        <v>4738</v>
      </c>
      <c r="X110" s="967">
        <f t="shared" si="60"/>
        <v>9814</v>
      </c>
      <c r="Y110" s="967">
        <f t="shared" si="60"/>
        <v>0</v>
      </c>
      <c r="Z110" s="967">
        <f t="shared" si="60"/>
        <v>0</v>
      </c>
      <c r="AA110" s="967">
        <f t="shared" si="60"/>
        <v>0</v>
      </c>
      <c r="AB110" s="967"/>
      <c r="AC110" s="967">
        <f t="shared" si="60"/>
        <v>0</v>
      </c>
      <c r="AD110" s="967">
        <f t="shared" si="60"/>
        <v>0</v>
      </c>
      <c r="AE110" s="967"/>
      <c r="AF110" s="967">
        <f t="shared" si="60"/>
        <v>32334</v>
      </c>
      <c r="AG110" s="967">
        <f t="shared" si="60"/>
        <v>0</v>
      </c>
      <c r="AH110" s="967">
        <f t="shared" si="60"/>
        <v>32334</v>
      </c>
    </row>
    <row r="111" spans="1:32" ht="12.75" customHeight="1" hidden="1">
      <c r="A111" s="1264"/>
      <c r="B111" s="1055"/>
      <c r="C111" s="1070"/>
      <c r="D111" s="1054" t="e">
        <f>D85-D104</f>
        <v>#REF!</v>
      </c>
      <c r="E111" s="1034"/>
      <c r="F111" s="1034"/>
      <c r="G111" s="1034"/>
      <c r="H111" s="1034"/>
      <c r="I111" s="1034"/>
      <c r="J111" s="1034"/>
      <c r="K111" s="1034"/>
      <c r="L111" s="1034"/>
      <c r="M111" s="1034"/>
      <c r="N111" s="1034"/>
      <c r="O111" s="1034"/>
      <c r="P111" s="940" t="e">
        <f t="shared" si="46"/>
        <v>#REF!</v>
      </c>
      <c r="Q111" s="941" t="e">
        <f t="shared" si="47"/>
        <v>#REF!</v>
      </c>
      <c r="R111" s="942" t="e">
        <f t="shared" si="48"/>
        <v>#REF!</v>
      </c>
      <c r="S111" s="1264"/>
      <c r="T111" s="1034"/>
      <c r="U111" s="1055"/>
      <c r="V111" s="1034"/>
      <c r="W111" s="1056"/>
      <c r="X111" s="1056"/>
      <c r="Y111" s="1056"/>
      <c r="Z111" s="1056"/>
      <c r="AA111" s="1056"/>
      <c r="AB111" s="1056"/>
      <c r="AC111" s="1056"/>
      <c r="AD111" s="1056"/>
      <c r="AE111" s="1056"/>
      <c r="AF111" s="942">
        <f t="shared" si="49"/>
        <v>0</v>
      </c>
    </row>
    <row r="112" spans="1:32" ht="25.5" customHeight="1">
      <c r="A112" s="1264"/>
      <c r="B112" s="963" t="s">
        <v>768</v>
      </c>
      <c r="C112" s="945" t="s">
        <v>445</v>
      </c>
      <c r="D112" s="1054">
        <f aca="true" t="shared" si="61" ref="D112:K113">D101-D108</f>
        <v>666</v>
      </c>
      <c r="E112" s="1054">
        <f t="shared" si="61"/>
        <v>0</v>
      </c>
      <c r="F112" s="1054">
        <f t="shared" si="61"/>
        <v>8180</v>
      </c>
      <c r="G112" s="1054">
        <f t="shared" si="61"/>
        <v>0</v>
      </c>
      <c r="H112" s="1054">
        <f t="shared" si="61"/>
        <v>0</v>
      </c>
      <c r="I112" s="1054">
        <f t="shared" si="61"/>
        <v>0</v>
      </c>
      <c r="J112" s="1054">
        <f t="shared" si="61"/>
        <v>0</v>
      </c>
      <c r="K112" s="1054">
        <f t="shared" si="61"/>
        <v>0</v>
      </c>
      <c r="L112" s="1054"/>
      <c r="M112" s="1054">
        <f aca="true" t="shared" si="62" ref="M112:R113">M101-M108</f>
        <v>0</v>
      </c>
      <c r="N112" s="1054">
        <f t="shared" si="62"/>
        <v>19307</v>
      </c>
      <c r="O112" s="1054">
        <f t="shared" si="62"/>
        <v>0</v>
      </c>
      <c r="P112" s="1054">
        <f t="shared" si="62"/>
        <v>24739</v>
      </c>
      <c r="Q112" s="1054">
        <f t="shared" si="62"/>
        <v>28153</v>
      </c>
      <c r="R112" s="1073">
        <f t="shared" si="62"/>
        <v>52892</v>
      </c>
      <c r="S112" s="1264"/>
      <c r="T112" s="945" t="s">
        <v>445</v>
      </c>
      <c r="U112" s="963" t="s">
        <v>768</v>
      </c>
      <c r="V112" s="967">
        <f>V60</f>
        <v>19275</v>
      </c>
      <c r="W112" s="967">
        <f aca="true" t="shared" si="63" ref="W112:AF113">W60</f>
        <v>5141</v>
      </c>
      <c r="X112" s="967">
        <f t="shared" si="63"/>
        <v>10800</v>
      </c>
      <c r="Y112" s="967">
        <f t="shared" si="63"/>
        <v>0</v>
      </c>
      <c r="Z112" s="967">
        <f t="shared" si="63"/>
        <v>0</v>
      </c>
      <c r="AA112" s="967">
        <f t="shared" si="63"/>
        <v>17676</v>
      </c>
      <c r="AB112" s="967"/>
      <c r="AC112" s="967">
        <f t="shared" si="63"/>
        <v>0</v>
      </c>
      <c r="AD112" s="967">
        <f t="shared" si="63"/>
        <v>0</v>
      </c>
      <c r="AE112" s="967"/>
      <c r="AF112" s="967">
        <f t="shared" si="63"/>
        <v>52892</v>
      </c>
    </row>
    <row r="113" spans="1:32" ht="25.5" customHeight="1" thickBot="1">
      <c r="A113" s="1265"/>
      <c r="B113" s="1071" t="s">
        <v>768</v>
      </c>
      <c r="C113" s="1074" t="s">
        <v>416</v>
      </c>
      <c r="D113" s="1072">
        <f t="shared" si="61"/>
        <v>666</v>
      </c>
      <c r="E113" s="1072">
        <f t="shared" si="61"/>
        <v>0</v>
      </c>
      <c r="F113" s="1072">
        <f t="shared" si="61"/>
        <v>8180</v>
      </c>
      <c r="G113" s="1072">
        <f t="shared" si="61"/>
        <v>0</v>
      </c>
      <c r="H113" s="1072">
        <f t="shared" si="61"/>
        <v>677</v>
      </c>
      <c r="I113" s="1072">
        <f t="shared" si="61"/>
        <v>0</v>
      </c>
      <c r="J113" s="1072">
        <f t="shared" si="61"/>
        <v>0</v>
      </c>
      <c r="K113" s="1072">
        <f t="shared" si="61"/>
        <v>0</v>
      </c>
      <c r="L113" s="1072"/>
      <c r="M113" s="1072">
        <f t="shared" si="62"/>
        <v>0</v>
      </c>
      <c r="N113" s="1072">
        <f t="shared" si="62"/>
        <v>19307</v>
      </c>
      <c r="O113" s="1072">
        <f t="shared" si="62"/>
        <v>0</v>
      </c>
      <c r="P113" s="1072">
        <f t="shared" si="62"/>
        <v>27708</v>
      </c>
      <c r="Q113" s="1072">
        <f t="shared" si="62"/>
        <v>28830</v>
      </c>
      <c r="R113" s="1072">
        <f t="shared" si="62"/>
        <v>56538</v>
      </c>
      <c r="S113" s="1265"/>
      <c r="T113" s="1074" t="s">
        <v>416</v>
      </c>
      <c r="U113" s="1071" t="s">
        <v>768</v>
      </c>
      <c r="V113" s="1075">
        <f>V61</f>
        <v>20108</v>
      </c>
      <c r="W113" s="1075">
        <f t="shared" si="63"/>
        <v>5354</v>
      </c>
      <c r="X113" s="1075">
        <f t="shared" si="63"/>
        <v>10800</v>
      </c>
      <c r="Y113" s="1075">
        <f t="shared" si="63"/>
        <v>0</v>
      </c>
      <c r="Z113" s="1075">
        <f t="shared" si="63"/>
        <v>0</v>
      </c>
      <c r="AA113" s="1075">
        <f t="shared" si="63"/>
        <v>17676</v>
      </c>
      <c r="AB113" s="1075">
        <f t="shared" si="63"/>
        <v>0</v>
      </c>
      <c r="AC113" s="1075">
        <f t="shared" si="63"/>
        <v>2600</v>
      </c>
      <c r="AD113" s="1075">
        <f t="shared" si="63"/>
        <v>0</v>
      </c>
      <c r="AE113" s="1075">
        <f t="shared" si="63"/>
        <v>0</v>
      </c>
      <c r="AF113" s="1075">
        <f t="shared" si="63"/>
        <v>56538</v>
      </c>
    </row>
    <row r="114" spans="1:32" ht="25.5" customHeight="1">
      <c r="A114" s="975"/>
      <c r="B114" s="969"/>
      <c r="C114" s="976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4"/>
      <c r="S114" s="975"/>
      <c r="T114" s="976"/>
      <c r="U114" s="969"/>
      <c r="V114" s="971"/>
      <c r="W114" s="971"/>
      <c r="X114" s="971"/>
      <c r="Y114" s="971"/>
      <c r="Z114" s="971"/>
      <c r="AA114" s="971"/>
      <c r="AB114" s="971"/>
      <c r="AC114" s="971"/>
      <c r="AD114" s="971"/>
      <c r="AE114" s="971"/>
      <c r="AF114" s="971"/>
    </row>
    <row r="115" spans="1:32" ht="25.5" customHeight="1">
      <c r="A115" s="975"/>
      <c r="B115" s="969"/>
      <c r="C115" s="976"/>
      <c r="D115" s="964"/>
      <c r="E115" s="964"/>
      <c r="F115" s="964"/>
      <c r="G115" s="964"/>
      <c r="H115" s="964"/>
      <c r="I115" s="964"/>
      <c r="J115" s="964"/>
      <c r="K115" s="964"/>
      <c r="L115" s="964"/>
      <c r="M115" s="964"/>
      <c r="N115" s="964"/>
      <c r="O115" s="964"/>
      <c r="P115" s="964"/>
      <c r="Q115" s="964"/>
      <c r="R115" s="964"/>
      <c r="S115" s="975"/>
      <c r="T115" s="976"/>
      <c r="U115" s="969"/>
      <c r="V115" s="971"/>
      <c r="W115" s="971"/>
      <c r="X115" s="971"/>
      <c r="Y115" s="971"/>
      <c r="Z115" s="971"/>
      <c r="AA115" s="971"/>
      <c r="AB115" s="971"/>
      <c r="AC115" s="971"/>
      <c r="AD115" s="971"/>
      <c r="AE115" s="971"/>
      <c r="AF115" s="971"/>
    </row>
    <row r="116" spans="1:32" ht="25.5" customHeight="1">
      <c r="A116" s="975"/>
      <c r="B116" s="969"/>
      <c r="C116" s="976"/>
      <c r="D116" s="964"/>
      <c r="E116" s="964"/>
      <c r="F116" s="964"/>
      <c r="G116" s="964"/>
      <c r="H116" s="964"/>
      <c r="I116" s="964"/>
      <c r="J116" s="964"/>
      <c r="K116" s="964"/>
      <c r="L116" s="964"/>
      <c r="M116" s="964"/>
      <c r="N116" s="964"/>
      <c r="O116" s="964"/>
      <c r="P116" s="964"/>
      <c r="Q116" s="964"/>
      <c r="R116" s="964"/>
      <c r="S116" s="975"/>
      <c r="T116" s="976"/>
      <c r="U116" s="969"/>
      <c r="V116" s="971"/>
      <c r="W116" s="971"/>
      <c r="X116" s="971"/>
      <c r="Y116" s="971"/>
      <c r="Z116" s="971"/>
      <c r="AA116" s="971"/>
      <c r="AB116" s="971"/>
      <c r="AC116" s="971"/>
      <c r="AD116" s="971"/>
      <c r="AE116" s="971"/>
      <c r="AF116" s="971"/>
    </row>
    <row r="117" spans="1:32" ht="25.5" customHeight="1">
      <c r="A117" s="975"/>
      <c r="B117" s="969"/>
      <c r="C117" s="976"/>
      <c r="D117" s="964"/>
      <c r="E117" s="964"/>
      <c r="F117" s="964"/>
      <c r="G117" s="964"/>
      <c r="H117" s="964"/>
      <c r="I117" s="964"/>
      <c r="J117" s="964"/>
      <c r="K117" s="964"/>
      <c r="L117" s="964"/>
      <c r="M117" s="964"/>
      <c r="N117" s="964"/>
      <c r="O117" s="964"/>
      <c r="P117" s="964"/>
      <c r="Q117" s="964"/>
      <c r="R117" s="964"/>
      <c r="S117" s="975"/>
      <c r="T117" s="976"/>
      <c r="U117" s="969"/>
      <c r="V117" s="971"/>
      <c r="W117" s="971"/>
      <c r="X117" s="971"/>
      <c r="Y117" s="971"/>
      <c r="Z117" s="971"/>
      <c r="AA117" s="971"/>
      <c r="AB117" s="971"/>
      <c r="AC117" s="971"/>
      <c r="AD117" s="971"/>
      <c r="AE117" s="971"/>
      <c r="AF117" s="971"/>
    </row>
    <row r="118" spans="1:32" ht="25.5" customHeight="1">
      <c r="A118" s="975"/>
      <c r="B118" s="969"/>
      <c r="C118" s="976"/>
      <c r="D118" s="964"/>
      <c r="E118" s="964"/>
      <c r="F118" s="964"/>
      <c r="G118" s="964"/>
      <c r="H118" s="964"/>
      <c r="I118" s="964"/>
      <c r="J118" s="964"/>
      <c r="K118" s="964"/>
      <c r="L118" s="964"/>
      <c r="M118" s="964"/>
      <c r="N118" s="964"/>
      <c r="O118" s="964"/>
      <c r="P118" s="964"/>
      <c r="Q118" s="964"/>
      <c r="R118" s="964"/>
      <c r="S118" s="975"/>
      <c r="T118" s="976"/>
      <c r="U118" s="969"/>
      <c r="V118" s="971"/>
      <c r="W118" s="971"/>
      <c r="X118" s="971"/>
      <c r="Y118" s="971"/>
      <c r="Z118" s="971"/>
      <c r="AA118" s="971"/>
      <c r="AB118" s="971"/>
      <c r="AC118" s="971"/>
      <c r="AD118" s="971"/>
      <c r="AE118" s="971"/>
      <c r="AF118" s="971"/>
    </row>
    <row r="119" spans="1:32" ht="25.5" customHeight="1">
      <c r="A119" s="975"/>
      <c r="B119" s="969"/>
      <c r="C119" s="976"/>
      <c r="D119" s="964"/>
      <c r="E119" s="964"/>
      <c r="F119" s="964"/>
      <c r="G119" s="964"/>
      <c r="H119" s="964"/>
      <c r="I119" s="964"/>
      <c r="J119" s="964"/>
      <c r="K119" s="964"/>
      <c r="L119" s="964"/>
      <c r="M119" s="964"/>
      <c r="N119" s="964"/>
      <c r="O119" s="964"/>
      <c r="P119" s="964"/>
      <c r="Q119" s="964"/>
      <c r="R119" s="964"/>
      <c r="S119" s="975"/>
      <c r="T119" s="976"/>
      <c r="U119" s="969"/>
      <c r="V119" s="971"/>
      <c r="W119" s="971"/>
      <c r="X119" s="971"/>
      <c r="Y119" s="971"/>
      <c r="Z119" s="971"/>
      <c r="AA119" s="971"/>
      <c r="AB119" s="971"/>
      <c r="AC119" s="971"/>
      <c r="AD119" s="971"/>
      <c r="AE119" s="971"/>
      <c r="AF119" s="971"/>
    </row>
    <row r="120" spans="1:32" ht="25.5" customHeight="1">
      <c r="A120" s="975"/>
      <c r="B120" s="969"/>
      <c r="C120" s="976"/>
      <c r="D120" s="964"/>
      <c r="E120" s="964"/>
      <c r="F120" s="964"/>
      <c r="G120" s="964"/>
      <c r="H120" s="964"/>
      <c r="I120" s="964"/>
      <c r="J120" s="964"/>
      <c r="K120" s="964"/>
      <c r="L120" s="964"/>
      <c r="M120" s="964"/>
      <c r="N120" s="964"/>
      <c r="O120" s="964"/>
      <c r="P120" s="964"/>
      <c r="Q120" s="964"/>
      <c r="R120" s="964"/>
      <c r="S120" s="975"/>
      <c r="T120" s="976"/>
      <c r="U120" s="969"/>
      <c r="V120" s="971"/>
      <c r="W120" s="971"/>
      <c r="X120" s="971"/>
      <c r="Y120" s="971"/>
      <c r="Z120" s="971"/>
      <c r="AA120" s="971"/>
      <c r="AB120" s="971"/>
      <c r="AC120" s="971"/>
      <c r="AD120" s="971"/>
      <c r="AE120" s="971"/>
      <c r="AF120" s="971"/>
    </row>
    <row r="121" spans="1:32" ht="25.5" customHeight="1">
      <c r="A121" s="975"/>
      <c r="B121" s="969"/>
      <c r="C121" s="976"/>
      <c r="D121" s="964"/>
      <c r="E121" s="964"/>
      <c r="F121" s="964"/>
      <c r="G121" s="964"/>
      <c r="H121" s="964"/>
      <c r="I121" s="964"/>
      <c r="J121" s="964"/>
      <c r="K121" s="964"/>
      <c r="L121" s="964"/>
      <c r="M121" s="964"/>
      <c r="N121" s="964"/>
      <c r="O121" s="964"/>
      <c r="P121" s="964"/>
      <c r="Q121" s="964"/>
      <c r="R121" s="964"/>
      <c r="S121" s="975"/>
      <c r="T121" s="976"/>
      <c r="U121" s="969"/>
      <c r="V121" s="971"/>
      <c r="W121" s="971"/>
      <c r="X121" s="971"/>
      <c r="Y121" s="971"/>
      <c r="Z121" s="971"/>
      <c r="AA121" s="971"/>
      <c r="AB121" s="971"/>
      <c r="AC121" s="971"/>
      <c r="AD121" s="971"/>
      <c r="AE121" s="971"/>
      <c r="AF121" s="971"/>
    </row>
    <row r="122" spans="1:32" ht="25.5" customHeight="1">
      <c r="A122" s="975"/>
      <c r="B122" s="969"/>
      <c r="C122" s="976"/>
      <c r="D122" s="964"/>
      <c r="E122" s="964"/>
      <c r="F122" s="964"/>
      <c r="G122" s="964"/>
      <c r="H122" s="964"/>
      <c r="I122" s="964"/>
      <c r="J122" s="964"/>
      <c r="K122" s="964"/>
      <c r="L122" s="964"/>
      <c r="M122" s="964"/>
      <c r="N122" s="964"/>
      <c r="O122" s="964"/>
      <c r="P122" s="964"/>
      <c r="Q122" s="964"/>
      <c r="R122" s="964"/>
      <c r="S122" s="975"/>
      <c r="T122" s="976"/>
      <c r="U122" s="969"/>
      <c r="V122" s="971"/>
      <c r="W122" s="971"/>
      <c r="X122" s="971"/>
      <c r="Y122" s="971"/>
      <c r="Z122" s="971"/>
      <c r="AA122" s="971"/>
      <c r="AB122" s="971"/>
      <c r="AC122" s="971"/>
      <c r="AD122" s="971"/>
      <c r="AE122" s="971"/>
      <c r="AF122" s="971"/>
    </row>
    <row r="123" spans="1:32" ht="25.5" customHeight="1">
      <c r="A123" s="975"/>
      <c r="B123" s="969"/>
      <c r="C123" s="976"/>
      <c r="D123" s="964"/>
      <c r="E123" s="964"/>
      <c r="F123" s="964"/>
      <c r="G123" s="964"/>
      <c r="H123" s="964"/>
      <c r="I123" s="964"/>
      <c r="J123" s="964"/>
      <c r="K123" s="964"/>
      <c r="L123" s="964"/>
      <c r="M123" s="964"/>
      <c r="N123" s="964"/>
      <c r="O123" s="964"/>
      <c r="P123" s="964"/>
      <c r="Q123" s="964"/>
      <c r="R123" s="964"/>
      <c r="S123" s="975"/>
      <c r="T123" s="976"/>
      <c r="U123" s="969"/>
      <c r="V123" s="971"/>
      <c r="W123" s="971"/>
      <c r="X123" s="971"/>
      <c r="Y123" s="971"/>
      <c r="Z123" s="971"/>
      <c r="AA123" s="971"/>
      <c r="AB123" s="971"/>
      <c r="AC123" s="971"/>
      <c r="AD123" s="971"/>
      <c r="AE123" s="971"/>
      <c r="AF123" s="971"/>
    </row>
    <row r="124" spans="1:32" ht="25.5" customHeight="1">
      <c r="A124" s="975"/>
      <c r="B124" s="969"/>
      <c r="C124" s="976"/>
      <c r="D124" s="964"/>
      <c r="E124" s="964"/>
      <c r="F124" s="964"/>
      <c r="G124" s="964"/>
      <c r="H124" s="964"/>
      <c r="I124" s="964"/>
      <c r="J124" s="964"/>
      <c r="K124" s="964"/>
      <c r="L124" s="964"/>
      <c r="M124" s="964"/>
      <c r="N124" s="964"/>
      <c r="O124" s="964"/>
      <c r="P124" s="964"/>
      <c r="Q124" s="964"/>
      <c r="R124" s="964"/>
      <c r="S124" s="975"/>
      <c r="T124" s="976"/>
      <c r="U124" s="969"/>
      <c r="V124" s="971"/>
      <c r="W124" s="971"/>
      <c r="X124" s="971"/>
      <c r="Y124" s="971"/>
      <c r="Z124" s="971"/>
      <c r="AA124" s="971"/>
      <c r="AB124" s="971"/>
      <c r="AC124" s="971"/>
      <c r="AD124" s="971"/>
      <c r="AE124" s="971"/>
      <c r="AF124" s="971"/>
    </row>
    <row r="125" spans="1:32" ht="25.5" customHeight="1">
      <c r="A125" s="975"/>
      <c r="B125" s="969"/>
      <c r="C125" s="976"/>
      <c r="D125" s="964"/>
      <c r="E125" s="964"/>
      <c r="F125" s="964"/>
      <c r="G125" s="964"/>
      <c r="H125" s="964"/>
      <c r="I125" s="964"/>
      <c r="J125" s="964"/>
      <c r="K125" s="964"/>
      <c r="L125" s="964"/>
      <c r="M125" s="964"/>
      <c r="N125" s="964"/>
      <c r="O125" s="964"/>
      <c r="P125" s="964"/>
      <c r="Q125" s="964"/>
      <c r="R125" s="964"/>
      <c r="S125" s="975"/>
      <c r="T125" s="976"/>
      <c r="U125" s="969"/>
      <c r="V125" s="971"/>
      <c r="W125" s="971"/>
      <c r="X125" s="971"/>
      <c r="Y125" s="971"/>
      <c r="Z125" s="971"/>
      <c r="AA125" s="971"/>
      <c r="AB125" s="971"/>
      <c r="AC125" s="971"/>
      <c r="AD125" s="971"/>
      <c r="AE125" s="971"/>
      <c r="AF125" s="971"/>
    </row>
    <row r="126" spans="1:32" ht="25.5" customHeight="1">
      <c r="A126" s="975"/>
      <c r="B126" s="969"/>
      <c r="C126" s="976"/>
      <c r="D126" s="964"/>
      <c r="E126" s="964"/>
      <c r="F126" s="964"/>
      <c r="G126" s="964"/>
      <c r="H126" s="964"/>
      <c r="I126" s="964"/>
      <c r="J126" s="964"/>
      <c r="K126" s="964"/>
      <c r="L126" s="964"/>
      <c r="M126" s="964"/>
      <c r="N126" s="964"/>
      <c r="O126" s="964"/>
      <c r="P126" s="964"/>
      <c r="Q126" s="964"/>
      <c r="R126" s="964"/>
      <c r="S126" s="975"/>
      <c r="T126" s="976"/>
      <c r="U126" s="969"/>
      <c r="V126" s="971"/>
      <c r="W126" s="971"/>
      <c r="X126" s="971"/>
      <c r="Y126" s="971"/>
      <c r="Z126" s="971"/>
      <c r="AA126" s="971"/>
      <c r="AB126" s="971"/>
      <c r="AC126" s="971"/>
      <c r="AD126" s="971"/>
      <c r="AE126" s="971"/>
      <c r="AF126" s="971"/>
    </row>
    <row r="127" spans="1:32" ht="25.5" customHeight="1">
      <c r="A127" s="975"/>
      <c r="B127" s="969"/>
      <c r="C127" s="976"/>
      <c r="D127" s="964"/>
      <c r="E127" s="964"/>
      <c r="F127" s="964"/>
      <c r="G127" s="964"/>
      <c r="H127" s="964"/>
      <c r="I127" s="964"/>
      <c r="J127" s="964"/>
      <c r="K127" s="964"/>
      <c r="L127" s="964"/>
      <c r="M127" s="964"/>
      <c r="N127" s="964"/>
      <c r="O127" s="964"/>
      <c r="P127" s="964"/>
      <c r="Q127" s="964"/>
      <c r="R127" s="964"/>
      <c r="S127" s="975"/>
      <c r="T127" s="976"/>
      <c r="U127" s="969"/>
      <c r="V127" s="971"/>
      <c r="W127" s="971"/>
      <c r="X127" s="971"/>
      <c r="Y127" s="971"/>
      <c r="Z127" s="971"/>
      <c r="AA127" s="971"/>
      <c r="AB127" s="971"/>
      <c r="AC127" s="971"/>
      <c r="AD127" s="971"/>
      <c r="AE127" s="971"/>
      <c r="AF127" s="971"/>
    </row>
    <row r="128" spans="1:32" ht="25.5" customHeight="1">
      <c r="A128" s="975"/>
      <c r="B128" s="969"/>
      <c r="C128" s="976"/>
      <c r="D128" s="964"/>
      <c r="E128" s="964"/>
      <c r="F128" s="964"/>
      <c r="G128" s="964"/>
      <c r="H128" s="964"/>
      <c r="I128" s="964"/>
      <c r="J128" s="964"/>
      <c r="K128" s="964"/>
      <c r="L128" s="964"/>
      <c r="M128" s="964"/>
      <c r="N128" s="964"/>
      <c r="O128" s="964"/>
      <c r="P128" s="964"/>
      <c r="Q128" s="964"/>
      <c r="R128" s="964"/>
      <c r="S128" s="975"/>
      <c r="T128" s="976"/>
      <c r="U128" s="969"/>
      <c r="V128" s="971"/>
      <c r="W128" s="971"/>
      <c r="X128" s="971"/>
      <c r="Y128" s="971"/>
      <c r="Z128" s="971"/>
      <c r="AA128" s="971"/>
      <c r="AB128" s="971"/>
      <c r="AC128" s="971"/>
      <c r="AD128" s="971"/>
      <c r="AE128" s="971"/>
      <c r="AF128" s="971"/>
    </row>
    <row r="129" spans="1:32" ht="25.5" customHeight="1">
      <c r="A129" s="975"/>
      <c r="B129" s="969"/>
      <c r="C129" s="976"/>
      <c r="D129" s="964"/>
      <c r="E129" s="964"/>
      <c r="F129" s="964"/>
      <c r="G129" s="964"/>
      <c r="H129" s="964"/>
      <c r="I129" s="964"/>
      <c r="J129" s="964"/>
      <c r="K129" s="964"/>
      <c r="L129" s="964"/>
      <c r="M129" s="964"/>
      <c r="N129" s="964"/>
      <c r="O129" s="964"/>
      <c r="P129" s="964"/>
      <c r="Q129" s="964"/>
      <c r="R129" s="964"/>
      <c r="S129" s="975"/>
      <c r="T129" s="976"/>
      <c r="U129" s="969"/>
      <c r="V129" s="971"/>
      <c r="W129" s="971"/>
      <c r="X129" s="971"/>
      <c r="Y129" s="971"/>
      <c r="Z129" s="971"/>
      <c r="AA129" s="971"/>
      <c r="AB129" s="971"/>
      <c r="AC129" s="971"/>
      <c r="AD129" s="971"/>
      <c r="AE129" s="971"/>
      <c r="AF129" s="971"/>
    </row>
    <row r="130" spans="1:32" ht="25.5" customHeight="1">
      <c r="A130" s="968"/>
      <c r="B130" s="969"/>
      <c r="C130" s="970"/>
      <c r="D130" s="964"/>
      <c r="E130" s="964"/>
      <c r="F130" s="964"/>
      <c r="G130" s="964"/>
      <c r="H130" s="964"/>
      <c r="I130" s="964"/>
      <c r="J130" s="964"/>
      <c r="K130" s="964"/>
      <c r="L130" s="964"/>
      <c r="M130" s="964"/>
      <c r="N130" s="964"/>
      <c r="O130" s="964"/>
      <c r="P130" s="964"/>
      <c r="Q130" s="964"/>
      <c r="R130" s="964"/>
      <c r="S130" s="968"/>
      <c r="T130" s="970"/>
      <c r="U130" s="969"/>
      <c r="V130" s="971"/>
      <c r="W130" s="971"/>
      <c r="X130" s="971"/>
      <c r="Y130" s="971"/>
      <c r="Z130" s="971"/>
      <c r="AA130" s="971"/>
      <c r="AB130" s="971"/>
      <c r="AC130" s="971"/>
      <c r="AD130" s="971"/>
      <c r="AE130" s="971"/>
      <c r="AF130" s="971"/>
    </row>
    <row r="131" spans="3:32" ht="12.75">
      <c r="C131" s="972"/>
      <c r="D131" s="944"/>
      <c r="E131" s="944"/>
      <c r="F131" s="944"/>
      <c r="G131" s="944"/>
      <c r="H131" s="944"/>
      <c r="I131" s="944"/>
      <c r="J131" s="944"/>
      <c r="K131" s="944"/>
      <c r="L131" s="944"/>
      <c r="M131" s="944"/>
      <c r="N131" s="944"/>
      <c r="O131" s="944"/>
      <c r="P131" s="944"/>
      <c r="Q131" s="944"/>
      <c r="R131" s="944"/>
      <c r="S131" s="944"/>
      <c r="T131" s="944"/>
      <c r="U131" s="944"/>
      <c r="V131" s="944"/>
      <c r="W131" s="944"/>
      <c r="X131" s="944"/>
      <c r="Y131" s="944"/>
      <c r="Z131" s="944"/>
      <c r="AA131" s="944"/>
      <c r="AB131" s="944"/>
      <c r="AC131" s="944"/>
      <c r="AD131" s="944"/>
      <c r="AE131" s="944"/>
      <c r="AF131" s="944"/>
    </row>
    <row r="132" spans="3:32" ht="12.75">
      <c r="C132" s="970"/>
      <c r="D132" s="944"/>
      <c r="E132" s="944"/>
      <c r="F132" s="944"/>
      <c r="G132" s="944"/>
      <c r="H132" s="944"/>
      <c r="I132" s="944"/>
      <c r="J132" s="944"/>
      <c r="K132" s="944"/>
      <c r="L132" s="944"/>
      <c r="M132" s="944"/>
      <c r="N132" s="944"/>
      <c r="O132" s="944"/>
      <c r="P132" s="944"/>
      <c r="Q132" s="944"/>
      <c r="R132" s="944"/>
      <c r="S132" s="944"/>
      <c r="T132" s="944"/>
      <c r="U132" s="944"/>
      <c r="V132" s="944"/>
      <c r="W132" s="944"/>
      <c r="X132" s="944"/>
      <c r="Y132" s="944"/>
      <c r="Z132" s="944"/>
      <c r="AA132" s="944"/>
      <c r="AB132" s="944"/>
      <c r="AC132" s="944"/>
      <c r="AD132" s="944"/>
      <c r="AE132" s="944"/>
      <c r="AF132" s="944"/>
    </row>
    <row r="133" spans="4:32" ht="12.75">
      <c r="D133" s="944"/>
      <c r="E133" s="944"/>
      <c r="F133" s="944"/>
      <c r="G133" s="944"/>
      <c r="H133" s="944"/>
      <c r="I133" s="944"/>
      <c r="J133" s="944"/>
      <c r="K133" s="944"/>
      <c r="L133" s="944"/>
      <c r="M133" s="944"/>
      <c r="N133" s="944"/>
      <c r="O133" s="944"/>
      <c r="P133" s="957"/>
      <c r="Q133" s="944"/>
      <c r="R133" s="944"/>
      <c r="S133" s="944"/>
      <c r="T133" s="944"/>
      <c r="U133" s="944"/>
      <c r="V133" s="957"/>
      <c r="W133" s="944"/>
      <c r="X133" s="944"/>
      <c r="Y133" s="944"/>
      <c r="Z133" s="944"/>
      <c r="AA133" s="944"/>
      <c r="AB133" s="944"/>
      <c r="AC133" s="944"/>
      <c r="AD133" s="944"/>
      <c r="AE133" s="944"/>
      <c r="AF133" s="944"/>
    </row>
    <row r="134" spans="23:32" ht="12.75">
      <c r="W134" s="944"/>
      <c r="X134" s="944"/>
      <c r="Y134" s="944"/>
      <c r="Z134" s="944"/>
      <c r="AA134" s="944"/>
      <c r="AB134" s="944"/>
      <c r="AC134" s="944"/>
      <c r="AD134" s="944"/>
      <c r="AE134" s="944"/>
      <c r="AF134" s="944"/>
    </row>
    <row r="135" spans="23:32" ht="12.75">
      <c r="W135" s="944"/>
      <c r="X135" s="944"/>
      <c r="Y135" s="944"/>
      <c r="Z135" s="944"/>
      <c r="AA135" s="944"/>
      <c r="AB135" s="944"/>
      <c r="AC135" s="944"/>
      <c r="AD135" s="944"/>
      <c r="AE135" s="944"/>
      <c r="AF135" s="944"/>
    </row>
    <row r="136" spans="23:32" ht="12.75">
      <c r="W136" s="944"/>
      <c r="X136" s="944"/>
      <c r="Y136" s="944"/>
      <c r="Z136" s="944"/>
      <c r="AA136" s="944"/>
      <c r="AB136" s="944"/>
      <c r="AC136" s="944"/>
      <c r="AD136" s="944"/>
      <c r="AE136" s="944"/>
      <c r="AF136" s="944"/>
    </row>
  </sheetData>
  <mergeCells count="77">
    <mergeCell ref="F2:F3"/>
    <mergeCell ref="G2:G3"/>
    <mergeCell ref="J2:L2"/>
    <mergeCell ref="A4:A7"/>
    <mergeCell ref="S1:AF1"/>
    <mergeCell ref="AC2:AD2"/>
    <mergeCell ref="T3:U3"/>
    <mergeCell ref="R2:R3"/>
    <mergeCell ref="AF2:AF3"/>
    <mergeCell ref="T2:AA2"/>
    <mergeCell ref="A1:Q1"/>
    <mergeCell ref="N2:O2"/>
    <mergeCell ref="P2:P3"/>
    <mergeCell ref="Q2:Q3"/>
    <mergeCell ref="A2:A3"/>
    <mergeCell ref="B2:C3"/>
    <mergeCell ref="H2:I2"/>
    <mergeCell ref="M2:M3"/>
    <mergeCell ref="D2:D3"/>
    <mergeCell ref="E2:E3"/>
    <mergeCell ref="A8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8"/>
    <mergeCell ref="A59:A61"/>
    <mergeCell ref="A62:A64"/>
    <mergeCell ref="A65:A67"/>
    <mergeCell ref="A68:A70"/>
    <mergeCell ref="A71:A73"/>
    <mergeCell ref="A74:A76"/>
    <mergeCell ref="A77:A79"/>
    <mergeCell ref="A80:A82"/>
    <mergeCell ref="A84:A102"/>
    <mergeCell ref="A103:A109"/>
    <mergeCell ref="A110:A113"/>
    <mergeCell ref="S4:S7"/>
    <mergeCell ref="S8:S11"/>
    <mergeCell ref="S12:S14"/>
    <mergeCell ref="S15:S17"/>
    <mergeCell ref="S18:S20"/>
    <mergeCell ref="S21:S23"/>
    <mergeCell ref="S24:S26"/>
    <mergeCell ref="S27:S29"/>
    <mergeCell ref="S30:S32"/>
    <mergeCell ref="S33:S35"/>
    <mergeCell ref="S36:S38"/>
    <mergeCell ref="S39:S41"/>
    <mergeCell ref="S42:S44"/>
    <mergeCell ref="S45:S47"/>
    <mergeCell ref="S48:S50"/>
    <mergeCell ref="S51:S53"/>
    <mergeCell ref="S54:S56"/>
    <mergeCell ref="S57:S58"/>
    <mergeCell ref="S59:S61"/>
    <mergeCell ref="S62:S64"/>
    <mergeCell ref="S65:S67"/>
    <mergeCell ref="S68:S70"/>
    <mergeCell ref="S71:S73"/>
    <mergeCell ref="S74:S76"/>
    <mergeCell ref="S110:S113"/>
    <mergeCell ref="S77:S79"/>
    <mergeCell ref="S80:S82"/>
    <mergeCell ref="S84:S102"/>
    <mergeCell ref="S103:S109"/>
  </mergeCells>
  <printOptions horizontalCentered="1"/>
  <pageMargins left="0.7874015748031497" right="0.7874015748031497" top="0.35" bottom="0.24" header="0.22" footer="0.16"/>
  <pageSetup horizontalDpi="600" verticalDpi="600" orientation="landscape" paperSize="9" scale="78" r:id="rId1"/>
  <headerFooter alignWithMargins="0">
    <oddHeader>&amp;L6. melléklet a 24/2013.(IX.13.) önkormányzati rendelethez
"6. melléklet az 1/2013.(II.01.) önkormányzati rendelethez"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</dc:creator>
  <cp:keywords/>
  <dc:description/>
  <cp:lastModifiedBy>moni</cp:lastModifiedBy>
  <cp:lastPrinted>2013-09-11T12:34:44Z</cp:lastPrinted>
  <dcterms:created xsi:type="dcterms:W3CDTF">2013-04-22T15:57:07Z</dcterms:created>
  <dcterms:modified xsi:type="dcterms:W3CDTF">2013-09-11T12:35:03Z</dcterms:modified>
  <cp:category/>
  <cp:version/>
  <cp:contentType/>
  <cp:contentStatus/>
</cp:coreProperties>
</file>