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6255" firstSheet="10" activeTab="13"/>
  </bookViews>
  <sheets>
    <sheet name="1.sz. melléklet" sheetId="1" r:id="rId1"/>
    <sheet name="1.a1.b. melléklet" sheetId="2" r:id="rId2"/>
    <sheet name="2. sz. melléklet" sheetId="3" r:id="rId3"/>
    <sheet name="3.sz. melléklet" sheetId="4" r:id="rId4"/>
    <sheet name="4. sz. melléklet" sheetId="5" r:id="rId5"/>
    <sheet name="5. sz. melléklet" sheetId="6" r:id="rId6"/>
    <sheet name="6. sz. melléklet" sheetId="7" r:id="rId7"/>
    <sheet name="7. sz. melléklet" sheetId="8" r:id="rId8"/>
    <sheet name="8. sz. melléklet" sheetId="9" r:id="rId9"/>
    <sheet name="9. sz. melléklet" sheetId="10" r:id="rId10"/>
    <sheet name="10. sz. melléklet" sheetId="11" r:id="rId11"/>
    <sheet name="11. sz. melléklet" sheetId="12" r:id="rId12"/>
    <sheet name="12. sz. melléklet" sheetId="13" r:id="rId13"/>
    <sheet name="13. sz. melléklet" sheetId="14" r:id="rId14"/>
  </sheets>
  <definedNames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<sst xmlns="http://schemas.openxmlformats.org/spreadsheetml/2006/main" count="1692" uniqueCount="824">
  <si>
    <t>Angol park rehabilitációja</t>
  </si>
  <si>
    <t>Kocsi u.-Dózsa Gy.u.kerékpárút építés</t>
  </si>
  <si>
    <t>Fáklya u.-Diófa u. korszerűsítése</t>
  </si>
  <si>
    <t>József A. u. vízrendezése</t>
  </si>
  <si>
    <t>Kossuth tér rehabilitációja</t>
  </si>
  <si>
    <t>Kajakház-Öreg-tavi kerékpárút</t>
  </si>
  <si>
    <t>Új u.-i.Bölcsőde férőhely bővítés</t>
  </si>
  <si>
    <t>Polgármesteri Hivatal akadálymentesítése</t>
  </si>
  <si>
    <t xml:space="preserve"> </t>
  </si>
  <si>
    <t xml:space="preserve">  </t>
  </si>
  <si>
    <t>Felújítási feladatok 2010. évi költségvetésből:</t>
  </si>
  <si>
    <t>Felhasználási javaslat  összege a 2010. évi költségvetésben:</t>
  </si>
  <si>
    <t>Kötvénykibocsátásból tervezett kiadások</t>
  </si>
  <si>
    <t>Megbízási szerződés szerint fizetendő díj (Budapest Priv-Invest Kft-nek)</t>
  </si>
  <si>
    <t>Kötvény után fizetendő kamat</t>
  </si>
  <si>
    <t xml:space="preserve"> - THAC kézilabda szakosztály támogatása</t>
  </si>
  <si>
    <t>Gondoskodó kistérség,szociális alapellátások minőségi fejlesztése projekt</t>
  </si>
  <si>
    <t xml:space="preserve"> - Jázmin u. 22-24. ingatlanok megvásárlása 472/2009./XII.16./ sz. határozat (további 20.000 E Ft 2011-ben esedékes)</t>
  </si>
  <si>
    <t>Üzletrész értékesítés</t>
  </si>
  <si>
    <t xml:space="preserve"> - üzletrész értékesítés</t>
  </si>
  <si>
    <t xml:space="preserve"> - Baji út  korszerűsítése KKK-nak</t>
  </si>
  <si>
    <t>Ingatlan, üzletrész értékesítés</t>
  </si>
  <si>
    <t xml:space="preserve"> - Kocsi u.-Környei u-i jelzőlámparendszer kiépítésére</t>
  </si>
  <si>
    <t xml:space="preserve"> - Május 1.u.-Almási u.direktág kivitelezésére Útpénztárnak</t>
  </si>
  <si>
    <t xml:space="preserve"> - Panel Programra,Öko-programra,NEP-pályázatokra</t>
  </si>
  <si>
    <t xml:space="preserve"> - Új u-i vízfolyás alsó szakasz kotrás</t>
  </si>
  <si>
    <t xml:space="preserve"> - bírság (környezetvédelmi 500, közterület 3000, építés 1500)</t>
  </si>
  <si>
    <t>Egyéb célra kölcsönnyújtás</t>
  </si>
  <si>
    <t xml:space="preserve"> - egyes jöv. pótló támog. kieg. 116.225, közcélú tám 74.000)</t>
  </si>
  <si>
    <t xml:space="preserve"> - központosított támogatás  </t>
  </si>
  <si>
    <t xml:space="preserve"> - Országgyűlési választások miatt átlagbér megtérítés GDF SUEZ-nek</t>
  </si>
  <si>
    <t xml:space="preserve"> - Általános tartalékból</t>
  </si>
  <si>
    <t xml:space="preserve">  -- Történelmi Igazságtételi Bizottság 56-os tagozatának </t>
  </si>
  <si>
    <t xml:space="preserve">  -- KEM Önkormányzat Múzeumainak Igazgatósága </t>
  </si>
  <si>
    <t xml:space="preserve">  -- Pusztinai Házért Egyesület </t>
  </si>
  <si>
    <t xml:space="preserve"> - Országos Mentőszolgálat Közép-dunántúli Regionális Mentőszervezet </t>
  </si>
  <si>
    <t xml:space="preserve"> - Tatabánya Város Hivatalos Tűzoltóság </t>
  </si>
  <si>
    <t xml:space="preserve"> - Háztűzőrző Nők és Anyák Egyesülete</t>
  </si>
  <si>
    <t xml:space="preserve"> - Bláthy Ottó Szakközépiskola és Szakiskola és Kollégium</t>
  </si>
  <si>
    <t xml:space="preserve"> - Agostyáni Önkéntes Tűzoltó Egyesület </t>
  </si>
  <si>
    <t xml:space="preserve"> - Csillag-virág Keresztény Családi Napközi</t>
  </si>
  <si>
    <t xml:space="preserve"> - Hódy Sportegyesület</t>
  </si>
  <si>
    <t xml:space="preserve"> - OMS Tata Vívó Sportegyesület</t>
  </si>
  <si>
    <t xml:space="preserve"> - Tatai Sportegyesület</t>
  </si>
  <si>
    <t xml:space="preserve"> - Aréna SE </t>
  </si>
  <si>
    <t xml:space="preserve"> - Közműfejlesztési támogatás lakosságnak </t>
  </si>
  <si>
    <t xml:space="preserve"> - Tatai Városi Római Katolikus Plébánia Szent Kereszt Templom felújítása</t>
  </si>
  <si>
    <t>12. sz. melléklet</t>
  </si>
  <si>
    <t xml:space="preserve">Német Kisebbségi Önkormányzat </t>
  </si>
  <si>
    <t>2010.évi költségvetése (E Ft)</t>
  </si>
  <si>
    <t xml:space="preserve">Megnevezés </t>
  </si>
  <si>
    <t>Dologi kiadások és egyéb folyó kiadások</t>
  </si>
  <si>
    <t>Helyi kisebbségi önkormányzatok kiadásai összesen</t>
  </si>
  <si>
    <t>Központosított támogatás</t>
  </si>
  <si>
    <t>Helyi kisebbségi önkormányzatok bevételei összesen</t>
  </si>
  <si>
    <t xml:space="preserve">Cigány Kisebbségi Önkormányzat </t>
  </si>
  <si>
    <t xml:space="preserve">Lengyel Kisebbségi Önkormányzat </t>
  </si>
  <si>
    <t>13. sz. melléklet</t>
  </si>
  <si>
    <t>Felhalmozási célú pénzeszközátadás</t>
  </si>
  <si>
    <t xml:space="preserve"> - Környei út - Kocsi út csomópont járda felújítás</t>
  </si>
  <si>
    <t xml:space="preserve"> - Magyary Z. Műv. Központ felújításának pótmunkái</t>
  </si>
  <si>
    <t xml:space="preserve"> - Balatonvilágosi üdülő téliesítése</t>
  </si>
  <si>
    <t xml:space="preserve"> - Agostyáni közösségi tér kialakítása</t>
  </si>
  <si>
    <t xml:space="preserve"> - Kocsi út - Környei út közötti szakasz szénhidrogén vezeték kiváltásának Áfája</t>
  </si>
  <si>
    <t xml:space="preserve"> - Kocsi u. 4. ingatlan vételár</t>
  </si>
  <si>
    <t xml:space="preserve"> - Sikerdíjak</t>
  </si>
  <si>
    <t xml:space="preserve"> -- Ökoturisztikai központ KDOP-2.1.1/B</t>
  </si>
  <si>
    <t xml:space="preserve"> -- Gondoskodó kistérség Deák F. u. - Almási u. KDOP5.2.2/A</t>
  </si>
  <si>
    <t xml:space="preserve"> -- Kossuth tér rehabilitációja KDOP-3.1.1/A</t>
  </si>
  <si>
    <t xml:space="preserve"> - Bartók B. u.-i Óvoda közműellátása</t>
  </si>
  <si>
    <t xml:space="preserve"> - Fényes Fürdő Kft. részesedés</t>
  </si>
  <si>
    <t>Számítástechnikai eszközvásárlás</t>
  </si>
  <si>
    <t xml:space="preserve"> - Szociális Alapellátó</t>
  </si>
  <si>
    <t xml:space="preserve"> - Vaszary János Általános Iskola Jázmin Utcai Tagintézmény - kazáncsere</t>
  </si>
  <si>
    <t xml:space="preserve"> - Móricz Zs. Könyvtár - eszközfejlesztés</t>
  </si>
  <si>
    <t>Országgyűlési képviselő választás</t>
  </si>
  <si>
    <t>Önkormányzat nemzetközi kapcsolatai (HUSK)</t>
  </si>
  <si>
    <t>Szociális ellátások komplex tám.</t>
  </si>
  <si>
    <t>Családi napközi</t>
  </si>
  <si>
    <t>Önkormányzatok igazgatási tevékenysége (Általános tartalék)</t>
  </si>
  <si>
    <t>Önkormányzatok igazgatási tevékenysége (Működési tartalék)</t>
  </si>
  <si>
    <t>Önkormányzatok igazgatási tevékenysége (Felhalmozási tartalék)</t>
  </si>
  <si>
    <t>Önkormányzatok igazgatási tevékenysége (Kötvény tartalék)</t>
  </si>
  <si>
    <t xml:space="preserve"> - Tata és Szőgyén közötti lakossági kapcsolatok kiszélesítése, pályázathoz tám. (Husk)</t>
  </si>
  <si>
    <t xml:space="preserve"> - Tatai Kábitószerügyi Fórum programjaihoz</t>
  </si>
  <si>
    <t>Mód.(XII.15.)</t>
  </si>
  <si>
    <t xml:space="preserve"> - Országgyűlési képviselő választások I. fordoló</t>
  </si>
  <si>
    <t xml:space="preserve"> - Üzletrész vásárlás Fogaskerékgyár Kft-től</t>
  </si>
  <si>
    <t>Kölcsönvisszatérülés (Távhő, Városgazda Kht., Fényes Fürdő Kft.)</t>
  </si>
  <si>
    <t>Kölcsön:</t>
  </si>
  <si>
    <t xml:space="preserve"> - Tatai Fényes Fürdő Kft.  (E-ON-nal szerződés kötés)</t>
  </si>
  <si>
    <t xml:space="preserve"> - Tatai Fényes Fürdő Kft. (Dialcont Kft.)</t>
  </si>
  <si>
    <t xml:space="preserve"> - Tatai Fényes Fürdő Kft. (áthidaló kölcsön - fürdő üzem.)</t>
  </si>
  <si>
    <t xml:space="preserve">Központosított támogatás  </t>
  </si>
  <si>
    <t xml:space="preserve">Kölcsön: </t>
  </si>
  <si>
    <t xml:space="preserve">            - Egyéb célra </t>
  </si>
  <si>
    <t xml:space="preserve">Központosított támogatás </t>
  </si>
  <si>
    <t>Központosított támogatás - kisebbségi önkormányzatoknak</t>
  </si>
  <si>
    <t>Előző évi pénzmaradvány (Ft lekötések és egyéb számla,devizabetét és devizaszámlák egyenlege)</t>
  </si>
  <si>
    <t>2009.évi pénzmaradványból Fényes Fürdő Kft. részesedése miatt</t>
  </si>
  <si>
    <t>Európai Uniós pályázatokhoz megelőlegezett összeg visszatérítése</t>
  </si>
  <si>
    <t>Pénzmaradványból visszapótlás</t>
  </si>
  <si>
    <t>Tatai Távhőszolgáltató Kft-nek kölcsön a 285/2009.(IX.9.)sz.határozat</t>
  </si>
  <si>
    <t xml:space="preserve"> - Magyary Zoltán Művelődési Központ felújításának pótmunkái</t>
  </si>
  <si>
    <t xml:space="preserve"> - Új úti Bölcsöde</t>
  </si>
  <si>
    <t xml:space="preserve"> -- Új u-i Bölcsőde férőhely fejlesztés KDOP-5.2.2/B</t>
  </si>
  <si>
    <t xml:space="preserve"> - Játszóterek kialakítása  (Bacsó B. úti ltp. és egyéb területen)</t>
  </si>
  <si>
    <t>Kincseskert Óvoda</t>
  </si>
  <si>
    <t>Csillagsziget Bölcsőde</t>
  </si>
  <si>
    <t>Óvodáztatási támogatás</t>
  </si>
  <si>
    <t>Nyári gyermekétkeztetés</t>
  </si>
  <si>
    <t>Méhnyakrák elleni védőoltás</t>
  </si>
  <si>
    <t>Vörösiszap károsultjainak megsegítése</t>
  </si>
  <si>
    <t>Kártérítés (szennyvízbekötéssel kapcsolatos)</t>
  </si>
  <si>
    <t>Egyéb támogatás összesen:</t>
  </si>
  <si>
    <t xml:space="preserve"> - Önkormányzati és kisebbségi képviselő választás</t>
  </si>
  <si>
    <t xml:space="preserve"> - Kisebbségi Önkormányzatok támogatása</t>
  </si>
  <si>
    <t xml:space="preserve"> - Sporttámogatás</t>
  </si>
  <si>
    <t xml:space="preserve"> - Lengyel Kisebbségi Önkormányzat támogatása</t>
  </si>
  <si>
    <t xml:space="preserve"> - Tatai Távhőszolgáltató Kft. kazánátalakítás (fűtési munkálatok előkészítése)</t>
  </si>
  <si>
    <t xml:space="preserve"> - Tata - Tóvárosi Szent Imre Plébánia</t>
  </si>
  <si>
    <t xml:space="preserve"> - Vértes Volán  (autóbusz -lizing utolsó részlete)</t>
  </si>
  <si>
    <t xml:space="preserve"> - Református templom toronysüvege</t>
  </si>
  <si>
    <t xml:space="preserve"> - Rákóczi Szövetség - ösztöndíj program</t>
  </si>
  <si>
    <t xml:space="preserve"> - Tatai Távhőszolgáltató Kft-nek EU-s pályázatokhoz, közszolgálat zavartalan működéséhez</t>
  </si>
  <si>
    <t xml:space="preserve"> - Esőkárok helyreállítására - Tardos és Dunaszentmiklós önkormányzatának</t>
  </si>
  <si>
    <t xml:space="preserve"> - Tatai Rendőrkapitánynak - közterületi többlet feladatok elvégzése</t>
  </si>
  <si>
    <t xml:space="preserve"> - Magyary Népfőiskolai Társaság támogatása</t>
  </si>
  <si>
    <t xml:space="preserve"> - Önkormányzati Képviselő választás</t>
  </si>
  <si>
    <t xml:space="preserve">  -- Magyary Népfőiskolai Társaság </t>
  </si>
  <si>
    <t xml:space="preserve">  -- Városi Nyugdíjas Klub</t>
  </si>
  <si>
    <t xml:space="preserve">  -- Mozgáskolátozottak Egyesülete</t>
  </si>
  <si>
    <t xml:space="preserve">  -- Magyarországi Zsidó Hitközösség</t>
  </si>
  <si>
    <t xml:space="preserve">  -- Pro Minorate (XXI. Bálványosi Nyári Szabadegyetem rendezvény támogatása)</t>
  </si>
  <si>
    <t xml:space="preserve">  -- Lengyel Kisebbségi Önkormányzat</t>
  </si>
  <si>
    <t xml:space="preserve">  -- Eötvös József Gimnázium (X. Márványhegyi Művésztelep megszerv.)</t>
  </si>
  <si>
    <t xml:space="preserve">  -- Eötvös József Gimnázium (Melbournei kórus fogadása)</t>
  </si>
  <si>
    <t xml:space="preserve">  -- Tatai Kenderke Néptáncegyüttes</t>
  </si>
  <si>
    <t xml:space="preserve">  -- Tatai Sárkányhajó Egyesület</t>
  </si>
  <si>
    <t xml:space="preserve">  -- Dunaszentmiklós Község Önkormányzata</t>
  </si>
  <si>
    <t xml:space="preserve">  -- Kárpátaljai M. Főiskola A.</t>
  </si>
  <si>
    <t xml:space="preserve">  -- KEM Önk. Múzeumok Igazgatósága</t>
  </si>
  <si>
    <t>M.n.s. egyéb személyszállítás</t>
  </si>
  <si>
    <t>Gyermekek napközbeni ell. kapcsolódó egyéb szolg.</t>
  </si>
  <si>
    <t>Árvíz és belvízvédelemmel összefüggő tev.</t>
  </si>
  <si>
    <t>Helyi önkormányzati választás</t>
  </si>
  <si>
    <t>Kisebbségi választás</t>
  </si>
  <si>
    <t xml:space="preserve"> - Talentum Iskola felújítás, szennyvízvezeték kiváltása</t>
  </si>
  <si>
    <t xml:space="preserve"> - Újhegyi úti vízfolyás rekonstrukciójának vízjogi létesítési engedélyéhez vázrajzok</t>
  </si>
  <si>
    <t xml:space="preserve"> - Bartók B. u. parkolók 279/2010./VIII.18./ sz. határozat</t>
  </si>
  <si>
    <t xml:space="preserve"> - Országgyűlés tér átépítése - általános tartalékból</t>
  </si>
  <si>
    <t xml:space="preserve"> - Újhegyi út, (Szőgyéni u.- Akácfa u. közötti) járdaszakasz felújítás - általános tartalékból</t>
  </si>
  <si>
    <t xml:space="preserve"> - Baji úti járdaszakasz felújítás - általános tartalékból</t>
  </si>
  <si>
    <t xml:space="preserve"> - Eszközbeszerzésre, beruházási feladatokra</t>
  </si>
  <si>
    <t xml:space="preserve"> - Fürdő u.-i Óvoda villámhárító, kémények átrakása, környezetbarát vízcsap</t>
  </si>
  <si>
    <t xml:space="preserve"> - Vaszary Általános Iskola tornaterem tető, villámhárító, környezetbarát csapok, radiátor csere</t>
  </si>
  <si>
    <t xml:space="preserve"> - Kőkúti Általános Iskola Fazekas Utcai tagintézménye - környezetbarát csapok</t>
  </si>
  <si>
    <t xml:space="preserve"> - Kálvária utcai Óvoda távfűtési vezeték javítás, környezetbarát csapok</t>
  </si>
  <si>
    <t xml:space="preserve"> - Csillagsziget Bölcsöde - csoprt szoba padlózása</t>
  </si>
  <si>
    <t xml:space="preserve"> - Intézmények Gazdasági Hivatala</t>
  </si>
  <si>
    <t xml:space="preserve"> - Számítástechnikai eszköz beszerzés az FSZ-120/0-2009 Közösségi ellátás pályázat keretéből</t>
  </si>
  <si>
    <t xml:space="preserve"> - Martyn terembe Ír király üvegablakhoz fa keret</t>
  </si>
  <si>
    <t xml:space="preserve"> - Rákóczi u. csapadékvíz bekötés</t>
  </si>
  <si>
    <t xml:space="preserve"> - Belvízrendezési többletfeladatokra</t>
  </si>
  <si>
    <t xml:space="preserve"> -- V. dűlő vízrendezési terv</t>
  </si>
  <si>
    <t xml:space="preserve"> -- V. dűlő szikkasztó árkok</t>
  </si>
  <si>
    <t xml:space="preserve"> -- Komáromi u. - Aradi u. - Szemere B. u.  - Perczel Mór u. vízrendezési terv</t>
  </si>
  <si>
    <t xml:space="preserve"> -- Agostyáni u. csapadékvíz elvezetés</t>
  </si>
  <si>
    <t xml:space="preserve"> -- Környei út "K" szegély építés</t>
  </si>
  <si>
    <t xml:space="preserve"> - Piac téri út közvilágítás 183/2010./VI.2./</t>
  </si>
  <si>
    <t xml:space="preserve"> - Piac téri út ideiglenes burkolat 183/2010./VI.2./</t>
  </si>
  <si>
    <t xml:space="preserve"> - Közép-Duna Vidék Hulladékgazdálkodási Vagyonkezelő és Közszolgáltató Kft-ben tőkeemelés 243/2010./VI.30./ sz. határozat</t>
  </si>
  <si>
    <t xml:space="preserve"> - Trianoni emlékoszlop - általános tartalékból</t>
  </si>
  <si>
    <t xml:space="preserve"> - Által-ér völgyi kerékpárút pályázat előkészítés (pályázatírás 5.500 E Ft; kisajátítás, területszerzés 9.000 E Ft, kisajátítási vázrajzok; Terrénum Kft szerződés 3.100)</t>
  </si>
  <si>
    <t xml:space="preserve"> - Által-ér völgyi kerékpárút önerő KÖZOP-2008-3.2. pályázat</t>
  </si>
  <si>
    <t xml:space="preserve"> - Intézmények energiaracionalizálás pótmunkák 262/2010./VI.30./ sz. határozat</t>
  </si>
  <si>
    <t xml:space="preserve"> - Kossuth tér rehabilitációja pályázat többlettervei</t>
  </si>
  <si>
    <t xml:space="preserve"> - Dózsa Gy. u. kapukihajtók megépítése 315/2010./IX.22./ sz. határozat</t>
  </si>
  <si>
    <t xml:space="preserve"> - Dózsa Gy. u. 12 db víznyelő akna 316/2010./IX.22/ sz. határozat</t>
  </si>
  <si>
    <t xml:space="preserve"> - Vasút u. korszerűsítéséhez kapcs. Újhegyi úti vízfolyás vízjogi eng. megadásához kártalanítás a Magyar Államnak</t>
  </si>
  <si>
    <t xml:space="preserve"> - Piac téri út csapadékcsatorna 183/2010./VI.2./</t>
  </si>
  <si>
    <t xml:space="preserve"> - Csillagsziget Bölcsőde konyhai berendezések vásárlása, udvari játékok</t>
  </si>
  <si>
    <t xml:space="preserve"> - Bartók B. utcai Óvoda - eszközbeszerzés</t>
  </si>
  <si>
    <t xml:space="preserve"> - Kertvárosi Óvoda - eszközbeszerzés</t>
  </si>
  <si>
    <t xml:space="preserve"> - Kőkúti Általános Iskola</t>
  </si>
  <si>
    <t>Támogatás értékű működési bevétel</t>
  </si>
  <si>
    <t>Működési célú támogat.ért.bevétel önkorm.kv.-i szervtől</t>
  </si>
  <si>
    <t>Felhalmozási céltartalékból (költségvetési számláról) átvezetendő</t>
  </si>
  <si>
    <t>--Agostyáni u.-Nyár u.</t>
  </si>
  <si>
    <t xml:space="preserve"> - Tatai Kistérségi Többcélú Társulásnak Kistérségi energiaranionalizálás pályázatra 256/2009/VII.2./sz.határozat</t>
  </si>
  <si>
    <t>Angolpark rehabilitációja pály.projektmenedzsment megbízási díjaira(1.588 E Ft szem.juttatás,386 E Ft járulék)</t>
  </si>
  <si>
    <t>Intézmények energiarac.pály.projektmenedzsment megbízási díjaira (9.212 E Ft szem.juttatás,2.269 E Ft járulék)</t>
  </si>
  <si>
    <t xml:space="preserve"> - Víz-Zene-Virág Fesztivál</t>
  </si>
  <si>
    <t xml:space="preserve"> - Tatai Fényes Fürdő Kft.-Társasházak fűtéskorszerűsítése</t>
  </si>
  <si>
    <t>Házi segítségnyújtás</t>
  </si>
  <si>
    <t>Közfoglalkoztatottak éves létszám-erőirányzata</t>
  </si>
  <si>
    <t>Közcélú foglalkoztatottak</t>
  </si>
  <si>
    <t>Közhasznú foglalkoztatottak</t>
  </si>
  <si>
    <t>Átlag létszám (fő)</t>
  </si>
  <si>
    <t xml:space="preserve"> - Tatai Városkapu Zrt.-nek Tourinform Iroda támogatása</t>
  </si>
  <si>
    <t xml:space="preserve"> - Tanulmányi ösztöndíjra (Mecénás Közalapítvány, Bursa Hungarika)</t>
  </si>
  <si>
    <t xml:space="preserve"> - Bartók Béla u. feltáró út építéséhez bontási munkák, többletköltségek</t>
  </si>
  <si>
    <t xml:space="preserve"> - Juniorka Bölcsöde alapítványi támogatása</t>
  </si>
  <si>
    <t xml:space="preserve"> - Szociális, gyermekjóléti és egészségvédelmi pályázatokra</t>
  </si>
  <si>
    <t xml:space="preserve"> - Háziorvosok szerződés szerinti támogatása (21 praxis 250 E Ft/év/parxis + 300 E Ft 5. sz. felnőtt háziorvosi körzet)</t>
  </si>
  <si>
    <t xml:space="preserve"> - Tatai TV Közalapítvány támogatása</t>
  </si>
  <si>
    <t xml:space="preserve"> - Víz Zene Virág Fesztivál Egyesület támogatása</t>
  </si>
  <si>
    <t xml:space="preserve"> - Kenderke Néptánc Egyesület támogatása</t>
  </si>
  <si>
    <t xml:space="preserve"> - Barokk Fesztivál </t>
  </si>
  <si>
    <t xml:space="preserve"> - Oktatási és ifjúsági pályázatokra</t>
  </si>
  <si>
    <t xml:space="preserve"> - Tatai Városkapu Zrt-nek közművelődési feladatok ellátására (közhasznú, közművelődési megállapodás alapján)</t>
  </si>
  <si>
    <t xml:space="preserve"> - Pötörke Népművészeti Egyesület támogatása</t>
  </si>
  <si>
    <t xml:space="preserve"> - Szorgalmas Diák ösztöndíj támogatás</t>
  </si>
  <si>
    <t xml:space="preserve"> - köztisztviselők, ügyintézők</t>
  </si>
  <si>
    <t>Polgármesteri Hivatal:</t>
  </si>
  <si>
    <t>Tata Város Önkormányzatának 2010. évi bevételei forrásonként ( E Ft-ban)</t>
  </si>
  <si>
    <t xml:space="preserve"> - bérleti díj</t>
  </si>
  <si>
    <t xml:space="preserve"> - Vízhálózat felújítás (ÉDV Zrt.)</t>
  </si>
  <si>
    <t>Egyes jöv. pótló tám. kieg. 116.225 E Ft, közcélú támog. 74.000 E Ft</t>
  </si>
  <si>
    <t xml:space="preserve"> Tata Város Önkormányzatának 2010.évi pénzforgalmi mérlege (E Ft-ban)</t>
  </si>
  <si>
    <t>2010. évi működési célú bevételek és kiadások mérlege (E Ft-ban)</t>
  </si>
  <si>
    <t>2010. évi fejlesztési célú bevételek és kiadások mérlege (E Ft-ban)</t>
  </si>
  <si>
    <t xml:space="preserve">Tata Város Önkormányzatának 2010. évi költségvetési kiadásai </t>
  </si>
  <si>
    <t>Kölcsön és visszatérülés (lakástámogatás 9.000 E Ft, Fényes Fürdő 5.000 E Ft)</t>
  </si>
  <si>
    <t>Önkormányzat elszámolása intézményeikkel</t>
  </si>
  <si>
    <t>Ebből: - Lakáscélra (szociális 7.000 E Ft, munkáltatói 1.500 E Ft)</t>
  </si>
  <si>
    <t xml:space="preserve">Készfizető kezesség - Tata-Tóparti Viziközmű Társ., Tatai Távhő Kft., Tatai Városkapu Zrt. </t>
  </si>
  <si>
    <t>Támogatási célú működési bevétel</t>
  </si>
  <si>
    <t>Készfizető kezesség - Városkapu Zrt-nek</t>
  </si>
  <si>
    <t>Felhalmozási célú bérbeadás</t>
  </si>
  <si>
    <t xml:space="preserve"> - Lőtér kerítés építés</t>
  </si>
  <si>
    <t xml:space="preserve"> - Bacsó B. u. HM ingatlanokba ivóvíz és áram mérők felszerelése</t>
  </si>
  <si>
    <t xml:space="preserve"> - Fazekas Iskola átalakítás</t>
  </si>
  <si>
    <t xml:space="preserve"> - Beruházásokkal kapcsolatos közbeszerzések</t>
  </si>
  <si>
    <t xml:space="preserve"> - Rügy u. árokburkolat készítés</t>
  </si>
  <si>
    <t xml:space="preserve"> - Új u. árokkotrás, átereszek átépítése</t>
  </si>
  <si>
    <t xml:space="preserve"> - Nagy L. u. - Tavasz u. csapadékvíz elvezetése</t>
  </si>
  <si>
    <t xml:space="preserve"> - Kakas u. felső szakasz vízgyűjtő</t>
  </si>
  <si>
    <t xml:space="preserve"> - Kos réti vízfolyás geodézia</t>
  </si>
  <si>
    <t xml:space="preserve"> - Csever árok geodézia, gépi kotrás</t>
  </si>
  <si>
    <t xml:space="preserve"> - Kakas u.-i árokrendezés</t>
  </si>
  <si>
    <t xml:space="preserve"> - Naszály u.-i árokkotrás</t>
  </si>
  <si>
    <t xml:space="preserve"> - Agostyán, Kossuth u. 2.-48. vízelvezetés</t>
  </si>
  <si>
    <t xml:space="preserve"> - Rákóczi u. kandelláber csere</t>
  </si>
  <si>
    <t xml:space="preserve"> - Új u.-i árok- és vízgyűjtő ter. Vizsgálat</t>
  </si>
  <si>
    <t xml:space="preserve"> - Új u.-i komposzttelep</t>
  </si>
  <si>
    <t xml:space="preserve"> - Közterület felügyelet számítástechnikai eszköz beszerzés</t>
  </si>
  <si>
    <t xml:space="preserve"> - 1510. évi tatai országgyűlés 500. évfordulójára emlékmű állítása</t>
  </si>
  <si>
    <t xml:space="preserve"> - Számítástechnikai eszköz (hardver, szoftver) beszerzés</t>
  </si>
  <si>
    <t xml:space="preserve"> - Új hiteles digitális alaptérkép</t>
  </si>
  <si>
    <t xml:space="preserve"> - Pályázatok előkészítésére</t>
  </si>
  <si>
    <t>2010. évi felújítási kiadások célonként (ÁFA-val)</t>
  </si>
  <si>
    <t>2010. évi igények:</t>
  </si>
  <si>
    <t>2010. évi igények kötvényből:</t>
  </si>
  <si>
    <t xml:space="preserve"> - Május 1.u. 5-17.direktág kialakítás</t>
  </si>
  <si>
    <t xml:space="preserve"> - Bartók B. u.-i.Óvoda bővítése 43/2009./II.25./sz.határozat</t>
  </si>
  <si>
    <t xml:space="preserve"> - Intézmények energiaracionalizálása 183/2008./VI.25./sz.határozat</t>
  </si>
  <si>
    <t xml:space="preserve"> - Angol park rehabilitációja 263/2009./VII.2./sz.határozat </t>
  </si>
  <si>
    <t xml:space="preserve"> - Kocsi u.-Dózsa Gy.u.kerékpárút 225/2009./VI.24./sz.határozat</t>
  </si>
  <si>
    <t xml:space="preserve"> - Fáklya u.-Diófa u. korszerűsítése 280/2009./IX.sz.határozat</t>
  </si>
  <si>
    <t xml:space="preserve"> - József A. u.vízrendezése 372/2009.X.28./sz.határozat</t>
  </si>
  <si>
    <t xml:space="preserve"> - Kossuth tér rehabilitációja 399/2009./XI.13./sz.határozat</t>
  </si>
  <si>
    <t xml:space="preserve"> - Kajakház,Öreg-tavi kerékpárút 283/2009/IX.9./sz.határozat</t>
  </si>
  <si>
    <t>Intézmények Gazdasági Hivatalához tartozó részben önálló intézmények 2010. évi költségvetése</t>
  </si>
  <si>
    <t>Költségvetési alcím megnevezése</t>
  </si>
  <si>
    <t>Egyéb saját bevétel</t>
  </si>
  <si>
    <t>Egyéb saját bevételből ellátottak étkezési térítési díj bevétele</t>
  </si>
  <si>
    <t>ÁFA</t>
  </si>
  <si>
    <t>Kamat-bevételek</t>
  </si>
  <si>
    <t>Átvett pénzeszközök</t>
  </si>
  <si>
    <t>Támogatásértékű bevétel</t>
  </si>
  <si>
    <t>Kapott kölcsön (fenntartói)</t>
  </si>
  <si>
    <t>Tárgyi eszköz, immat. javak értékesítése</t>
  </si>
  <si>
    <t>Pénzmaradvány</t>
  </si>
  <si>
    <t>Bevételek összesen</t>
  </si>
  <si>
    <t>Kiadások összesen</t>
  </si>
  <si>
    <t>működési célra</t>
  </si>
  <si>
    <t>felhalmozási célra</t>
  </si>
  <si>
    <t>pénzforalom nélküli</t>
  </si>
  <si>
    <t>előző évi átvétele</t>
  </si>
  <si>
    <t>M.adókat terhelő járulék</t>
  </si>
  <si>
    <t>Dologi</t>
  </si>
  <si>
    <t>Dologiból ellátottakra vonatkozó élelmiszer beszerzés és vásárolt élelmezés</t>
  </si>
  <si>
    <t>Pénzbeli juttatás</t>
  </si>
  <si>
    <t>mód. 2010.V.</t>
  </si>
  <si>
    <t>mód. 2010.X.</t>
  </si>
  <si>
    <t>mód 2010.XII.</t>
  </si>
  <si>
    <t>Bartók B. utcai Óvoda</t>
  </si>
  <si>
    <t>Csillagsziget Bölcsöde</t>
  </si>
  <si>
    <t>Vaszary J. Általános Iskola</t>
  </si>
  <si>
    <t>Vaszary J. Általános Iskola - Logopédiai Intézet</t>
  </si>
  <si>
    <t>Vaszary J. Általános Iskola Jázmin utcai Tagintézménye</t>
  </si>
  <si>
    <t>Vaszary J. Általános Iskola Tardosi Tagintézménye</t>
  </si>
  <si>
    <t>Vaszary J. Általános Iskola összesen</t>
  </si>
  <si>
    <t>Kőkúti Általános Iskola - Fazekas U. Tagintézmény</t>
  </si>
  <si>
    <t>Kőkúti Általános Iskola összesen</t>
  </si>
  <si>
    <t>Zeneiskola</t>
  </si>
  <si>
    <t>Könyvtár</t>
  </si>
  <si>
    <t>SZAI - Jelzőrendszeres házi segítségnyújtás</t>
  </si>
  <si>
    <t>SZAI - Támogató szolgálat</t>
  </si>
  <si>
    <t>SZAI - Közösségi ellátás</t>
  </si>
  <si>
    <t>SZAI - nappali, családsegítő és gyermekjóléti, szociális étkezés, éjjeli menedékhely, házigondozás</t>
  </si>
  <si>
    <t>Szociális Alapellátó Intézmény összesen</t>
  </si>
  <si>
    <t>Költségvetési alcímek és szakfeladatok összesen:</t>
  </si>
  <si>
    <t xml:space="preserve"> - Új u.-Bölcsőde férőhely fejlesztés 261/2009/VII.2./sz.határozat</t>
  </si>
  <si>
    <t xml:space="preserve"> - Gyalogátkelő létesítés (Somogyi B.u.-Bacsó B.u.)</t>
  </si>
  <si>
    <t xml:space="preserve"> - Jázmin u.22-24.ingatlanok megvásárlása 472/2009./X.16./sz.határozat (további 20.000 E Ft 2011-ben esedékes)</t>
  </si>
  <si>
    <t xml:space="preserve"> - Gondoskodó kistérség ,szociális alapellátások minőségi fejlesztése projekt</t>
  </si>
  <si>
    <t xml:space="preserve"> - 460/89.,460/111 hrsz.-ú ingatlanokból terület vásárlás 369/2009/X.28./sz. határozat</t>
  </si>
  <si>
    <t xml:space="preserve"> - Keszthelyi úton járda építési pótmunkákra</t>
  </si>
  <si>
    <t xml:space="preserve"> - Rákóczi u.közvilágításának korszerűsítésére </t>
  </si>
  <si>
    <t xml:space="preserve"> - Csapadékvíz elvezető hálózati rendszer megvalósítása Tatán a Deák F.és Erkel F.utcában című projekt</t>
  </si>
  <si>
    <t xml:space="preserve"> - Kocsi u.és a csatlakozó utcák közvilágítás fejlesztésére</t>
  </si>
  <si>
    <t xml:space="preserve"> - Baji út korszerűsítése KKK-nak</t>
  </si>
  <si>
    <t xml:space="preserve"> - Tatai Távhőszolgáltató Kft.kazánház átalakítása 432/2009.(XI.25.)sz.határozat alapján</t>
  </si>
  <si>
    <t xml:space="preserve"> - Tatai Távhőszolgáltató Kft. fűtési szerzon előkészületi munkáira,Gesztenye fasori fűtőmű álalak.munkáira </t>
  </si>
  <si>
    <t xml:space="preserve"> - Vértes Volán Zrt.158/2010.(VI.2.)határozat Autóbusz lízing utolsó részlete</t>
  </si>
  <si>
    <t xml:space="preserve"> - Tatai Református Egyházközség 275/2010.(VIII.18.)hat.Toronysüveg felújítására</t>
  </si>
  <si>
    <t xml:space="preserve"> - Tata-Tóvárosi Szent Imre Plébánia 197/2010.(VI.2.) hat. Ady E.-Bartók B.u.felöli kerítés külső felújítására</t>
  </si>
  <si>
    <t xml:space="preserve"> - Magyary Zoltán Művelődési Ház felújításának pótmunkái</t>
  </si>
  <si>
    <t xml:space="preserve"> - Tervezési feladatok útburkolat felújításhoz</t>
  </si>
  <si>
    <t xml:space="preserve"> - Bartók B.u.felújítása 378/2009/X.28./sz.határozat</t>
  </si>
  <si>
    <t xml:space="preserve"> - Magyary Zoltán Művelődési Ház felújítása 376/2009./X.28./sz.határozat</t>
  </si>
  <si>
    <t xml:space="preserve"> - Talentum Iskola szennyvízvezeték felújítás</t>
  </si>
  <si>
    <t xml:space="preserve"> - Polgármesteri Hivatal akadálymentesítése KDOP-2009.-5.3.2 pályázat 343/2009./IX.30./sz.határozat</t>
  </si>
  <si>
    <t xml:space="preserve"> - Rákóczi u.felújításaTEUT támogatással</t>
  </si>
  <si>
    <t xml:space="preserve"> - Keszthelyi u.12.és Gesztenyefasor 47.felújítás befejezésével kapcsolatos költségek</t>
  </si>
  <si>
    <t xml:space="preserve"> - Új úti Bölcsőde 115/2010(IV.28.)határozat</t>
  </si>
  <si>
    <t xml:space="preserve"> - Által-ér völgyi kerékpárút projekt-önrész 216/2010.(VI.30.)hat.</t>
  </si>
  <si>
    <t xml:space="preserve"> - Komplex energiaracionalizálás projekt pótmunkái 262/210.(VI.30.)hat.</t>
  </si>
  <si>
    <t xml:space="preserve"> - Kossuth tér rehabilitációja pályázat többlet tervezési feladatok</t>
  </si>
  <si>
    <t xml:space="preserve"> - Dózsa György út kapukihajtóinak megépítése 315/2010.(IX.22.)</t>
  </si>
  <si>
    <t xml:space="preserve"> - Dózsa György út  12 db víznyelő akna kiépítése 316/2010.(IX.22.)</t>
  </si>
  <si>
    <t xml:space="preserve"> - Vasút utcai útkorszer.-hez kapcs. Újhegyi úti vízfolyás vízjogi eng. megadásához kártalanítás Magyar Államnak</t>
  </si>
  <si>
    <t xml:space="preserve"> - Piac téri kiszolgáló út csapadékcsatornájának kiépítéséhez</t>
  </si>
  <si>
    <t xml:space="preserve"> - Által-ér völgyi kerékpárút (pályázatírás 5.500 E Ft, kisajátítás,területszerzés 9.000 E Ft,vázrajzok készítése 3,1M Ft</t>
  </si>
  <si>
    <t xml:space="preserve"> - Bartók Béla u.-i Óvoda közműellátás</t>
  </si>
  <si>
    <t xml:space="preserve"> - Fényes Fürdő kft.részesedés</t>
  </si>
  <si>
    <t xml:space="preserve"> -- Agostyán,Kert u.</t>
  </si>
  <si>
    <t>Beruházási feladatok 2010. évi:</t>
  </si>
  <si>
    <t xml:space="preserve"> 2010.  évi igények:</t>
  </si>
  <si>
    <t>Kötvénykibocsátásból rendelkezésre álló fejlesztési forrás felhasználás (E Ft-ban) 2010. év</t>
  </si>
  <si>
    <t xml:space="preserve"> - Piarista rendház átalakítás 298/2009.(IX.30.) sz. határozat</t>
  </si>
  <si>
    <t xml:space="preserve"> - Turisztikai szakvélemény 354/2009.(IX.30.) sz. határozat</t>
  </si>
  <si>
    <t xml:space="preserve"> - Rendezvényház megvalósíthatósági tanulmány 355/2009.(IX.30.) sz. határozat</t>
  </si>
  <si>
    <t xml:space="preserve"> - Fényes Fürdő környezet terhelhetőségi tamulmány 470/2009.(XII.16.) sz. határozat</t>
  </si>
  <si>
    <t>Intézmények Gazdasági Hivatalának kölcsön</t>
  </si>
  <si>
    <t>Tárgyi eszköz értékesítés</t>
  </si>
  <si>
    <t xml:space="preserve"> - kötvénytartalék</t>
  </si>
  <si>
    <t>Polgármesteri Hivatal 2010. évi költségvetési terve (szakfeladatok és kiemelt előirányzatok szerinti bontásban) ( E Ft-ban)</t>
  </si>
  <si>
    <t xml:space="preserve"> - Bartók B. u. felújítása 378/2009./X.28./ sz. határozat</t>
  </si>
  <si>
    <t xml:space="preserve"> - Magyary Zoltán Művelődési ház felújítása 376/2009./X.28./ sz. határozat </t>
  </si>
  <si>
    <t xml:space="preserve"> - Polgármesteri Hivatal akadálymentesítése KDOP-2009-5.3.2 pályázat 343/2009./IX.30./ sz. határozat</t>
  </si>
  <si>
    <t xml:space="preserve"> - Rákóczi u. felújítása TEUT támogatással</t>
  </si>
  <si>
    <t xml:space="preserve"> - Keszthelyi u. 12. és Gesztenyefasor 47. felújítás befejezésével kapcsolatos költségek</t>
  </si>
  <si>
    <t xml:space="preserve"> - Tervezések útburkolat felújításhoz</t>
  </si>
  <si>
    <t xml:space="preserve"> - Lányi Villa előtti lépcső felújítása</t>
  </si>
  <si>
    <t>Önkormányzati saját hatáskörben adott természetbeni ellátás</t>
  </si>
  <si>
    <t>Mindösszesen</t>
  </si>
  <si>
    <t>Működési célra átvett pénzeszköz</t>
  </si>
  <si>
    <t>Egyéb tárgyi eszköz értékesítés</t>
  </si>
  <si>
    <t>Kőkúti Általános Iskola</t>
  </si>
  <si>
    <t>Menner B. Zeneiskola</t>
  </si>
  <si>
    <t>Beruházási feladatok összesen:</t>
  </si>
  <si>
    <t>Felújítási feladatok összesen:</t>
  </si>
  <si>
    <t>Dologi kiadások és egyéb folyó kiadás (kamat nélkül)</t>
  </si>
  <si>
    <t xml:space="preserve">Intézmények Gazdasági Hivatala </t>
  </si>
  <si>
    <t>Rendelkezésre állási támogatás</t>
  </si>
  <si>
    <t>Felhalmozási célú pénzeszközátadások és támogatások:</t>
  </si>
  <si>
    <t>Működési célú pénzeszközátadások és támogatások a Polgármesteri Hivatalnál:</t>
  </si>
  <si>
    <t>támogatásértékű bevételei és államháztartáson kívülről átvett pénzeszközeinek</t>
  </si>
  <si>
    <t xml:space="preserve"> - lakbér</t>
  </si>
  <si>
    <t xml:space="preserve"> - támogatás értékű működési bevételek</t>
  </si>
  <si>
    <t xml:space="preserve"> - támogatás értékű felhalmozási bevételek</t>
  </si>
  <si>
    <t>Adósságkezelési szolgáltatással kapcsolatos támogatás</t>
  </si>
  <si>
    <t xml:space="preserve"> - Kulturális pályázatokra</t>
  </si>
  <si>
    <t xml:space="preserve"> - Művészeti Iskola támogatása - Református Egyház, Kenderke</t>
  </si>
  <si>
    <t xml:space="preserve"> - Concerto Kht. támogatása</t>
  </si>
  <si>
    <t>Közlekedési támogatás tanulóknak</t>
  </si>
  <si>
    <t xml:space="preserve"> - TIT KEM Egyesület támogatása</t>
  </si>
  <si>
    <t>Házi segítségnyújtás előtti szakértői vizsgálatra</t>
  </si>
  <si>
    <t xml:space="preserve"> - működési célra átvett pénzeszköz</t>
  </si>
  <si>
    <t xml:space="preserve"> -- Késedelmi pótlék</t>
  </si>
  <si>
    <t xml:space="preserve"> - Intézményi saját bevétel </t>
  </si>
  <si>
    <t>Erdeti</t>
  </si>
  <si>
    <t xml:space="preserve"> - központosított támogatás - kisebbségi önkormányzatoknak</t>
  </si>
  <si>
    <t>E Ft-ban</t>
  </si>
  <si>
    <t xml:space="preserve"> - ÁFA bevételek, visszatérülés</t>
  </si>
  <si>
    <t xml:space="preserve"> - kamatbevételek</t>
  </si>
  <si>
    <t>Intézm. működ. bevételei összesen</t>
  </si>
  <si>
    <t xml:space="preserve"> - átengedett SZJA</t>
  </si>
  <si>
    <t xml:space="preserve"> - gépjárműadó</t>
  </si>
  <si>
    <t xml:space="preserve"> - termőföld bérbeadásából SZJA</t>
  </si>
  <si>
    <t>Működési bevételek összesen</t>
  </si>
  <si>
    <t xml:space="preserve"> - földterület értékesítés</t>
  </si>
  <si>
    <t xml:space="preserve"> - normatív állami hozzájárulás</t>
  </si>
  <si>
    <t>Bevételek Mindösszesen:</t>
  </si>
  <si>
    <t>2010. évi tavaszi esőzések károsultjainak támogatása</t>
  </si>
  <si>
    <t xml:space="preserve"> - Agóra könyvesbolt kitüntetése</t>
  </si>
  <si>
    <t xml:space="preserve"> - 2010. évi tavaszi esőzések károsultjainak támogatása</t>
  </si>
  <si>
    <t xml:space="preserve"> - Játszótér felújítás (Május 1. u. 23-25. és Angolkert teniszpálya melletti játszótér)</t>
  </si>
  <si>
    <t>2010. évi beruházási kiadások feladatonként (ÁFA-val)</t>
  </si>
  <si>
    <t xml:space="preserve">E Ft-ban </t>
  </si>
  <si>
    <t xml:space="preserve"> - József A. u. vízrendezése, Deák F. u. csapadékvízelvezetés (pályázatírás)  372/2009./X.28./ és a 218/2010./VI.30./ sz. határozatok</t>
  </si>
  <si>
    <t xml:space="preserve"> - Keszthelyi u. járda pótmunkák</t>
  </si>
  <si>
    <t xml:space="preserve"> - Árendás patak mederrendezés, partfal rekonstrukció</t>
  </si>
  <si>
    <t xml:space="preserve"> - Petőfi u-i Idősek Otthona kerítés bontás és építés</t>
  </si>
  <si>
    <t xml:space="preserve"> - Levente Péter: Jenő malom meséje (600 E Ft a Gyermekbarát város-, 2.150 E Ft az általános taratlék keretből)</t>
  </si>
  <si>
    <t xml:space="preserve"> - Május 1. u. - Almási u. - Ady E. u. körforgalom építés hálózat kiváltás - Magyar Telekom Nyrt.</t>
  </si>
  <si>
    <t xml:space="preserve"> - Újvilág u. korszerűsítésének építési engedélye</t>
  </si>
  <si>
    <t xml:space="preserve"> - Ingatlan vételár 1929/3 hrsz, 1929/1 hrsz - a Tatai Harangláb Kft-től</t>
  </si>
  <si>
    <t xml:space="preserve"> - Rákóczi u. közvilágítás </t>
  </si>
  <si>
    <t xml:space="preserve"> - Deák F. u. és Erkel F. u. csapadékvíz elvezető pályázati önerő 346/2010.(X.27.) sz. határozat</t>
  </si>
  <si>
    <t xml:space="preserve"> - Kocsi u. és a rácsatlakozó utcák közvilágítása 348/2010.(X.27.) sz. határozat</t>
  </si>
  <si>
    <t>Felhalm. és tőkejellegű bevétel össz.</t>
  </si>
  <si>
    <t>Bevételek</t>
  </si>
  <si>
    <t xml:space="preserve">8.sz. melléklet </t>
  </si>
  <si>
    <t>Időskorúak járadéka</t>
  </si>
  <si>
    <t>Köztemetés</t>
  </si>
  <si>
    <t>Közgyógyellátás</t>
  </si>
  <si>
    <t>9. sz. melléklet</t>
  </si>
  <si>
    <t>(E Ft-ban)</t>
  </si>
  <si>
    <t xml:space="preserve"> - egyéb ingatlan értékesítés</t>
  </si>
  <si>
    <t xml:space="preserve"> - Juniorka Óvoda alapítványi támogatása</t>
  </si>
  <si>
    <t xml:space="preserve"> - Színes Iskola támogatása</t>
  </si>
  <si>
    <t xml:space="preserve"> - Vöröskereszt tatai szervezetének támogatása</t>
  </si>
  <si>
    <t xml:space="preserve"> - Polgárőr Egyesület támogatása</t>
  </si>
  <si>
    <t xml:space="preserve"> - Talajterhelési díj</t>
  </si>
  <si>
    <t>Önk. Sajátos működ. bev. összesen</t>
  </si>
  <si>
    <t>Önk.költségvetési támogatás össz.</t>
  </si>
  <si>
    <t>2. sz. melléklet</t>
  </si>
  <si>
    <t>6. sz. melléklet</t>
  </si>
  <si>
    <t>7. sz. melléklet</t>
  </si>
  <si>
    <t xml:space="preserve"> - Máltai Szeretetszolgálat támogatása</t>
  </si>
  <si>
    <t>Önkormányzati költségvetési szervek engedélyezett álláshelyeinek száma</t>
  </si>
  <si>
    <t xml:space="preserve"> - működési céltartalék</t>
  </si>
  <si>
    <t>Finanszírozási kiadások összesen:</t>
  </si>
  <si>
    <t>Bevételek összesen:</t>
  </si>
  <si>
    <t>Tata Város Önkormányzata által folyósított 2010. évi ellátások alakulásának részletezése</t>
  </si>
  <si>
    <t>Lehívható központi támogatás</t>
  </si>
  <si>
    <t>Gyermektartásdíj megelőlegezése</t>
  </si>
  <si>
    <t>Fazekas u. Tagintézmény</t>
  </si>
  <si>
    <t>Egyes jöv.pótló támog. Kiegészítése, közcélú foglal.</t>
  </si>
  <si>
    <t>Központosított támogatás TEUT pályázat</t>
  </si>
  <si>
    <t xml:space="preserve">Céltartalék </t>
  </si>
  <si>
    <t xml:space="preserve">         -Talajterhelési díj</t>
  </si>
  <si>
    <t>általános tartalék</t>
  </si>
  <si>
    <t>céltartalékok:</t>
  </si>
  <si>
    <t>Céltartalékok:</t>
  </si>
  <si>
    <t xml:space="preserve"> - lakossági</t>
  </si>
  <si>
    <t xml:space="preserve"> - munkáltatói</t>
  </si>
  <si>
    <t xml:space="preserve">4.sz. melléklet                 </t>
  </si>
  <si>
    <t>E. Ft-ban</t>
  </si>
  <si>
    <t>Polgármesteri Hivatal feladatainak költségvetése összesen:</t>
  </si>
  <si>
    <t>Német Kisebbségi Önkormányzat</t>
  </si>
  <si>
    <t>Lengyel Kisebbségi Önkormányzat</t>
  </si>
  <si>
    <t>Cigány Kisebbségi Önkormányzat</t>
  </si>
  <si>
    <t>Kisebbségi Önkormányzatok összesen</t>
  </si>
  <si>
    <t>Bevétel</t>
  </si>
  <si>
    <t>Egyéb ingatlan értékesítés</t>
  </si>
  <si>
    <t>Egyéb ingatlanértékesítés</t>
  </si>
  <si>
    <t>Beruházási célra átvett pénzeszköz</t>
  </si>
  <si>
    <t>Felújítás ( ÁFA-val )</t>
  </si>
  <si>
    <t>( kiemelt előirányzatok szerinti részletezésben ) E Ft-ban</t>
  </si>
  <si>
    <t>Szivárvány Óvoda</t>
  </si>
  <si>
    <t xml:space="preserve">Működési tartalékba átvezetés </t>
  </si>
  <si>
    <t>Kölcsönnyújtás összesen</t>
  </si>
  <si>
    <t>Kölcsönnyújtás ( lakás támog. szoc + munk.)</t>
  </si>
  <si>
    <t>TEUT támogatás</t>
  </si>
  <si>
    <t>Kiadások mindösszesen:</t>
  </si>
  <si>
    <t>Bevételek mindösszesen:</t>
  </si>
  <si>
    <t>Finanszírozási bevételek:</t>
  </si>
  <si>
    <t>Felhalmozási célra átvett pénzeszközök</t>
  </si>
  <si>
    <t>Támog. értékű bevételek összesen:</t>
  </si>
  <si>
    <t>Hiteltörlesztés - hosszú lejáratú</t>
  </si>
  <si>
    <t>Eü. műk. TB támogatása</t>
  </si>
  <si>
    <t xml:space="preserve"> - felhalmozási céltartalék - egyéb feladatokra</t>
  </si>
  <si>
    <t xml:space="preserve"> - fejl.célú tartalék egyéb feladatokra</t>
  </si>
  <si>
    <t>Pénzügyi befektetés (kötvényből) kamata</t>
  </si>
  <si>
    <t>Hiteltörlesztés fejl.célú</t>
  </si>
  <si>
    <t>Pénzeszköz átadás, támogatás:</t>
  </si>
  <si>
    <t>Eü működésre TB. Támogatás</t>
  </si>
  <si>
    <t>Működési célra támogatások</t>
  </si>
  <si>
    <t>Felhalmozási célra támogatások</t>
  </si>
  <si>
    <t>Működési célra tám. pénzeszköz átvétele</t>
  </si>
  <si>
    <t xml:space="preserve">Előző évi pénzmaradvány </t>
  </si>
  <si>
    <t>Támogatás értékű átvételek felhalmozási célra</t>
  </si>
  <si>
    <t>Beruházási hitel törlesztés</t>
  </si>
  <si>
    <t>Árpád-házi Szent Erzsébet Szakkórház és Rendelőintézet</t>
  </si>
  <si>
    <t>Felhalmozási kiadások</t>
  </si>
  <si>
    <t>Eredeti</t>
  </si>
  <si>
    <t xml:space="preserve">Eredeti </t>
  </si>
  <si>
    <t>ÁFA bevétel</t>
  </si>
  <si>
    <t>Dologi kiadás (beruházási hitelkamat és ÁFA nélkül)</t>
  </si>
  <si>
    <t>Kötvény kamata</t>
  </si>
  <si>
    <t>Mód. (XI.24.)</t>
  </si>
  <si>
    <t>Mód.(XI.24.)</t>
  </si>
  <si>
    <t xml:space="preserve">         -Egyéb sajátos bevételek (bérleti díj, lakbér, bírság)</t>
  </si>
  <si>
    <t>1. sz. melléklet</t>
  </si>
  <si>
    <t xml:space="preserve"> - működési célú tartalék</t>
  </si>
  <si>
    <t>Működési céltartalék</t>
  </si>
  <si>
    <t>Központosított tám. - kisebbségi önkormányzatoknak</t>
  </si>
  <si>
    <t>Intézmények Gazdasági Hivatala</t>
  </si>
  <si>
    <t>Mindösszesen:</t>
  </si>
  <si>
    <t xml:space="preserve">3.sz.melléklet    </t>
  </si>
  <si>
    <t>Kiadások</t>
  </si>
  <si>
    <t>Összesen</t>
  </si>
  <si>
    <t>Személyi juttatások</t>
  </si>
  <si>
    <t>Munkaadót terh. járulékok</t>
  </si>
  <si>
    <t>Dologi kiadások</t>
  </si>
  <si>
    <t>Kamatkiadások</t>
  </si>
  <si>
    <t xml:space="preserve"> - működési célra</t>
  </si>
  <si>
    <t xml:space="preserve"> - felhalmozási célra</t>
  </si>
  <si>
    <t>Önk. által folyósított ellátás</t>
  </si>
  <si>
    <t>Ellátottak pénzbeli juttat.</t>
  </si>
  <si>
    <t>Beruházás ( ÁFA-val )</t>
  </si>
  <si>
    <t>Hiteltörlesztés</t>
  </si>
  <si>
    <t>Kiadások összesen:</t>
  </si>
  <si>
    <t>Bevételi előirányzat</t>
  </si>
  <si>
    <t>Kiadási előirányzat</t>
  </si>
  <si>
    <t xml:space="preserve">Működési bevételek </t>
  </si>
  <si>
    <t xml:space="preserve">       - Intézmények</t>
  </si>
  <si>
    <t xml:space="preserve">       - Polgármesteri Hivatal</t>
  </si>
  <si>
    <t>Önkormányzat sajátos működési bevétele</t>
  </si>
  <si>
    <t xml:space="preserve">        -Helyi adók</t>
  </si>
  <si>
    <t xml:space="preserve">        -Átengedett központi adók</t>
  </si>
  <si>
    <t xml:space="preserve">   - átengedett SZJA</t>
  </si>
  <si>
    <t xml:space="preserve">   - Gépjárműadó</t>
  </si>
  <si>
    <t xml:space="preserve">         -Földterület bérbeadásából származó szja.</t>
  </si>
  <si>
    <t>Önkorm. és int. működési bevételei összesen</t>
  </si>
  <si>
    <t>Beruházás</t>
  </si>
  <si>
    <t>Földterület értékesítés</t>
  </si>
  <si>
    <t>Hitelkamat</t>
  </si>
  <si>
    <t>Bérbeadásból felhalmozási bevétel</t>
  </si>
  <si>
    <t>Tartalékok</t>
  </si>
  <si>
    <t>Felhalmozási és tőkejellegű bev. összesen</t>
  </si>
  <si>
    <t>Normatív állami hozzájárulás</t>
  </si>
  <si>
    <t>Támogatás központi költségvetésből</t>
  </si>
  <si>
    <t>Előző évi pénzmaradvány</t>
  </si>
  <si>
    <t>Tartalék összesen:</t>
  </si>
  <si>
    <t xml:space="preserve">  1/a. melléklet   </t>
  </si>
  <si>
    <t>Működési bevétel</t>
  </si>
  <si>
    <t>Személyi juttatás</t>
  </si>
  <si>
    <t>Járulékok</t>
  </si>
  <si>
    <t>Pénzeszköz  átadás, támogatás</t>
  </si>
  <si>
    <t>Szociális támogatás műk.</t>
  </si>
  <si>
    <t>Ellátottak pénzbeli juttatása</t>
  </si>
  <si>
    <t>Összesen:</t>
  </si>
  <si>
    <t xml:space="preserve">1/b. melléklet                       </t>
  </si>
  <si>
    <t>Felújítás</t>
  </si>
  <si>
    <t>Fejl. célú pe. átadás</t>
  </si>
  <si>
    <t>Beruházási hitel kamat</t>
  </si>
  <si>
    <t>Kölcsön visszatérülések</t>
  </si>
  <si>
    <t>Megnevezés</t>
  </si>
  <si>
    <t>Kiadás</t>
  </si>
  <si>
    <t>Működési kiadások</t>
  </si>
  <si>
    <t>Fizetendő ÁFA</t>
  </si>
  <si>
    <t>Kisebbségi Önkormányzatok</t>
  </si>
  <si>
    <t>Fürdő utcai Óvoda</t>
  </si>
  <si>
    <t>Kálvária utcai Óvoda</t>
  </si>
  <si>
    <t>Kuckó Óvoda</t>
  </si>
  <si>
    <t>Geszti Óvoda</t>
  </si>
  <si>
    <t>Kertvárosi Óvoda</t>
  </si>
  <si>
    <t>Bergengócia Óvoda</t>
  </si>
  <si>
    <t>Lakások értékesítése</t>
  </si>
  <si>
    <t>Általános tartalék</t>
  </si>
  <si>
    <t>Járulék</t>
  </si>
  <si>
    <t>Dologi kiadás</t>
  </si>
  <si>
    <t>Pénzeszköz átadás</t>
  </si>
  <si>
    <t>Ellátottak juttatásai</t>
  </si>
  <si>
    <t>Általános műk. Tartalék</t>
  </si>
  <si>
    <t>Kamatm. váll. kölcs vissz.</t>
  </si>
  <si>
    <t>Működési hiány</t>
  </si>
  <si>
    <t>Lakásértékesítés</t>
  </si>
  <si>
    <t>Munkaadókat terhelő járulékok</t>
  </si>
  <si>
    <t>Pénzeszközátadás</t>
  </si>
  <si>
    <t>Önk.által folyósított ellátások</t>
  </si>
  <si>
    <t>Ellátottak pénzbeli juttatásai</t>
  </si>
  <si>
    <t>Dologi és egyéb folyók. össz.:</t>
  </si>
  <si>
    <t>Önk.sajátos működési bev.</t>
  </si>
  <si>
    <t>Polgármesteri Hivatal</t>
  </si>
  <si>
    <t>Költségvetési szervek megnevezése</t>
  </si>
  <si>
    <t>Engedélyezett létszám (fő)</t>
  </si>
  <si>
    <t>Bartók B. úti Óvoda</t>
  </si>
  <si>
    <t>Vaszary János Általános Iskola</t>
  </si>
  <si>
    <t>Vaszary János Általános Iskola - Jázmin tagintézmény</t>
  </si>
  <si>
    <t>Móricz Zsigmond Könyvtár</t>
  </si>
  <si>
    <t>Intézmények Gazdasági Hivatala összesen</t>
  </si>
  <si>
    <t>Városi Önkormányzat Intézmények összesen:</t>
  </si>
  <si>
    <t xml:space="preserve"> - választott tisztségviselő</t>
  </si>
  <si>
    <t xml:space="preserve"> - Közterület-felügyelet (önállóan működő)</t>
  </si>
  <si>
    <t>Szociális Alapellátó Intézmény (számszaki javítás)</t>
  </si>
  <si>
    <t>Vaszary János Általános Iskola - Tardos tagintézmény</t>
  </si>
  <si>
    <t>Felhalmozási célú pénzeszközátadás összesen:</t>
  </si>
  <si>
    <t xml:space="preserve">Ápolási díj járulék 24 % </t>
  </si>
  <si>
    <t>Áthúzódó kötelezettségvállalással terhelt feladatok kötvényből:</t>
  </si>
  <si>
    <t xml:space="preserve"> - Intézmények energiaracionalizálása</t>
  </si>
  <si>
    <t xml:space="preserve"> - üzemeltetés, bérbeadás felhalm. bevétel</t>
  </si>
  <si>
    <t xml:space="preserve">Áthúzódó kötelezettségvállalással terhelt feladatok: </t>
  </si>
  <si>
    <t>Ezen belül:</t>
  </si>
  <si>
    <t xml:space="preserve"> -- Építményadó</t>
  </si>
  <si>
    <t xml:space="preserve"> -- Telekadó</t>
  </si>
  <si>
    <t xml:space="preserve"> -- Idegenforgalmi adó</t>
  </si>
  <si>
    <t xml:space="preserve"> -- Iparűzési adó</t>
  </si>
  <si>
    <t xml:space="preserve"> -- Egyéb beszed. Szla (pénzbírság, helyszíni bírság)</t>
  </si>
  <si>
    <t>Mozgáskorlátozottak közlekedési támogatása</t>
  </si>
  <si>
    <t xml:space="preserve"> - helyi adók és egyéb bevételek</t>
  </si>
  <si>
    <t xml:space="preserve">Tata Város Polgármesteri Hivatal </t>
  </si>
  <si>
    <t>Támogatás értékű működési bevételek</t>
  </si>
  <si>
    <t>Támogatás értékű felhalmozási célú bevételek</t>
  </si>
  <si>
    <t>Felhalmozási célra átvett pénzeszköz államháztartáson kívülről</t>
  </si>
  <si>
    <t>Tartósan munkanélküliek rendszeres szociális segélye</t>
  </si>
  <si>
    <t>Rendszeres szociális segély</t>
  </si>
  <si>
    <t>Lakásfenntartási támogatás (normatív)</t>
  </si>
  <si>
    <t>Lakásfenntartási támogatás (helyi megállapítás)</t>
  </si>
  <si>
    <t>Ápolási díj (normatív)</t>
  </si>
  <si>
    <t xml:space="preserve"> - tárgyi eszköz értékesítés</t>
  </si>
  <si>
    <t>Kölcsön és visszatérülés (lakástám.,szoc+munkált., Távhő, egyéb)</t>
  </si>
  <si>
    <t>Ápolási díj (helyi megállapítás)</t>
  </si>
  <si>
    <t>Átmeneti segély</t>
  </si>
  <si>
    <t>Temetési segély</t>
  </si>
  <si>
    <t>Otthonteremtési támogatás</t>
  </si>
  <si>
    <t xml:space="preserve">   - - kötvényhozam, kamat</t>
  </si>
  <si>
    <t>Természetben nyújtott átmeneti segély</t>
  </si>
  <si>
    <t>Rendszeres gyermekvédelmi támogatás (normatív)</t>
  </si>
  <si>
    <t>Rendkívüli gyermekvédelmi támogatás (helyi megállapítás)</t>
  </si>
  <si>
    <t>Rászorultságtól függő pénzbeli szociális, gyermekvédelmi ellátások összesen</t>
  </si>
  <si>
    <t xml:space="preserve">Személyi juttatások </t>
  </si>
  <si>
    <t>M.adókat terh. jár.</t>
  </si>
  <si>
    <t xml:space="preserve">Dologi egyéb folyó </t>
  </si>
  <si>
    <t>Pénzeszk. átadás és kezesség váll.</t>
  </si>
  <si>
    <t xml:space="preserve"> - Sporttámogatás - THAC</t>
  </si>
  <si>
    <t>Önk.által foly. ellátás</t>
  </si>
  <si>
    <t>Hiteltörl. Kölcsön</t>
  </si>
  <si>
    <t xml:space="preserve"> - TEUT támogatás (Rákóczi u.)</t>
  </si>
  <si>
    <t>Természetben nyújtott ellátások összesen</t>
  </si>
  <si>
    <t>Önkormányzatok által folyósított szociális, gyermekvédelmi ellátások összesen:</t>
  </si>
  <si>
    <t xml:space="preserve"> - normatív</t>
  </si>
  <si>
    <t xml:space="preserve"> - méltányosság </t>
  </si>
  <si>
    <t xml:space="preserve"> - lakásértékesítés (részletek törlesztése)</t>
  </si>
  <si>
    <t xml:space="preserve"> - felhalmozási célra átvett pénzeszköz</t>
  </si>
  <si>
    <t xml:space="preserve"> - támogatás egészségügyi műk. célra Tb.</t>
  </si>
  <si>
    <t>Támogatás értékű bevétel összesen:</t>
  </si>
  <si>
    <t>Tatai fiatalok életkezdési támogatásához</t>
  </si>
  <si>
    <t>10. sz. melléklet</t>
  </si>
  <si>
    <t>11. sz. melléklet</t>
  </si>
  <si>
    <t>Tájékoztatás céljából</t>
  </si>
  <si>
    <t>Kötvénykibocsátásból bevétel:</t>
  </si>
  <si>
    <t>Készfizető kezesség: Tata Tóparti Víziközmű, Távhő Kft.</t>
  </si>
  <si>
    <t>Kötvényforrás tartaléka:</t>
  </si>
  <si>
    <t>Készfizető kezesség</t>
  </si>
  <si>
    <t>Kölcsön nyújtása lakáscélra:</t>
  </si>
  <si>
    <t xml:space="preserve"> - Önkormányzati bérlakások felújítása</t>
  </si>
  <si>
    <t xml:space="preserve"> - Rákóczi u. 9. homlokzat felújítás</t>
  </si>
  <si>
    <t xml:space="preserve"> - Kültérre kihelyezett eszközök felújítása</t>
  </si>
  <si>
    <t xml:space="preserve"> - Polgármesteri Hivatal felújítása</t>
  </si>
  <si>
    <t xml:space="preserve"> - Május 1. u. 5-17. direktág kialakítás</t>
  </si>
  <si>
    <t xml:space="preserve"> - Bartók B. u.-i Óvoda bővítése 43/2009./II.25./ sz. határozat</t>
  </si>
  <si>
    <t xml:space="preserve"> - Intézmények energiaracionalizálása 183/2008./VI.25./ sz. határozat</t>
  </si>
  <si>
    <t xml:space="preserve"> - Angol park rehabilitációja 263/2009./VII.2./ sz. határozat</t>
  </si>
  <si>
    <t xml:space="preserve"> - Kocsi u. - Dózsa Gy. u. kerékpárút 225/2009./VI.24./ sz. határozat</t>
  </si>
  <si>
    <t xml:space="preserve"> - Fáklya u. - Diófa u. korszerűsítése 280/2009./IX.9./ sz. határozat</t>
  </si>
  <si>
    <t xml:space="preserve"> - Kossuth tér rehabilitációja 399/2009./XI.13./ sz. határozat</t>
  </si>
  <si>
    <t xml:space="preserve"> - Kajakház, Öreg-tavi kerékpárút 283/2009/IX.9./ sz. határozat</t>
  </si>
  <si>
    <t xml:space="preserve"> - Új u.- Bölcsöde férőhely fejlesztés 261/2009/VII.2./ sz. határozat</t>
  </si>
  <si>
    <t xml:space="preserve"> - Piarista rendház átalakítás</t>
  </si>
  <si>
    <t xml:space="preserve"> - Turisztikai szakvélemény</t>
  </si>
  <si>
    <t xml:space="preserve"> - Rendezvényház megvalósíthatóségi tanulmány</t>
  </si>
  <si>
    <t xml:space="preserve"> - 460/89, 460/111 hrsz.-ú ingatlanokból terület vásárlás 369/2009./X.28./ sz. határozat</t>
  </si>
  <si>
    <t xml:space="preserve"> - Fényes-fürdő környezet terhelhetőségi tanulmány</t>
  </si>
  <si>
    <t xml:space="preserve"> - kötvény tartalék</t>
  </si>
  <si>
    <t>Felhalmozási céltartalék és kötvény tartalék</t>
  </si>
  <si>
    <t xml:space="preserve"> - Gyalogátkelő létesítés (Somogyi B. u. - Bacsó B. u.)</t>
  </si>
  <si>
    <t xml:space="preserve"> - Parkolóhely létesítés (Fazekas u.)</t>
  </si>
  <si>
    <t xml:space="preserve"> - Szélkút u. 3. kamra építés</t>
  </si>
  <si>
    <t xml:space="preserve"> - Bárány u. garázs bontás</t>
  </si>
  <si>
    <t xml:space="preserve"> - ÁROP pályázat, Polgármesteri Hivatal szervezetfejlesztése 165/2008/V.28./ sz. határozat</t>
  </si>
  <si>
    <t xml:space="preserve"> - Beruházásokhoz kapcsolódó közbeszerzések</t>
  </si>
  <si>
    <t xml:space="preserve"> - Tópart sétány közvilágítás tervezés</t>
  </si>
  <si>
    <t xml:space="preserve"> 2010. évi igények:</t>
  </si>
  <si>
    <t xml:space="preserve"> - Szivárvány Óvoda tetőfelújítása</t>
  </si>
  <si>
    <t xml:space="preserve"> - Kőkúti Általános Iskola vizesblokk</t>
  </si>
  <si>
    <t>Támogató szolgálat</t>
  </si>
  <si>
    <t>Közösségi ellátás</t>
  </si>
  <si>
    <t xml:space="preserve"> - "Partnerségek a prevencióért"</t>
  </si>
  <si>
    <t xml:space="preserve"> - Bejezett Viziközmű társulatok és Tata Tóparti Viziközmű Társulat</t>
  </si>
  <si>
    <t xml:space="preserve"> - "Hídépítés" EGTC </t>
  </si>
  <si>
    <t xml:space="preserve"> - Munkaügyi Központtól </t>
  </si>
  <si>
    <t xml:space="preserve"> - Mozgáskorlátozottak közlekedési támogatása</t>
  </si>
  <si>
    <t xml:space="preserve"> - Tatai Kistérségi Többcélú Társulástól</t>
  </si>
  <si>
    <t xml:space="preserve"> - Tatai Fényes Fürdő területén felújítási feladatok</t>
  </si>
  <si>
    <t>Kocsi u. - Dózsa Gy. u. kerékpárút projekmenedzsment megbízási díj (1.200 E Ft szem.juttatás, 292 E Ft járulék)</t>
  </si>
  <si>
    <t xml:space="preserve"> - Vértes Volán - helyi közlekedés normatív támogatása</t>
  </si>
  <si>
    <t xml:space="preserve"> - ÁROP hivatal szervezet fejlesztése</t>
  </si>
  <si>
    <t xml:space="preserve"> - Bartók B. u.-i Óvoda bővítése</t>
  </si>
  <si>
    <t xml:space="preserve"> - Angol Park rehabilitációja</t>
  </si>
  <si>
    <t xml:space="preserve"> - Fáklya u. - Diófa u. korszerűsítése</t>
  </si>
  <si>
    <t xml:space="preserve"> - József A. u vízrendezése</t>
  </si>
  <si>
    <t xml:space="preserve"> - Kocsi u. - Dózsa Gy. u. kerékpárút építés</t>
  </si>
  <si>
    <t xml:space="preserve"> - Kossuth tér rehabilitációja</t>
  </si>
  <si>
    <t xml:space="preserve"> - Kajakház- Öreg-tavi kerékpárút</t>
  </si>
  <si>
    <t xml:space="preserve"> - Új u.-i Bölcsöde férőhely bővítés</t>
  </si>
  <si>
    <t xml:space="preserve"> - ÁROP hivatal szervezetfejlesztése</t>
  </si>
  <si>
    <t xml:space="preserve"> - Polgármesteri Hivatal akadálymentesítése</t>
  </si>
  <si>
    <t>2010. évi alakulása (E Ft-ban)</t>
  </si>
  <si>
    <t>Pénzeszközátadások, támogatások 2010. évi előirányzata (E Ft-ban)</t>
  </si>
  <si>
    <t xml:space="preserve"> - Tatai Városgazda Nonprofit Kft. támogatása</t>
  </si>
  <si>
    <t xml:space="preserve"> - Kocsi u.  - Környei u.-i jelzőlámparendszer kiépítésére</t>
  </si>
  <si>
    <t xml:space="preserve"> - Május 1. u. - Almási u direktág kivitelezésére Útpénztárnak</t>
  </si>
  <si>
    <t xml:space="preserve"> - Panel Programra, Öko-programra, NEP pályázatokra</t>
  </si>
  <si>
    <t xml:space="preserve"> - TDM szervezet működésére, 141/2009./V.24./, 270/2009./VIII.12./ sz. határozatok alapján</t>
  </si>
  <si>
    <t xml:space="preserve"> - Tatai Kistérségi Többcélú Tásrulásnak Kistérségi energiaracionalizálás pályázatra 256/2009./VII.2./ sz. hat.</t>
  </si>
  <si>
    <t xml:space="preserve"> - Polgárdi Önkormányzatnak</t>
  </si>
  <si>
    <t xml:space="preserve"> - Környzetvédelmi alapra pályázók részére</t>
  </si>
  <si>
    <t>Előző évi pénzmaradvány (ebből kötvény maradvány 1.700.000 E Ft, működési pénzmaradvány 150.000 E Ft)</t>
  </si>
  <si>
    <t xml:space="preserve"> - Vissza nem térítendő lakástámogatások</t>
  </si>
  <si>
    <t xml:space="preserve"> - Sportalap pályázatokra</t>
  </si>
  <si>
    <t xml:space="preserve"> - Tatai Minimarathon</t>
  </si>
  <si>
    <t xml:space="preserve"> - Kőkúti Sasok DSE támogatása</t>
  </si>
  <si>
    <t xml:space="preserve"> - Tatai Kistérségi Többcélú Társulás tagdíj</t>
  </si>
  <si>
    <t xml:space="preserve"> - Bacsó B. u. szolgalmi jog bejegyzés</t>
  </si>
  <si>
    <t xml:space="preserve"> - Zrínyi u. - Temesvári út szolgalmi jog bejegyzés</t>
  </si>
  <si>
    <t xml:space="preserve"> - Tatai Kistérségi Többcélú Társulásnak Idősek Otthona</t>
  </si>
  <si>
    <t>Normatív lakásfenntartási támogatás</t>
  </si>
  <si>
    <t>Zöldterület-kezelés (Parkfenntartás)</t>
  </si>
  <si>
    <t>Zöldterület kezelés (játszótér fenntartás)</t>
  </si>
  <si>
    <t>024000</t>
  </si>
  <si>
    <t>Erdészeti szolgáltatás</t>
  </si>
  <si>
    <t>Egyéb kiadói tevékenység (lapkiadás)</t>
  </si>
  <si>
    <t>Út, autópálya építése</t>
  </si>
  <si>
    <t>Üdülői szálláshely szolgáltatás</t>
  </si>
  <si>
    <t>Közutak, hidak, alagutak üzemeltetése, fenntartása</t>
  </si>
  <si>
    <t>Önkormányzatok közbeszerzési eljárásainak lebonyolításával összefüggő feladatok</t>
  </si>
  <si>
    <t>Lakó- és nem lakó épületek építése</t>
  </si>
  <si>
    <t>Egyéb közösségi, társadalmi tevékenység</t>
  </si>
  <si>
    <t>Víztermelés-, kezelés, ellátás</t>
  </si>
  <si>
    <t>Saját tulajdonú ingatlan adásvétele</t>
  </si>
  <si>
    <t>Lakóingatlan bérbeadás</t>
  </si>
  <si>
    <t>Nem lakóingatlan bérbeadása</t>
  </si>
  <si>
    <t>Ingatlankezelés</t>
  </si>
  <si>
    <t>Állategészségügyi ellátás</t>
  </si>
  <si>
    <t>Közvilágítás</t>
  </si>
  <si>
    <t>Város- és községgazdálkodási szolgáltatások</t>
  </si>
  <si>
    <t>Szabadidős park, fürdő és strandszolgáltatás</t>
  </si>
  <si>
    <t>Köztemető fenntartás</t>
  </si>
  <si>
    <t>VKG Környezetvédelem</t>
  </si>
  <si>
    <t>Települési hulladékkezelés</t>
  </si>
  <si>
    <t>Szennyvíz gyűjtés elhelyezés</t>
  </si>
  <si>
    <t>Önkormányzat által nyújtott lakástámogatás</t>
  </si>
  <si>
    <t>Munkáltatók által nyújtott lakástámogatás</t>
  </si>
  <si>
    <t xml:space="preserve"> - Petőfi S. u.-i Idősek otthona pagodatető zsindelyezés</t>
  </si>
  <si>
    <t xml:space="preserve"> - Rákóczi u. felújításának közbeszerzési díja</t>
  </si>
  <si>
    <t xml:space="preserve"> - Fényes-fürdőn felújítási munkák</t>
  </si>
  <si>
    <t xml:space="preserve"> - Vaszary Általános Iskola Jázmin utcai Tagintézménye - villámhárító felújítása</t>
  </si>
  <si>
    <t xml:space="preserve"> - Bartók B. u.- Óvodába tűzátjelző berendezés</t>
  </si>
  <si>
    <t xml:space="preserve"> - 1994/31, 1984/2, 1993/51 hrsz-ú ingatlanok térítésmestes átvételéhez szükséges vízvezeték szolgalmi jog megváltáshoz kártérítés</t>
  </si>
  <si>
    <t xml:space="preserve"> - Krsitály fürdőre kerítés építés</t>
  </si>
  <si>
    <t>Tűzoltás, műszaki mentés, katasztrófahelyzet elhárítása (Polgári védelem)</t>
  </si>
  <si>
    <t>Tűzoltás, műszaki mentés, katasztrófahelyzet elhárítása</t>
  </si>
  <si>
    <t>Közcélú foglalkoztatás</t>
  </si>
  <si>
    <t>Közhasznú foglalkoztatás</t>
  </si>
  <si>
    <t>Egyéb önkormányzati eseti pénzbeli ellátás (Eseti és hivatalos gondnok)</t>
  </si>
  <si>
    <t>Közterület rendjének fenntartása (Polgárőrség)</t>
  </si>
  <si>
    <t>Egyéb személyi szolgáltatás (CSERI)</t>
  </si>
  <si>
    <t>Máshova nem sorolható sport támogatások</t>
  </si>
  <si>
    <t>Utánpótlás nevelési tevékenység és támogatása (Sport iskola)</t>
  </si>
  <si>
    <t>Kiemelt önkormányzati rendezvények (Minimarathon)</t>
  </si>
  <si>
    <t>Kiemelt önkormányzati rendezvények (Városi ünnepek)</t>
  </si>
  <si>
    <t xml:space="preserve"> - Házi segítségnyújtás</t>
  </si>
  <si>
    <t xml:space="preserve"> - Támogató szolgáltatásra</t>
  </si>
  <si>
    <t xml:space="preserve"> - Közösségi alapellátás</t>
  </si>
  <si>
    <t xml:space="preserve"> - Közösségi ellátás (informatikai eszközbeszerzés)</t>
  </si>
  <si>
    <t>Önkormányzatok elszámolása (adók)</t>
  </si>
  <si>
    <t>Önkormányzatok elszámolása (normatíva)</t>
  </si>
  <si>
    <t>Óvodai nevelés</t>
  </si>
  <si>
    <t>Alapfokú oktatás</t>
  </si>
  <si>
    <t>Tanulmányi ösztöndíj</t>
  </si>
  <si>
    <t>Szociális ösztöndíj</t>
  </si>
  <si>
    <t>Alapfokú művészeti oktatás</t>
  </si>
  <si>
    <t>Önkormányzato ifjúsági rendezvények és programok, valamint támogatások (Gyermekbarát város)</t>
  </si>
  <si>
    <t>Oktatási kiegészítő tevékenységek komplex támogatása</t>
  </si>
  <si>
    <t>Közművelődési tevékenység támogatása</t>
  </si>
  <si>
    <t>Bölcsödei ellátás</t>
  </si>
  <si>
    <t>Önkormányzati szociális ámogatások finanszírozása</t>
  </si>
  <si>
    <t>Járóbeteg-ellátás, fogorvosi ellátás komplex fejlesztési támogatása (Háziorvosok)</t>
  </si>
  <si>
    <t>Könyvkiadás</t>
  </si>
  <si>
    <t>Gyermekjóléti szociális ellátás</t>
  </si>
  <si>
    <t>Sportszabadidős képzés (Tanuszoda)</t>
  </si>
  <si>
    <t>Helyi rendszeres lakásfenntartási támogatás</t>
  </si>
  <si>
    <t xml:space="preserve"> - Kisebbségi képviselő választás</t>
  </si>
  <si>
    <t>Ápolási díj alanyi jogon</t>
  </si>
  <si>
    <t>Ápolási díj méltányossági alapon</t>
  </si>
  <si>
    <t>Rendszeres GYEV</t>
  </si>
  <si>
    <t>Rendkívüli GYEV</t>
  </si>
  <si>
    <t>Egyéb önkormányzati eseti pénzbeli ellátások (életkezdési támogatás)</t>
  </si>
  <si>
    <t>Adósságkezelés</t>
  </si>
  <si>
    <t>Nemzeti ünnepek</t>
  </si>
  <si>
    <t>Kiemelt Önkormányzati rendezvények</t>
  </si>
  <si>
    <t>Város- és községgazdálkodási szolgáltatások (kistérségi energiarac.)</t>
  </si>
  <si>
    <t>Fénymásolás, egyéb irodai szolgáltatás</t>
  </si>
  <si>
    <t>Egyéb gép, tárgyi eszköz kölcsönzés</t>
  </si>
  <si>
    <t>Személygépjármű kölcsönzés</t>
  </si>
  <si>
    <t>Város- és községgazdálkodási szolgáltatások (Építés és településfejlesztés)</t>
  </si>
  <si>
    <t>Finanszírozási műveletek (hitel, készfizető kezesség, hitelkamat)</t>
  </si>
  <si>
    <t>Önkormányzat nemzetközi kapcsolatai (Testvérváros)</t>
  </si>
  <si>
    <t>Önkormányzatok elszámolásai (Építési bírság)</t>
  </si>
  <si>
    <t>Közterület-felügyelet 842421</t>
  </si>
  <si>
    <t>841127</t>
  </si>
  <si>
    <t>Önkormányzatok igazgatási tevékenysége</t>
  </si>
  <si>
    <t>Önkormányzatok igazgatási tevékenysége (Pénzmaradvány)</t>
  </si>
  <si>
    <t>Önkormányzati jogalkotás (képviselők)</t>
  </si>
  <si>
    <t xml:space="preserve"> - Gondoskodó kistérség, szociális alapellátások minőségi fejlesztése projekt</t>
  </si>
  <si>
    <t xml:space="preserve"> - Kisajátítások</t>
  </si>
  <si>
    <t xml:space="preserve"> -- Agostyáni u. - Nyár u.</t>
  </si>
  <si>
    <t xml:space="preserve"> -- Agostyán, Kert u.</t>
  </si>
  <si>
    <t xml:space="preserve"> -- Újhegy</t>
  </si>
  <si>
    <t xml:space="preserve"> -- Akácfa u.</t>
  </si>
  <si>
    <t xml:space="preserve"> - Ravatalozó felújítás</t>
  </si>
  <si>
    <t xml:space="preserve"> - Tardos Önkormányzattól általános iskola működésre</t>
  </si>
  <si>
    <t xml:space="preserve"> - Tatai Városgazda Nonprofit Kft.-nek telephely kialakításra</t>
  </si>
  <si>
    <t xml:space="preserve"> - Foglalkoztatás növelő támogatás (kis- és középvállalkozások)</t>
  </si>
  <si>
    <t>Támogatásértékű felhalmozási célú bevételek:</t>
  </si>
  <si>
    <t>Bartók B.u.-i. Óvoda bővítése</t>
  </si>
  <si>
    <t>Intézmények energiaracionalizálása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</si>
</sst>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0"/>
    <numFmt numFmtId="171" formatCode="yyyy/\ m/\ d\."/>
    <numFmt numFmtId="172" formatCode="#,##0.0"/>
    <numFmt numFmtId="173" formatCode="0&quot;.folyósítás&quot;"/>
    <numFmt numFmtId="174" formatCode="#,##0.000"/>
    <numFmt numFmtId="175" formatCode="#,##0,"/>
    <numFmt numFmtId="176" formatCode="#,##0;[Red]\-#,##0"/>
    <numFmt numFmtId="177" formatCode="0.0%"/>
    <numFmt numFmtId="178" formatCode="[$-40E]yyyy\.\ mmmm\ d\."/>
    <numFmt numFmtId="179" formatCode="[$-40E]yyyy/\ mmm/\ d\.;@"/>
    <numFmt numFmtId="180" formatCode="[$-F800]dddd\,\ mmmm\ dd\,\ yyyy"/>
    <numFmt numFmtId="181" formatCode="#,##0.0000000"/>
    <numFmt numFmtId="182" formatCode="#,##0.000000"/>
    <numFmt numFmtId="183" formatCode="mmm\ d/"/>
  </numFmts>
  <fonts count="43">
    <font>
      <sz val="10"/>
      <name val="Arial CE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Times New Roman"/>
      <family val="1"/>
    </font>
    <font>
      <sz val="10"/>
      <name val="MS Sans Serif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Arial CE"/>
      <family val="0"/>
    </font>
    <font>
      <b/>
      <i/>
      <sz val="11"/>
      <name val="Times New Roman CE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10"/>
      <name val="Times New Roman CE"/>
      <family val="1"/>
    </font>
    <font>
      <b/>
      <sz val="12"/>
      <name val="Times New Roman"/>
      <family val="1"/>
    </font>
    <font>
      <b/>
      <i/>
      <sz val="10"/>
      <name val="Times New Roman CE"/>
      <family val="1"/>
    </font>
    <font>
      <b/>
      <i/>
      <sz val="10"/>
      <name val="Arial CE"/>
      <family val="0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i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 CE"/>
      <family val="0"/>
    </font>
    <font>
      <b/>
      <sz val="7"/>
      <color indexed="10"/>
      <name val="Times New Roman"/>
      <family val="1"/>
    </font>
  </fonts>
  <fills count="2">
    <fill>
      <patternFill/>
    </fill>
    <fill>
      <patternFill patternType="gray125"/>
    </fill>
  </fills>
  <borders count="115">
    <border>
      <left/>
      <right/>
      <top/>
      <bottom/>
      <diagonal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21" applyFont="1" applyAlignment="1" quotePrefix="1">
      <alignment horizontal="left"/>
      <protection/>
    </xf>
    <xf numFmtId="0" fontId="3" fillId="0" borderId="0" xfId="21" applyFont="1" applyAlignment="1">
      <alignment/>
      <protection/>
    </xf>
    <xf numFmtId="0" fontId="3" fillId="0" borderId="0" xfId="21" applyFont="1">
      <alignment/>
      <protection/>
    </xf>
    <xf numFmtId="3" fontId="3" fillId="0" borderId="0" xfId="21" applyNumberFormat="1" applyFont="1">
      <alignment/>
      <protection/>
    </xf>
    <xf numFmtId="3" fontId="3" fillId="0" borderId="0" xfId="21" applyNumberFormat="1" applyFont="1" applyAlignment="1">
      <alignment horizontal="right"/>
      <protection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21" applyFont="1">
      <alignment/>
      <protection/>
    </xf>
    <xf numFmtId="0" fontId="3" fillId="0" borderId="0" xfId="21" applyFont="1" applyBorder="1">
      <alignment/>
      <protection/>
    </xf>
    <xf numFmtId="0" fontId="3" fillId="0" borderId="8" xfId="21" applyFont="1" applyBorder="1">
      <alignment/>
      <protection/>
    </xf>
    <xf numFmtId="3" fontId="4" fillId="0" borderId="0" xfId="21" applyNumberFormat="1" applyFont="1" applyBorder="1">
      <alignment/>
      <protection/>
    </xf>
    <xf numFmtId="0" fontId="2" fillId="0" borderId="0" xfId="0" applyFont="1" applyAlignment="1">
      <alignment/>
    </xf>
    <xf numFmtId="0" fontId="9" fillId="0" borderId="0" xfId="19" applyFont="1">
      <alignment/>
      <protection/>
    </xf>
    <xf numFmtId="0" fontId="9" fillId="0" borderId="0" xfId="19" applyFont="1" applyAlignment="1">
      <alignment horizontal="center"/>
      <protection/>
    </xf>
    <xf numFmtId="3" fontId="9" fillId="0" borderId="0" xfId="19" applyNumberFormat="1" applyFont="1">
      <alignment/>
      <protection/>
    </xf>
    <xf numFmtId="0" fontId="9" fillId="0" borderId="0" xfId="19" applyFont="1" applyAlignment="1">
      <alignment horizontal="right"/>
      <protection/>
    </xf>
    <xf numFmtId="0" fontId="9" fillId="0" borderId="0" xfId="19" applyFont="1" applyAlignment="1">
      <alignment horizontal="centerContinuous"/>
      <protection/>
    </xf>
    <xf numFmtId="3" fontId="14" fillId="0" borderId="0" xfId="19" applyNumberFormat="1" applyFont="1" applyAlignment="1">
      <alignment horizontal="right"/>
      <protection/>
    </xf>
    <xf numFmtId="0" fontId="16" fillId="0" borderId="0" xfId="19" applyFont="1">
      <alignment/>
      <protection/>
    </xf>
    <xf numFmtId="0" fontId="16" fillId="0" borderId="0" xfId="19" applyFont="1" applyBorder="1">
      <alignment/>
      <protection/>
    </xf>
    <xf numFmtId="0" fontId="1" fillId="0" borderId="0" xfId="19" applyFont="1">
      <alignment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3" fontId="4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0" borderId="12" xfId="0" applyNumberFormat="1" applyFont="1" applyBorder="1" applyAlignment="1">
      <alignment wrapText="1"/>
    </xf>
    <xf numFmtId="0" fontId="4" fillId="0" borderId="13" xfId="0" applyFont="1" applyBorder="1" applyAlignment="1">
      <alignment/>
    </xf>
    <xf numFmtId="0" fontId="17" fillId="0" borderId="0" xfId="21" applyFont="1" applyAlignment="1" quotePrefix="1">
      <alignment horizontal="center"/>
      <protection/>
    </xf>
    <xf numFmtId="0" fontId="18" fillId="0" borderId="0" xfId="21" applyFont="1">
      <alignment/>
      <protection/>
    </xf>
    <xf numFmtId="0" fontId="18" fillId="0" borderId="0" xfId="0" applyFont="1" applyAlignment="1">
      <alignment/>
    </xf>
    <xf numFmtId="0" fontId="18" fillId="0" borderId="0" xfId="21" applyFont="1" applyAlignment="1" quotePrefix="1">
      <alignment horizontal="left"/>
      <protection/>
    </xf>
    <xf numFmtId="0" fontId="18" fillId="0" borderId="0" xfId="21" applyFont="1" applyAlignment="1">
      <alignment/>
      <protection/>
    </xf>
    <xf numFmtId="0" fontId="17" fillId="0" borderId="0" xfId="0" applyFont="1" applyAlignment="1">
      <alignment horizontal="center"/>
    </xf>
    <xf numFmtId="3" fontId="4" fillId="0" borderId="12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37" fontId="4" fillId="0" borderId="12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 wrapText="1"/>
    </xf>
    <xf numFmtId="37" fontId="4" fillId="0" borderId="16" xfId="0" applyNumberFormat="1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4" fillId="0" borderId="17" xfId="19" applyFont="1" applyBorder="1" applyAlignment="1">
      <alignment horizontal="centerContinuous"/>
      <protection/>
    </xf>
    <xf numFmtId="3" fontId="9" fillId="0" borderId="12" xfId="19" applyNumberFormat="1" applyFont="1" applyBorder="1">
      <alignment/>
      <protection/>
    </xf>
    <xf numFmtId="3" fontId="9" fillId="0" borderId="3" xfId="19" applyNumberFormat="1" applyFont="1" applyBorder="1">
      <alignment/>
      <protection/>
    </xf>
    <xf numFmtId="3" fontId="9" fillId="0" borderId="18" xfId="19" applyNumberFormat="1" applyFont="1" applyBorder="1">
      <alignment/>
      <protection/>
    </xf>
    <xf numFmtId="49" fontId="9" fillId="0" borderId="13" xfId="19" applyNumberFormat="1" applyFont="1" applyBorder="1" applyAlignment="1">
      <alignment horizontal="center"/>
      <protection/>
    </xf>
    <xf numFmtId="3" fontId="9" fillId="0" borderId="19" xfId="19" applyNumberFormat="1" applyFont="1" applyBorder="1">
      <alignment/>
      <protection/>
    </xf>
    <xf numFmtId="49" fontId="9" fillId="0" borderId="1" xfId="19" applyNumberFormat="1" applyFont="1" applyBorder="1" applyAlignment="1">
      <alignment horizontal="center"/>
      <protection/>
    </xf>
    <xf numFmtId="3" fontId="9" fillId="0" borderId="12" xfId="19" applyNumberFormat="1" applyFont="1" applyBorder="1" applyAlignment="1">
      <alignment horizontal="right"/>
      <protection/>
    </xf>
    <xf numFmtId="3" fontId="9" fillId="0" borderId="19" xfId="19" applyNumberFormat="1" applyFont="1" applyBorder="1" applyAlignment="1">
      <alignment horizontal="right"/>
      <protection/>
    </xf>
    <xf numFmtId="3" fontId="14" fillId="0" borderId="12" xfId="19" applyNumberFormat="1" applyFont="1" applyBorder="1">
      <alignment/>
      <protection/>
    </xf>
    <xf numFmtId="3" fontId="14" fillId="0" borderId="19" xfId="19" applyNumberFormat="1" applyFont="1" applyBorder="1">
      <alignment/>
      <protection/>
    </xf>
    <xf numFmtId="0" fontId="3" fillId="0" borderId="14" xfId="0" applyFont="1" applyBorder="1" applyAlignment="1">
      <alignment wrapText="1"/>
    </xf>
    <xf numFmtId="0" fontId="16" fillId="0" borderId="0" xfId="19" applyFont="1" applyAlignment="1">
      <alignment horizontal="center"/>
      <protection/>
    </xf>
    <xf numFmtId="0" fontId="16" fillId="0" borderId="12" xfId="19" applyFont="1" applyBorder="1">
      <alignment/>
      <protection/>
    </xf>
    <xf numFmtId="0" fontId="16" fillId="0" borderId="3" xfId="19" applyFont="1" applyBorder="1">
      <alignment/>
      <protection/>
    </xf>
    <xf numFmtId="0" fontId="1" fillId="0" borderId="12" xfId="19" applyFont="1" applyBorder="1">
      <alignment/>
      <protection/>
    </xf>
    <xf numFmtId="0" fontId="14" fillId="0" borderId="1" xfId="19" applyFont="1" applyBorder="1" applyAlignment="1">
      <alignment horizontal="left"/>
      <protection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13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20" fillId="0" borderId="13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20" xfId="0" applyFont="1" applyBorder="1" applyAlignment="1">
      <alignment horizontal="justify" vertical="top" wrapText="1"/>
    </xf>
    <xf numFmtId="0" fontId="21" fillId="0" borderId="0" xfId="0" applyFont="1" applyAlignment="1">
      <alignment horizontal="justify"/>
    </xf>
    <xf numFmtId="3" fontId="9" fillId="0" borderId="16" xfId="19" applyNumberFormat="1" applyFont="1" applyBorder="1">
      <alignment/>
      <protection/>
    </xf>
    <xf numFmtId="0" fontId="17" fillId="0" borderId="21" xfId="21" applyFont="1" applyBorder="1" applyAlignment="1">
      <alignment horizontal="center"/>
      <protection/>
    </xf>
    <xf numFmtId="0" fontId="17" fillId="0" borderId="22" xfId="21" applyFont="1" applyBorder="1" applyAlignment="1">
      <alignment horizontal="center"/>
      <protection/>
    </xf>
    <xf numFmtId="0" fontId="18" fillId="0" borderId="23" xfId="21" applyFont="1" applyBorder="1">
      <alignment/>
      <protection/>
    </xf>
    <xf numFmtId="3" fontId="18" fillId="0" borderId="24" xfId="21" applyNumberFormat="1" applyFont="1" applyBorder="1">
      <alignment/>
      <protection/>
    </xf>
    <xf numFmtId="0" fontId="18" fillId="0" borderId="25" xfId="21" applyFont="1" applyBorder="1" applyAlignment="1" quotePrefix="1">
      <alignment horizontal="left"/>
      <protection/>
    </xf>
    <xf numFmtId="3" fontId="18" fillId="0" borderId="25" xfId="21" applyNumberFormat="1" applyFont="1" applyBorder="1">
      <alignment/>
      <protection/>
    </xf>
    <xf numFmtId="0" fontId="18" fillId="0" borderId="26" xfId="21" applyFont="1" applyBorder="1">
      <alignment/>
      <protection/>
    </xf>
    <xf numFmtId="0" fontId="18" fillId="0" borderId="25" xfId="21" applyFont="1" applyBorder="1">
      <alignment/>
      <protection/>
    </xf>
    <xf numFmtId="3" fontId="18" fillId="0" borderId="26" xfId="21" applyNumberFormat="1" applyFont="1" applyBorder="1">
      <alignment/>
      <protection/>
    </xf>
    <xf numFmtId="0" fontId="18" fillId="0" borderId="25" xfId="21" applyFont="1" applyBorder="1" applyAlignment="1">
      <alignment/>
      <protection/>
    </xf>
    <xf numFmtId="0" fontId="18" fillId="0" borderId="26" xfId="21" applyFont="1" applyBorder="1" applyAlignment="1">
      <alignment horizontal="left"/>
      <protection/>
    </xf>
    <xf numFmtId="3" fontId="18" fillId="0" borderId="27" xfId="21" applyNumberFormat="1" applyFont="1" applyBorder="1">
      <alignment/>
      <protection/>
    </xf>
    <xf numFmtId="0" fontId="18" fillId="0" borderId="26" xfId="0" applyFont="1" applyBorder="1" applyAlignment="1">
      <alignment/>
    </xf>
    <xf numFmtId="0" fontId="18" fillId="0" borderId="28" xfId="21" applyFont="1" applyBorder="1">
      <alignment/>
      <protection/>
    </xf>
    <xf numFmtId="3" fontId="18" fillId="0" borderId="28" xfId="21" applyNumberFormat="1" applyFont="1" applyBorder="1">
      <alignment/>
      <protection/>
    </xf>
    <xf numFmtId="0" fontId="18" fillId="0" borderId="28" xfId="0" applyFont="1" applyBorder="1" applyAlignment="1">
      <alignment/>
    </xf>
    <xf numFmtId="0" fontId="17" fillId="0" borderId="29" xfId="21" applyFont="1" applyBorder="1">
      <alignment/>
      <protection/>
    </xf>
    <xf numFmtId="3" fontId="17" fillId="0" borderId="29" xfId="21" applyNumberFormat="1" applyFont="1" applyBorder="1">
      <alignment/>
      <protection/>
    </xf>
    <xf numFmtId="0" fontId="18" fillId="0" borderId="0" xfId="21" applyFont="1" applyBorder="1">
      <alignment/>
      <protection/>
    </xf>
    <xf numFmtId="0" fontId="17" fillId="0" borderId="5" xfId="21" applyFont="1" applyBorder="1" applyAlignment="1">
      <alignment horizontal="centerContinuous"/>
      <protection/>
    </xf>
    <xf numFmtId="0" fontId="17" fillId="0" borderId="30" xfId="21" applyFont="1" applyBorder="1" applyAlignment="1">
      <alignment horizontal="centerContinuous"/>
      <protection/>
    </xf>
    <xf numFmtId="3" fontId="18" fillId="0" borderId="31" xfId="21" applyNumberFormat="1" applyFont="1" applyBorder="1">
      <alignment/>
      <protection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left" vertical="center" wrapText="1"/>
    </xf>
    <xf numFmtId="165" fontId="9" fillId="0" borderId="0" xfId="0" applyNumberFormat="1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28" fillId="0" borderId="1" xfId="0" applyFont="1" applyBorder="1" applyAlignment="1">
      <alignment/>
    </xf>
    <xf numFmtId="3" fontId="28" fillId="0" borderId="12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" xfId="0" applyFont="1" applyBorder="1" applyAlignment="1">
      <alignment shrinkToFit="1"/>
    </xf>
    <xf numFmtId="0" fontId="4" fillId="0" borderId="7" xfId="0" applyFont="1" applyBorder="1" applyAlignment="1">
      <alignment shrinkToFit="1"/>
    </xf>
    <xf numFmtId="3" fontId="4" fillId="0" borderId="16" xfId="0" applyNumberFormat="1" applyFont="1" applyBorder="1" applyAlignment="1">
      <alignment/>
    </xf>
    <xf numFmtId="0" fontId="14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30" fillId="0" borderId="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0" fillId="0" borderId="1" xfId="0" applyFont="1" applyBorder="1" applyAlignment="1">
      <alignment/>
    </xf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vertical="top" wrapText="1" shrinkToFit="1"/>
    </xf>
    <xf numFmtId="3" fontId="4" fillId="0" borderId="11" xfId="0" applyNumberFormat="1" applyFont="1" applyBorder="1" applyAlignment="1">
      <alignment wrapText="1"/>
    </xf>
    <xf numFmtId="0" fontId="31" fillId="0" borderId="0" xfId="0" applyFont="1" applyAlignment="1">
      <alignment/>
    </xf>
    <xf numFmtId="0" fontId="11" fillId="0" borderId="0" xfId="0" applyFont="1" applyAlignment="1">
      <alignment/>
    </xf>
    <xf numFmtId="0" fontId="32" fillId="0" borderId="1" xfId="0" applyFont="1" applyBorder="1" applyAlignment="1">
      <alignment shrinkToFit="1"/>
    </xf>
    <xf numFmtId="0" fontId="32" fillId="0" borderId="13" xfId="0" applyFont="1" applyBorder="1" applyAlignment="1">
      <alignment horizontal="justify" vertical="top" wrapText="1"/>
    </xf>
    <xf numFmtId="0" fontId="32" fillId="0" borderId="0" xfId="0" applyFont="1" applyAlignment="1">
      <alignment/>
    </xf>
    <xf numFmtId="0" fontId="3" fillId="0" borderId="32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33" fillId="0" borderId="1" xfId="0" applyFont="1" applyBorder="1" applyAlignment="1">
      <alignment/>
    </xf>
    <xf numFmtId="0" fontId="34" fillId="0" borderId="0" xfId="0" applyFont="1" applyAlignment="1">
      <alignment/>
    </xf>
    <xf numFmtId="0" fontId="32" fillId="0" borderId="1" xfId="0" applyFont="1" applyBorder="1" applyAlignment="1">
      <alignment/>
    </xf>
    <xf numFmtId="0" fontId="14" fillId="0" borderId="1" xfId="0" applyFont="1" applyBorder="1" applyAlignment="1">
      <alignment shrinkToFit="1"/>
    </xf>
    <xf numFmtId="0" fontId="9" fillId="0" borderId="1" xfId="0" applyFont="1" applyBorder="1" applyAlignment="1">
      <alignment shrinkToFit="1"/>
    </xf>
    <xf numFmtId="0" fontId="14" fillId="0" borderId="0" xfId="0" applyFont="1" applyAlignment="1">
      <alignment/>
    </xf>
    <xf numFmtId="0" fontId="9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9" fillId="0" borderId="14" xfId="0" applyFont="1" applyBorder="1" applyAlignment="1">
      <alignment shrinkToFit="1"/>
    </xf>
    <xf numFmtId="0" fontId="14" fillId="0" borderId="1" xfId="0" applyFont="1" applyBorder="1" applyAlignment="1">
      <alignment/>
    </xf>
    <xf numFmtId="0" fontId="33" fillId="0" borderId="1" xfId="0" applyFont="1" applyBorder="1" applyAlignment="1">
      <alignment shrinkToFit="1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2" fillId="0" borderId="7" xfId="0" applyFont="1" applyBorder="1" applyAlignment="1">
      <alignment shrinkToFit="1"/>
    </xf>
    <xf numFmtId="0" fontId="9" fillId="0" borderId="1" xfId="0" applyFont="1" applyBorder="1" applyAlignment="1">
      <alignment wrapText="1"/>
    </xf>
    <xf numFmtId="0" fontId="14" fillId="0" borderId="7" xfId="0" applyFont="1" applyBorder="1" applyAlignment="1">
      <alignment shrinkToFit="1"/>
    </xf>
    <xf numFmtId="0" fontId="9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0" fontId="4" fillId="0" borderId="1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33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3" fontId="28" fillId="0" borderId="38" xfId="0" applyNumberFormat="1" applyFont="1" applyBorder="1" applyAlignment="1">
      <alignment horizontal="right" vertical="center" wrapText="1"/>
    </xf>
    <xf numFmtId="3" fontId="4" fillId="0" borderId="39" xfId="0" applyNumberFormat="1" applyFont="1" applyBorder="1" applyAlignment="1">
      <alignment/>
    </xf>
    <xf numFmtId="0" fontId="3" fillId="0" borderId="40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3" fontId="3" fillId="0" borderId="41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0" fontId="3" fillId="0" borderId="40" xfId="0" applyFont="1" applyBorder="1" applyAlignment="1">
      <alignment/>
    </xf>
    <xf numFmtId="3" fontId="28" fillId="0" borderId="32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49" fontId="3" fillId="0" borderId="32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4" fillId="0" borderId="32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0" fontId="3" fillId="0" borderId="4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49" fontId="3" fillId="0" borderId="40" xfId="0" applyNumberFormat="1" applyFont="1" applyBorder="1" applyAlignment="1">
      <alignment/>
    </xf>
    <xf numFmtId="49" fontId="4" fillId="0" borderId="3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0" fontId="4" fillId="0" borderId="40" xfId="0" applyFont="1" applyBorder="1" applyAlignment="1">
      <alignment/>
    </xf>
    <xf numFmtId="49" fontId="4" fillId="0" borderId="44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0" xfId="0" applyNumberFormat="1" applyFont="1" applyAlignment="1">
      <alignment/>
    </xf>
    <xf numFmtId="0" fontId="18" fillId="0" borderId="26" xfId="0" applyFont="1" applyBorder="1" applyAlignment="1">
      <alignment shrinkToFit="1"/>
    </xf>
    <xf numFmtId="3" fontId="4" fillId="0" borderId="35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Continuous"/>
    </xf>
    <xf numFmtId="0" fontId="3" fillId="0" borderId="12" xfId="0" applyFont="1" applyBorder="1" applyAlignment="1">
      <alignment/>
    </xf>
    <xf numFmtId="3" fontId="30" fillId="0" borderId="16" xfId="0" applyNumberFormat="1" applyFont="1" applyBorder="1" applyAlignment="1">
      <alignment/>
    </xf>
    <xf numFmtId="0" fontId="1" fillId="0" borderId="16" xfId="19" applyFont="1" applyBorder="1">
      <alignment/>
      <protection/>
    </xf>
    <xf numFmtId="0" fontId="16" fillId="0" borderId="16" xfId="19" applyFont="1" applyBorder="1">
      <alignment/>
      <protection/>
    </xf>
    <xf numFmtId="0" fontId="34" fillId="0" borderId="45" xfId="0" applyFont="1" applyBorder="1" applyAlignment="1">
      <alignment/>
    </xf>
    <xf numFmtId="0" fontId="9" fillId="0" borderId="46" xfId="0" applyFont="1" applyBorder="1" applyAlignment="1">
      <alignment/>
    </xf>
    <xf numFmtId="0" fontId="32" fillId="0" borderId="46" xfId="0" applyFont="1" applyBorder="1" applyAlignment="1">
      <alignment/>
    </xf>
    <xf numFmtId="0" fontId="34" fillId="0" borderId="46" xfId="0" applyFont="1" applyBorder="1" applyAlignment="1">
      <alignment/>
    </xf>
    <xf numFmtId="0" fontId="9" fillId="0" borderId="46" xfId="0" applyFont="1" applyBorder="1" applyAlignment="1">
      <alignment shrinkToFit="1"/>
    </xf>
    <xf numFmtId="0" fontId="14" fillId="0" borderId="46" xfId="0" applyFont="1" applyBorder="1" applyAlignment="1">
      <alignment/>
    </xf>
    <xf numFmtId="0" fontId="9" fillId="0" borderId="3" xfId="19" applyFont="1" applyBorder="1" applyAlignment="1">
      <alignment/>
      <protection/>
    </xf>
    <xf numFmtId="0" fontId="9" fillId="0" borderId="45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/>
    </xf>
    <xf numFmtId="0" fontId="28" fillId="0" borderId="12" xfId="0" applyFont="1" applyBorder="1" applyAlignment="1">
      <alignment/>
    </xf>
    <xf numFmtId="0" fontId="9" fillId="0" borderId="13" xfId="0" applyFont="1" applyBorder="1" applyAlignment="1">
      <alignment shrinkToFit="1"/>
    </xf>
    <xf numFmtId="0" fontId="4" fillId="0" borderId="47" xfId="0" applyFont="1" applyBorder="1" applyAlignment="1">
      <alignment horizontal="center" vertical="center"/>
    </xf>
    <xf numFmtId="3" fontId="4" fillId="0" borderId="48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21" applyFont="1" applyAlignment="1">
      <alignment horizontal="left"/>
      <protection/>
    </xf>
    <xf numFmtId="0" fontId="17" fillId="0" borderId="0" xfId="21" applyFont="1" applyAlignment="1">
      <alignment horizontal="left"/>
      <protection/>
    </xf>
    <xf numFmtId="0" fontId="14" fillId="0" borderId="0" xfId="19" applyFont="1" applyAlignment="1">
      <alignment/>
      <protection/>
    </xf>
    <xf numFmtId="0" fontId="15" fillId="0" borderId="0" xfId="0" applyFont="1" applyAlignment="1">
      <alignment/>
    </xf>
    <xf numFmtId="0" fontId="9" fillId="0" borderId="12" xfId="19" applyFont="1" applyBorder="1" applyAlignment="1">
      <alignment horizontal="right"/>
      <protection/>
    </xf>
    <xf numFmtId="3" fontId="9" fillId="0" borderId="18" xfId="19" applyNumberFormat="1" applyFont="1" applyBorder="1" applyAlignment="1">
      <alignment horizontal="right"/>
      <protection/>
    </xf>
    <xf numFmtId="3" fontId="9" fillId="0" borderId="3" xfId="19" applyNumberFormat="1" applyFont="1" applyBorder="1" applyAlignment="1">
      <alignment horizontal="right"/>
      <protection/>
    </xf>
    <xf numFmtId="3" fontId="14" fillId="0" borderId="12" xfId="19" applyNumberFormat="1" applyFont="1" applyBorder="1" applyAlignment="1">
      <alignment horizontal="right"/>
      <protection/>
    </xf>
    <xf numFmtId="3" fontId="14" fillId="0" borderId="19" xfId="19" applyNumberFormat="1" applyFont="1" applyBorder="1" applyAlignment="1">
      <alignment horizontal="right"/>
      <protection/>
    </xf>
    <xf numFmtId="3" fontId="9" fillId="0" borderId="0" xfId="19" applyNumberFormat="1" applyFont="1" applyAlignment="1">
      <alignment horizontal="right"/>
      <protection/>
    </xf>
    <xf numFmtId="0" fontId="9" fillId="0" borderId="12" xfId="19" applyFont="1" applyBorder="1" applyAlignment="1">
      <alignment/>
      <protection/>
    </xf>
    <xf numFmtId="1" fontId="9" fillId="0" borderId="13" xfId="19" applyNumberFormat="1" applyFont="1" applyBorder="1" applyAlignment="1">
      <alignment horizontal="center"/>
      <protection/>
    </xf>
    <xf numFmtId="1" fontId="9" fillId="0" borderId="1" xfId="19" applyNumberFormat="1" applyFont="1" applyBorder="1" applyAlignment="1">
      <alignment horizontal="center"/>
      <protection/>
    </xf>
    <xf numFmtId="1" fontId="9" fillId="0" borderId="1" xfId="0" applyNumberFormat="1" applyFont="1" applyBorder="1" applyAlignment="1">
      <alignment horizontal="center" vertical="center"/>
    </xf>
    <xf numFmtId="0" fontId="9" fillId="0" borderId="17" xfId="19" applyFont="1" applyBorder="1" applyAlignment="1">
      <alignment horizontal="centerContinuous"/>
      <protection/>
    </xf>
    <xf numFmtId="0" fontId="9" fillId="0" borderId="12" xfId="19" applyFont="1" applyBorder="1" applyAlignment="1">
      <alignment horizontal="left"/>
      <protection/>
    </xf>
    <xf numFmtId="0" fontId="9" fillId="0" borderId="12" xfId="0" applyFont="1" applyBorder="1" applyAlignment="1">
      <alignment horizontal="left" vertical="center"/>
    </xf>
    <xf numFmtId="1" fontId="9" fillId="0" borderId="7" xfId="19" applyNumberFormat="1" applyFont="1" applyBorder="1" applyAlignment="1">
      <alignment horizontal="center"/>
      <protection/>
    </xf>
    <xf numFmtId="0" fontId="9" fillId="0" borderId="16" xfId="19" applyFont="1" applyBorder="1" applyAlignment="1">
      <alignment/>
      <protection/>
    </xf>
    <xf numFmtId="0" fontId="3" fillId="0" borderId="49" xfId="0" applyFont="1" applyBorder="1" applyAlignment="1">
      <alignment vertical="top" wrapText="1"/>
    </xf>
    <xf numFmtId="0" fontId="20" fillId="0" borderId="46" xfId="0" applyFont="1" applyBorder="1" applyAlignment="1">
      <alignment/>
    </xf>
    <xf numFmtId="0" fontId="14" fillId="0" borderId="50" xfId="0" applyFont="1" applyBorder="1" applyAlignment="1">
      <alignment/>
    </xf>
    <xf numFmtId="3" fontId="14" fillId="0" borderId="50" xfId="0" applyNumberFormat="1" applyFont="1" applyBorder="1" applyAlignment="1">
      <alignment/>
    </xf>
    <xf numFmtId="0" fontId="36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3" fontId="32" fillId="0" borderId="0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3" fontId="20" fillId="0" borderId="46" xfId="0" applyNumberFormat="1" applyFont="1" applyBorder="1" applyAlignment="1">
      <alignment/>
    </xf>
    <xf numFmtId="0" fontId="34" fillId="0" borderId="46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32" fillId="0" borderId="46" xfId="0" applyFont="1" applyBorder="1" applyAlignment="1">
      <alignment shrinkToFit="1"/>
    </xf>
    <xf numFmtId="0" fontId="14" fillId="0" borderId="51" xfId="0" applyFont="1" applyBorder="1" applyAlignment="1">
      <alignment/>
    </xf>
    <xf numFmtId="0" fontId="9" fillId="0" borderId="52" xfId="0" applyFont="1" applyBorder="1" applyAlignment="1">
      <alignment/>
    </xf>
    <xf numFmtId="0" fontId="34" fillId="0" borderId="53" xfId="0" applyFont="1" applyBorder="1" applyAlignment="1">
      <alignment horizontal="left" vertical="center"/>
    </xf>
    <xf numFmtId="49" fontId="9" fillId="0" borderId="46" xfId="0" applyNumberFormat="1" applyFont="1" applyBorder="1" applyAlignment="1">
      <alignment/>
    </xf>
    <xf numFmtId="0" fontId="0" fillId="0" borderId="32" xfId="0" applyBorder="1" applyAlignment="1">
      <alignment/>
    </xf>
    <xf numFmtId="0" fontId="32" fillId="0" borderId="46" xfId="0" applyFont="1" applyBorder="1" applyAlignment="1">
      <alignment horizontal="left" vertical="center"/>
    </xf>
    <xf numFmtId="3" fontId="4" fillId="0" borderId="3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4" fillId="0" borderId="7" xfId="0" applyFont="1" applyBorder="1" applyAlignment="1">
      <alignment/>
    </xf>
    <xf numFmtId="3" fontId="14" fillId="0" borderId="10" xfId="0" applyNumberFormat="1" applyFont="1" applyBorder="1" applyAlignment="1">
      <alignment horizontal="right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4" fillId="0" borderId="54" xfId="0" applyNumberFormat="1" applyFont="1" applyBorder="1" applyAlignment="1">
      <alignment/>
    </xf>
    <xf numFmtId="3" fontId="18" fillId="0" borderId="55" xfId="21" applyNumberFormat="1" applyFont="1" applyBorder="1">
      <alignment/>
      <protection/>
    </xf>
    <xf numFmtId="0" fontId="4" fillId="0" borderId="21" xfId="21" applyFont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3" fontId="4" fillId="0" borderId="54" xfId="0" applyNumberFormat="1" applyFont="1" applyBorder="1" applyAlignment="1">
      <alignment/>
    </xf>
    <xf numFmtId="3" fontId="3" fillId="0" borderId="15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horizontal="center" wrapText="1"/>
    </xf>
    <xf numFmtId="37" fontId="4" fillId="0" borderId="10" xfId="0" applyNumberFormat="1" applyFont="1" applyBorder="1" applyAlignment="1">
      <alignment wrapText="1"/>
    </xf>
    <xf numFmtId="1" fontId="9" fillId="0" borderId="14" xfId="19" applyNumberFormat="1" applyFont="1" applyBorder="1" applyAlignment="1">
      <alignment horizontal="center"/>
      <protection/>
    </xf>
    <xf numFmtId="0" fontId="9" fillId="0" borderId="11" xfId="19" applyFont="1" applyBorder="1" applyAlignment="1">
      <alignment/>
      <protection/>
    </xf>
    <xf numFmtId="3" fontId="9" fillId="0" borderId="11" xfId="19" applyNumberFormat="1" applyFont="1" applyBorder="1">
      <alignment/>
      <protection/>
    </xf>
    <xf numFmtId="3" fontId="9" fillId="0" borderId="11" xfId="19" applyNumberFormat="1" applyFont="1" applyBorder="1" applyAlignment="1">
      <alignment horizontal="right"/>
      <protection/>
    </xf>
    <xf numFmtId="3" fontId="9" fillId="0" borderId="56" xfId="19" applyNumberFormat="1" applyFont="1" applyBorder="1" applyAlignment="1">
      <alignment horizontal="right"/>
      <protection/>
    </xf>
    <xf numFmtId="1" fontId="9" fillId="0" borderId="49" xfId="19" applyNumberFormat="1" applyFont="1" applyBorder="1" applyAlignment="1">
      <alignment horizontal="center"/>
      <protection/>
    </xf>
    <xf numFmtId="0" fontId="9" fillId="0" borderId="57" xfId="19" applyFont="1" applyBorder="1" applyAlignment="1">
      <alignment/>
      <protection/>
    </xf>
    <xf numFmtId="3" fontId="9" fillId="0" borderId="57" xfId="19" applyNumberFormat="1" applyFont="1" applyBorder="1">
      <alignment/>
      <protection/>
    </xf>
    <xf numFmtId="3" fontId="9" fillId="0" borderId="58" xfId="19" applyNumberFormat="1" applyFont="1" applyBorder="1">
      <alignment/>
      <protection/>
    </xf>
    <xf numFmtId="0" fontId="14" fillId="0" borderId="14" xfId="19" applyFont="1" applyBorder="1" applyAlignment="1">
      <alignment horizontal="left"/>
      <protection/>
    </xf>
    <xf numFmtId="0" fontId="11" fillId="0" borderId="11" xfId="0" applyFont="1" applyBorder="1" applyAlignment="1">
      <alignment horizontal="left"/>
    </xf>
    <xf numFmtId="0" fontId="1" fillId="0" borderId="11" xfId="19" applyFont="1" applyBorder="1">
      <alignment/>
      <protection/>
    </xf>
    <xf numFmtId="3" fontId="14" fillId="0" borderId="11" xfId="19" applyNumberFormat="1" applyFont="1" applyBorder="1" applyAlignment="1">
      <alignment horizontal="right"/>
      <protection/>
    </xf>
    <xf numFmtId="3" fontId="14" fillId="0" borderId="56" xfId="19" applyNumberFormat="1" applyFont="1" applyBorder="1" applyAlignment="1">
      <alignment horizontal="right"/>
      <protection/>
    </xf>
    <xf numFmtId="0" fontId="9" fillId="0" borderId="7" xfId="19" applyFont="1" applyBorder="1" applyAlignment="1">
      <alignment horizontal="right"/>
      <protection/>
    </xf>
    <xf numFmtId="0" fontId="9" fillId="0" borderId="16" xfId="19" applyFont="1" applyBorder="1">
      <alignment/>
      <protection/>
    </xf>
    <xf numFmtId="0" fontId="9" fillId="0" borderId="16" xfId="19" applyFont="1" applyBorder="1" applyAlignment="1">
      <alignment horizontal="right"/>
      <protection/>
    </xf>
    <xf numFmtId="3" fontId="9" fillId="0" borderId="16" xfId="19" applyNumberFormat="1" applyFont="1" applyBorder="1" applyAlignment="1">
      <alignment horizontal="right"/>
      <protection/>
    </xf>
    <xf numFmtId="3" fontId="14" fillId="0" borderId="11" xfId="19" applyNumberFormat="1" applyFont="1" applyBorder="1">
      <alignment/>
      <protection/>
    </xf>
    <xf numFmtId="3" fontId="14" fillId="0" borderId="11" xfId="19" applyNumberFormat="1" applyFont="1" applyBorder="1" applyAlignment="1">
      <alignment horizontal="right"/>
      <protection/>
    </xf>
    <xf numFmtId="3" fontId="14" fillId="0" borderId="56" xfId="19" applyNumberFormat="1" applyFont="1" applyBorder="1" applyAlignment="1">
      <alignment horizontal="right"/>
      <protection/>
    </xf>
    <xf numFmtId="3" fontId="9" fillId="0" borderId="59" xfId="19" applyNumberFormat="1" applyFont="1" applyBorder="1" applyAlignment="1">
      <alignment horizontal="right"/>
      <protection/>
    </xf>
    <xf numFmtId="0" fontId="1" fillId="0" borderId="3" xfId="19" applyFont="1" applyBorder="1">
      <alignment/>
      <protection/>
    </xf>
    <xf numFmtId="0" fontId="14" fillId="0" borderId="47" xfId="0" applyFont="1" applyBorder="1" applyAlignment="1">
      <alignment horizontal="center"/>
    </xf>
    <xf numFmtId="3" fontId="32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0" fontId="14" fillId="0" borderId="4" xfId="0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32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wrapText="1"/>
    </xf>
    <xf numFmtId="3" fontId="14" fillId="0" borderId="54" xfId="0" applyNumberFormat="1" applyFont="1" applyBorder="1" applyAlignment="1">
      <alignment/>
    </xf>
    <xf numFmtId="0" fontId="14" fillId="0" borderId="4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32" fillId="0" borderId="54" xfId="0" applyNumberFormat="1" applyFont="1" applyBorder="1" applyAlignment="1">
      <alignment/>
    </xf>
    <xf numFmtId="3" fontId="4" fillId="0" borderId="17" xfId="0" applyNumberFormat="1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/>
    </xf>
    <xf numFmtId="3" fontId="30" fillId="0" borderId="10" xfId="0" applyNumberFormat="1" applyFont="1" applyBorder="1" applyAlignment="1">
      <alignment/>
    </xf>
    <xf numFmtId="0" fontId="14" fillId="0" borderId="47" xfId="0" applyFont="1" applyBorder="1" applyAlignment="1">
      <alignment horizontal="center"/>
    </xf>
    <xf numFmtId="0" fontId="9" fillId="0" borderId="60" xfId="0" applyFont="1" applyBorder="1" applyAlignment="1">
      <alignment/>
    </xf>
    <xf numFmtId="0" fontId="32" fillId="0" borderId="51" xfId="0" applyFont="1" applyBorder="1" applyAlignment="1">
      <alignment/>
    </xf>
    <xf numFmtId="0" fontId="3" fillId="0" borderId="14" xfId="0" applyFont="1" applyBorder="1" applyAlignment="1">
      <alignment vertical="top" wrapText="1"/>
    </xf>
    <xf numFmtId="0" fontId="37" fillId="0" borderId="0" xfId="20">
      <alignment/>
      <protection/>
    </xf>
    <xf numFmtId="0" fontId="2" fillId="0" borderId="0" xfId="20" applyFont="1">
      <alignment/>
      <protection/>
    </xf>
    <xf numFmtId="0" fontId="29" fillId="0" borderId="0" xfId="20" applyFont="1">
      <alignment/>
      <protection/>
    </xf>
    <xf numFmtId="0" fontId="37" fillId="0" borderId="0" xfId="20" applyFont="1">
      <alignment/>
      <protection/>
    </xf>
    <xf numFmtId="0" fontId="2" fillId="0" borderId="0" xfId="20" applyFont="1" applyBorder="1">
      <alignment/>
      <protection/>
    </xf>
    <xf numFmtId="3" fontId="0" fillId="0" borderId="0" xfId="0" applyNumberFormat="1" applyAlignment="1">
      <alignment/>
    </xf>
    <xf numFmtId="3" fontId="14" fillId="0" borderId="48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32" fillId="0" borderId="59" xfId="0" applyNumberFormat="1" applyFont="1" applyBorder="1" applyAlignment="1">
      <alignment/>
    </xf>
    <xf numFmtId="3" fontId="14" fillId="0" borderId="3" xfId="19" applyNumberFormat="1" applyFont="1" applyBorder="1">
      <alignment/>
      <protection/>
    </xf>
    <xf numFmtId="3" fontId="14" fillId="0" borderId="3" xfId="19" applyNumberFormat="1" applyFont="1" applyBorder="1" applyAlignment="1">
      <alignment horizontal="right"/>
      <protection/>
    </xf>
    <xf numFmtId="3" fontId="14" fillId="0" borderId="18" xfId="19" applyNumberFormat="1" applyFont="1" applyBorder="1" applyAlignment="1">
      <alignment horizontal="right"/>
      <protection/>
    </xf>
    <xf numFmtId="3" fontId="3" fillId="0" borderId="12" xfId="0" applyNumberFormat="1" applyFont="1" applyBorder="1" applyAlignment="1">
      <alignment horizontal="right" vertical="center"/>
    </xf>
    <xf numFmtId="3" fontId="3" fillId="0" borderId="32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30" fillId="0" borderId="10" xfId="0" applyNumberFormat="1" applyFont="1" applyBorder="1" applyAlignment="1">
      <alignment horizontal="right" vertical="center"/>
    </xf>
    <xf numFmtId="3" fontId="30" fillId="0" borderId="54" xfId="0" applyNumberFormat="1" applyFont="1" applyBorder="1" applyAlignment="1">
      <alignment horizontal="right" vertical="center"/>
    </xf>
    <xf numFmtId="3" fontId="30" fillId="0" borderId="16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20" fillId="0" borderId="4" xfId="0" applyNumberFormat="1" applyFont="1" applyBorder="1" applyAlignment="1">
      <alignment horizontal="center" vertical="center" wrapText="1"/>
    </xf>
    <xf numFmtId="2" fontId="20" fillId="0" borderId="61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2" fontId="9" fillId="0" borderId="61" xfId="0" applyNumberFormat="1" applyFont="1" applyBorder="1" applyAlignment="1">
      <alignment horizontal="center" vertical="center" wrapText="1"/>
    </xf>
    <xf numFmtId="2" fontId="32" fillId="0" borderId="4" xfId="0" applyNumberFormat="1" applyFont="1" applyBorder="1" applyAlignment="1">
      <alignment horizontal="center" vertical="center" wrapText="1"/>
    </xf>
    <xf numFmtId="2" fontId="14" fillId="0" borderId="6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8" fillId="0" borderId="25" xfId="0" applyFont="1" applyBorder="1" applyAlignment="1">
      <alignment shrinkToFit="1"/>
    </xf>
    <xf numFmtId="0" fontId="18" fillId="0" borderId="55" xfId="21" applyFont="1" applyBorder="1">
      <alignment/>
      <protection/>
    </xf>
    <xf numFmtId="3" fontId="18" fillId="0" borderId="2" xfId="21" applyNumberFormat="1" applyFont="1" applyBorder="1">
      <alignment/>
      <protection/>
    </xf>
    <xf numFmtId="3" fontId="9" fillId="0" borderId="64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14" fillId="0" borderId="13" xfId="19" applyFont="1" applyBorder="1" applyAlignment="1">
      <alignment horizontal="left"/>
      <protection/>
    </xf>
    <xf numFmtId="0" fontId="4" fillId="0" borderId="22" xfId="21" applyFont="1" applyBorder="1" applyAlignment="1">
      <alignment horizontal="center"/>
      <protection/>
    </xf>
    <xf numFmtId="0" fontId="14" fillId="0" borderId="19" xfId="0" applyFont="1" applyBorder="1" applyAlignment="1">
      <alignment horizontal="center"/>
    </xf>
    <xf numFmtId="37" fontId="4" fillId="0" borderId="54" xfId="0" applyNumberFormat="1" applyFont="1" applyBorder="1" applyAlignment="1">
      <alignment vertical="center" wrapText="1"/>
    </xf>
    <xf numFmtId="0" fontId="9" fillId="0" borderId="3" xfId="19" applyFont="1" applyBorder="1" applyAlignment="1">
      <alignment horizontal="right"/>
      <protection/>
    </xf>
    <xf numFmtId="0" fontId="9" fillId="0" borderId="11" xfId="19" applyFont="1" applyBorder="1" applyAlignment="1">
      <alignment horizontal="right"/>
      <protection/>
    </xf>
    <xf numFmtId="0" fontId="14" fillId="0" borderId="3" xfId="19" applyFont="1" applyBorder="1" applyAlignment="1">
      <alignment horizontal="left"/>
      <protection/>
    </xf>
    <xf numFmtId="0" fontId="9" fillId="0" borderId="14" xfId="19" applyFont="1" applyBorder="1" applyAlignment="1">
      <alignment horizontal="right"/>
      <protection/>
    </xf>
    <xf numFmtId="0" fontId="9" fillId="0" borderId="11" xfId="19" applyFont="1" applyBorder="1">
      <alignment/>
      <protection/>
    </xf>
    <xf numFmtId="3" fontId="9" fillId="0" borderId="59" xfId="19" applyNumberFormat="1" applyFont="1" applyBorder="1">
      <alignment/>
      <protection/>
    </xf>
    <xf numFmtId="3" fontId="14" fillId="0" borderId="4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3" fontId="9" fillId="0" borderId="19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3" fontId="14" fillId="0" borderId="59" xfId="0" applyNumberFormat="1" applyFont="1" applyBorder="1" applyAlignment="1">
      <alignment/>
    </xf>
    <xf numFmtId="3" fontId="20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7" fontId="4" fillId="0" borderId="59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horizontal="right" vertical="center"/>
    </xf>
    <xf numFmtId="3" fontId="14" fillId="0" borderId="12" xfId="0" applyNumberFormat="1" applyFont="1" applyBorder="1" applyAlignment="1">
      <alignment horizontal="right" vertical="center"/>
    </xf>
    <xf numFmtId="3" fontId="14" fillId="0" borderId="19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30" fillId="0" borderId="59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top" wrapText="1"/>
    </xf>
    <xf numFmtId="3" fontId="4" fillId="0" borderId="54" xfId="0" applyNumberFormat="1" applyFont="1" applyBorder="1" applyAlignment="1">
      <alignment horizontal="right" vertical="center" wrapText="1"/>
    </xf>
    <xf numFmtId="0" fontId="14" fillId="0" borderId="12" xfId="0" applyFont="1" applyBorder="1" applyAlignment="1">
      <alignment horizontal="left"/>
    </xf>
    <xf numFmtId="3" fontId="9" fillId="0" borderId="12" xfId="19" applyNumberFormat="1" applyFont="1" applyBorder="1" applyAlignment="1">
      <alignment horizontal="right"/>
      <protection/>
    </xf>
    <xf numFmtId="3" fontId="14" fillId="0" borderId="12" xfId="19" applyNumberFormat="1" applyFont="1" applyBorder="1" applyAlignment="1">
      <alignment horizontal="right"/>
      <protection/>
    </xf>
    <xf numFmtId="3" fontId="32" fillId="0" borderId="19" xfId="0" applyNumberFormat="1" applyFont="1" applyBorder="1" applyAlignment="1">
      <alignment horizontal="right"/>
    </xf>
    <xf numFmtId="3" fontId="32" fillId="0" borderId="19" xfId="0" applyNumberFormat="1" applyFont="1" applyBorder="1" applyAlignment="1">
      <alignment/>
    </xf>
    <xf numFmtId="3" fontId="14" fillId="0" borderId="59" xfId="0" applyNumberFormat="1" applyFont="1" applyBorder="1" applyAlignment="1">
      <alignment/>
    </xf>
    <xf numFmtId="3" fontId="9" fillId="0" borderId="56" xfId="0" applyNumberFormat="1" applyFont="1" applyBorder="1" applyAlignment="1">
      <alignment/>
    </xf>
    <xf numFmtId="3" fontId="14" fillId="0" borderId="19" xfId="0" applyNumberFormat="1" applyFont="1" applyBorder="1" applyAlignment="1">
      <alignment horizontal="right"/>
    </xf>
    <xf numFmtId="0" fontId="38" fillId="0" borderId="0" xfId="20" applyFont="1">
      <alignment/>
      <protection/>
    </xf>
    <xf numFmtId="0" fontId="29" fillId="0" borderId="65" xfId="20" applyFont="1" applyBorder="1" applyAlignment="1">
      <alignment horizontal="center" vertical="center"/>
      <protection/>
    </xf>
    <xf numFmtId="0" fontId="2" fillId="0" borderId="66" xfId="20" applyFont="1" applyBorder="1">
      <alignment/>
      <protection/>
    </xf>
    <xf numFmtId="0" fontId="29" fillId="0" borderId="66" xfId="20" applyFont="1" applyBorder="1">
      <alignment/>
      <protection/>
    </xf>
    <xf numFmtId="0" fontId="37" fillId="0" borderId="0" xfId="20" applyAlignment="1">
      <alignment horizontal="left"/>
      <protection/>
    </xf>
    <xf numFmtId="0" fontId="2" fillId="0" borderId="67" xfId="20" applyFont="1" applyBorder="1">
      <alignment/>
      <protection/>
    </xf>
    <xf numFmtId="0" fontId="9" fillId="0" borderId="0" xfId="20" applyFont="1">
      <alignment/>
      <protection/>
    </xf>
    <xf numFmtId="0" fontId="29" fillId="0" borderId="68" xfId="20" applyFont="1" applyBorder="1">
      <alignment/>
      <protection/>
    </xf>
    <xf numFmtId="3" fontId="2" fillId="0" borderId="67" xfId="20" applyNumberFormat="1" applyFont="1" applyBorder="1">
      <alignment/>
      <protection/>
    </xf>
    <xf numFmtId="3" fontId="29" fillId="0" borderId="66" xfId="20" applyNumberFormat="1" applyFont="1" applyBorder="1">
      <alignment/>
      <protection/>
    </xf>
    <xf numFmtId="3" fontId="2" fillId="0" borderId="66" xfId="20" applyNumberFormat="1" applyFont="1" applyBorder="1">
      <alignment/>
      <protection/>
    </xf>
    <xf numFmtId="3" fontId="29" fillId="0" borderId="68" xfId="20" applyNumberFormat="1" applyFont="1" applyBorder="1">
      <alignment/>
      <protection/>
    </xf>
    <xf numFmtId="0" fontId="14" fillId="0" borderId="69" xfId="0" applyFont="1" applyBorder="1" applyAlignment="1">
      <alignment horizontal="center"/>
    </xf>
    <xf numFmtId="3" fontId="9" fillId="0" borderId="70" xfId="0" applyNumberFormat="1" applyFont="1" applyBorder="1" applyAlignment="1">
      <alignment/>
    </xf>
    <xf numFmtId="3" fontId="14" fillId="0" borderId="70" xfId="0" applyNumberFormat="1" applyFont="1" applyBorder="1" applyAlignment="1">
      <alignment/>
    </xf>
    <xf numFmtId="3" fontId="9" fillId="0" borderId="70" xfId="0" applyNumberFormat="1" applyFont="1" applyBorder="1" applyAlignment="1">
      <alignment horizontal="right"/>
    </xf>
    <xf numFmtId="0" fontId="9" fillId="0" borderId="70" xfId="0" applyFont="1" applyBorder="1" applyAlignment="1">
      <alignment/>
    </xf>
    <xf numFmtId="3" fontId="32" fillId="0" borderId="70" xfId="0" applyNumberFormat="1" applyFont="1" applyBorder="1" applyAlignment="1">
      <alignment/>
    </xf>
    <xf numFmtId="3" fontId="9" fillId="0" borderId="69" xfId="0" applyNumberFormat="1" applyFont="1" applyBorder="1" applyAlignment="1">
      <alignment/>
    </xf>
    <xf numFmtId="3" fontId="14" fillId="0" borderId="71" xfId="0" applyNumberFormat="1" applyFont="1" applyBorder="1" applyAlignment="1">
      <alignment/>
    </xf>
    <xf numFmtId="0" fontId="14" fillId="0" borderId="72" xfId="0" applyFont="1" applyBorder="1" applyAlignment="1">
      <alignment horizontal="center"/>
    </xf>
    <xf numFmtId="3" fontId="14" fillId="0" borderId="64" xfId="0" applyNumberFormat="1" applyFont="1" applyBorder="1" applyAlignment="1">
      <alignment/>
    </xf>
    <xf numFmtId="0" fontId="9" fillId="0" borderId="64" xfId="0" applyFont="1" applyBorder="1" applyAlignment="1">
      <alignment/>
    </xf>
    <xf numFmtId="3" fontId="32" fillId="0" borderId="64" xfId="0" applyNumberFormat="1" applyFont="1" applyBorder="1" applyAlignment="1">
      <alignment/>
    </xf>
    <xf numFmtId="0" fontId="18" fillId="0" borderId="39" xfId="0" applyFont="1" applyBorder="1" applyAlignment="1">
      <alignment shrinkToFit="1"/>
    </xf>
    <xf numFmtId="0" fontId="9" fillId="0" borderId="19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9" fillId="0" borderId="75" xfId="0" applyFont="1" applyBorder="1" applyAlignment="1">
      <alignment/>
    </xf>
    <xf numFmtId="0" fontId="14" fillId="0" borderId="76" xfId="0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14" fillId="0" borderId="12" xfId="0" applyNumberFormat="1" applyFont="1" applyBorder="1" applyAlignment="1">
      <alignment/>
    </xf>
    <xf numFmtId="3" fontId="14" fillId="0" borderId="77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7" xfId="0" applyFont="1" applyBorder="1" applyAlignment="1">
      <alignment shrinkToFit="1"/>
    </xf>
    <xf numFmtId="3" fontId="9" fillId="0" borderId="54" xfId="0" applyNumberFormat="1" applyFont="1" applyBorder="1" applyAlignment="1">
      <alignment/>
    </xf>
    <xf numFmtId="3" fontId="9" fillId="0" borderId="59" xfId="0" applyNumberFormat="1" applyFont="1" applyBorder="1" applyAlignment="1">
      <alignment/>
    </xf>
    <xf numFmtId="0" fontId="14" fillId="0" borderId="14" xfId="0" applyFont="1" applyBorder="1" applyAlignment="1">
      <alignment/>
    </xf>
    <xf numFmtId="3" fontId="14" fillId="0" borderId="15" xfId="0" applyNumberFormat="1" applyFont="1" applyBorder="1" applyAlignment="1">
      <alignment horizontal="right"/>
    </xf>
    <xf numFmtId="3" fontId="14" fillId="0" borderId="56" xfId="0" applyNumberFormat="1" applyFont="1" applyBorder="1" applyAlignment="1">
      <alignment horizontal="right"/>
    </xf>
    <xf numFmtId="0" fontId="4" fillId="0" borderId="78" xfId="0" applyFont="1" applyBorder="1" applyAlignment="1">
      <alignment horizontal="center"/>
    </xf>
    <xf numFmtId="3" fontId="4" fillId="0" borderId="79" xfId="0" applyNumberFormat="1" applyFont="1" applyBorder="1" applyAlignment="1">
      <alignment/>
    </xf>
    <xf numFmtId="3" fontId="3" fillId="0" borderId="77" xfId="0" applyNumberFormat="1" applyFont="1" applyBorder="1" applyAlignment="1">
      <alignment/>
    </xf>
    <xf numFmtId="3" fontId="4" fillId="0" borderId="77" xfId="0" applyNumberFormat="1" applyFont="1" applyBorder="1" applyAlignment="1">
      <alignment/>
    </xf>
    <xf numFmtId="3" fontId="4" fillId="0" borderId="77" xfId="0" applyNumberFormat="1" applyFont="1" applyBorder="1" applyAlignment="1">
      <alignment/>
    </xf>
    <xf numFmtId="3" fontId="28" fillId="0" borderId="77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16" fillId="0" borderId="11" xfId="19" applyFont="1" applyBorder="1">
      <alignment/>
      <protection/>
    </xf>
    <xf numFmtId="3" fontId="9" fillId="0" borderId="56" xfId="19" applyNumberFormat="1" applyFont="1" applyBorder="1">
      <alignment/>
      <protection/>
    </xf>
    <xf numFmtId="3" fontId="14" fillId="0" borderId="80" xfId="0" applyNumberFormat="1" applyFont="1" applyBorder="1" applyAlignment="1">
      <alignment horizontal="center"/>
    </xf>
    <xf numFmtId="3" fontId="9" fillId="0" borderId="77" xfId="0" applyNumberFormat="1" applyFont="1" applyBorder="1" applyAlignment="1">
      <alignment/>
    </xf>
    <xf numFmtId="3" fontId="32" fillId="0" borderId="77" xfId="0" applyNumberFormat="1" applyFont="1" applyBorder="1" applyAlignment="1">
      <alignment/>
    </xf>
    <xf numFmtId="3" fontId="14" fillId="0" borderId="17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32" fillId="0" borderId="12" xfId="0" applyNumberFormat="1" applyFont="1" applyBorder="1" applyAlignment="1">
      <alignment/>
    </xf>
    <xf numFmtId="3" fontId="9" fillId="0" borderId="32" xfId="0" applyNumberFormat="1" applyFont="1" applyBorder="1" applyAlignment="1">
      <alignment horizontal="right" vertical="center"/>
    </xf>
    <xf numFmtId="3" fontId="14" fillId="0" borderId="32" xfId="0" applyNumberFormat="1" applyFont="1" applyBorder="1" applyAlignment="1">
      <alignment horizontal="right" vertical="center"/>
    </xf>
    <xf numFmtId="3" fontId="9" fillId="0" borderId="39" xfId="0" applyNumberFormat="1" applyFont="1" applyBorder="1" applyAlignment="1">
      <alignment horizontal="right" vertical="center"/>
    </xf>
    <xf numFmtId="3" fontId="30" fillId="0" borderId="81" xfId="0" applyNumberFormat="1" applyFont="1" applyBorder="1" applyAlignment="1">
      <alignment horizontal="right" vertical="center"/>
    </xf>
    <xf numFmtId="3" fontId="9" fillId="0" borderId="77" xfId="0" applyNumberFormat="1" applyFont="1" applyBorder="1" applyAlignment="1">
      <alignment/>
    </xf>
    <xf numFmtId="3" fontId="9" fillId="0" borderId="78" xfId="0" applyNumberFormat="1" applyFont="1" applyBorder="1" applyAlignment="1">
      <alignment/>
    </xf>
    <xf numFmtId="3" fontId="4" fillId="0" borderId="78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0" fontId="14" fillId="0" borderId="80" xfId="0" applyFont="1" applyBorder="1" applyAlignment="1">
      <alignment horizontal="center"/>
    </xf>
    <xf numFmtId="0" fontId="9" fillId="0" borderId="77" xfId="0" applyFont="1" applyBorder="1" applyAlignment="1">
      <alignment/>
    </xf>
    <xf numFmtId="3" fontId="32" fillId="0" borderId="77" xfId="0" applyNumberFormat="1" applyFont="1" applyBorder="1" applyAlignment="1">
      <alignment/>
    </xf>
    <xf numFmtId="0" fontId="14" fillId="0" borderId="17" xfId="0" applyFont="1" applyBorder="1" applyAlignment="1">
      <alignment horizontal="center"/>
    </xf>
    <xf numFmtId="0" fontId="9" fillId="0" borderId="12" xfId="0" applyFont="1" applyBorder="1" applyAlignment="1">
      <alignment/>
    </xf>
    <xf numFmtId="3" fontId="32" fillId="0" borderId="12" xfId="0" applyNumberFormat="1" applyFont="1" applyBorder="1" applyAlignment="1">
      <alignment/>
    </xf>
    <xf numFmtId="0" fontId="14" fillId="0" borderId="77" xfId="0" applyFont="1" applyBorder="1" applyAlignment="1">
      <alignment horizontal="center"/>
    </xf>
    <xf numFmtId="2" fontId="9" fillId="0" borderId="77" xfId="0" applyNumberFormat="1" applyFont="1" applyBorder="1" applyAlignment="1">
      <alignment horizontal="center"/>
    </xf>
    <xf numFmtId="2" fontId="9" fillId="0" borderId="82" xfId="0" applyNumberFormat="1" applyFont="1" applyBorder="1" applyAlignment="1">
      <alignment horizontal="center"/>
    </xf>
    <xf numFmtId="2" fontId="14" fillId="0" borderId="83" xfId="0" applyNumberFormat="1" applyFont="1" applyBorder="1" applyAlignment="1">
      <alignment horizontal="center" vertical="center" wrapText="1"/>
    </xf>
    <xf numFmtId="2" fontId="9" fillId="0" borderId="77" xfId="0" applyNumberFormat="1" applyFont="1" applyBorder="1" applyAlignment="1">
      <alignment/>
    </xf>
    <xf numFmtId="2" fontId="32" fillId="0" borderId="79" xfId="0" applyNumberFormat="1" applyFont="1" applyBorder="1" applyAlignment="1">
      <alignment horizontal="center" vertical="center" wrapText="1"/>
    </xf>
    <xf numFmtId="2" fontId="9" fillId="0" borderId="82" xfId="0" applyNumberFormat="1" applyFont="1" applyBorder="1" applyAlignment="1">
      <alignment/>
    </xf>
    <xf numFmtId="2" fontId="14" fillId="0" borderId="84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20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/>
    </xf>
    <xf numFmtId="2" fontId="32" fillId="0" borderId="3" xfId="0" applyNumberFormat="1" applyFont="1" applyBorder="1" applyAlignment="1">
      <alignment horizontal="center" vertical="center" wrapText="1"/>
    </xf>
    <xf numFmtId="2" fontId="9" fillId="0" borderId="85" xfId="0" applyNumberFormat="1" applyFont="1" applyBorder="1" applyAlignment="1">
      <alignment horizontal="center"/>
    </xf>
    <xf numFmtId="2" fontId="14" fillId="0" borderId="86" xfId="0" applyNumberFormat="1" applyFont="1" applyBorder="1" applyAlignment="1">
      <alignment horizontal="center" vertical="center" wrapText="1"/>
    </xf>
    <xf numFmtId="2" fontId="9" fillId="0" borderId="85" xfId="0" applyNumberFormat="1" applyFont="1" applyBorder="1" applyAlignment="1">
      <alignment/>
    </xf>
    <xf numFmtId="2" fontId="14" fillId="0" borderId="3" xfId="0" applyNumberFormat="1" applyFont="1" applyBorder="1" applyAlignment="1">
      <alignment horizontal="center" vertical="center" wrapText="1"/>
    </xf>
    <xf numFmtId="3" fontId="20" fillId="0" borderId="70" xfId="0" applyNumberFormat="1" applyFont="1" applyBorder="1" applyAlignment="1">
      <alignment/>
    </xf>
    <xf numFmtId="3" fontId="20" fillId="0" borderId="70" xfId="0" applyNumberFormat="1" applyFont="1" applyBorder="1" applyAlignment="1">
      <alignment/>
    </xf>
    <xf numFmtId="3" fontId="32" fillId="0" borderId="71" xfId="0" applyNumberFormat="1" applyFont="1" applyBorder="1" applyAlignment="1">
      <alignment/>
    </xf>
    <xf numFmtId="0" fontId="14" fillId="0" borderId="87" xfId="0" applyFont="1" applyBorder="1" applyAlignment="1">
      <alignment horizontal="center"/>
    </xf>
    <xf numFmtId="3" fontId="9" fillId="0" borderId="88" xfId="0" applyNumberFormat="1" applyFont="1" applyBorder="1" applyAlignment="1">
      <alignment/>
    </xf>
    <xf numFmtId="3" fontId="14" fillId="0" borderId="88" xfId="0" applyNumberFormat="1" applyFont="1" applyBorder="1" applyAlignment="1">
      <alignment/>
    </xf>
    <xf numFmtId="3" fontId="9" fillId="0" borderId="88" xfId="0" applyNumberFormat="1" applyFont="1" applyBorder="1" applyAlignment="1">
      <alignment horizontal="right"/>
    </xf>
    <xf numFmtId="0" fontId="9" fillId="0" borderId="88" xfId="0" applyFont="1" applyBorder="1" applyAlignment="1">
      <alignment/>
    </xf>
    <xf numFmtId="3" fontId="32" fillId="0" borderId="88" xfId="0" applyNumberFormat="1" applyFont="1" applyBorder="1" applyAlignment="1">
      <alignment/>
    </xf>
    <xf numFmtId="3" fontId="20" fillId="0" borderId="64" xfId="0" applyNumberFormat="1" applyFont="1" applyBorder="1" applyAlignment="1">
      <alignment/>
    </xf>
    <xf numFmtId="3" fontId="20" fillId="0" borderId="64" xfId="0" applyNumberFormat="1" applyFont="1" applyBorder="1" applyAlignment="1">
      <alignment/>
    </xf>
    <xf numFmtId="0" fontId="14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/>
    </xf>
    <xf numFmtId="3" fontId="20" fillId="0" borderId="88" xfId="0" applyNumberFormat="1" applyFont="1" applyBorder="1" applyAlignment="1">
      <alignment/>
    </xf>
    <xf numFmtId="3" fontId="20" fillId="0" borderId="88" xfId="0" applyNumberFormat="1" applyFont="1" applyBorder="1" applyAlignment="1">
      <alignment/>
    </xf>
    <xf numFmtId="0" fontId="14" fillId="0" borderId="64" xfId="0" applyFont="1" applyBorder="1" applyAlignment="1">
      <alignment horizontal="center" vertical="center" wrapText="1"/>
    </xf>
    <xf numFmtId="3" fontId="32" fillId="0" borderId="64" xfId="0" applyNumberFormat="1" applyFont="1" applyBorder="1" applyAlignment="1">
      <alignment horizontal="right" vertical="center" wrapText="1"/>
    </xf>
    <xf numFmtId="0" fontId="0" fillId="0" borderId="64" xfId="0" applyBorder="1" applyAlignment="1">
      <alignment/>
    </xf>
    <xf numFmtId="3" fontId="32" fillId="0" borderId="91" xfId="0" applyNumberFormat="1" applyFont="1" applyBorder="1" applyAlignment="1">
      <alignment/>
    </xf>
    <xf numFmtId="3" fontId="32" fillId="0" borderId="92" xfId="0" applyNumberFormat="1" applyFont="1" applyBorder="1" applyAlignment="1">
      <alignment/>
    </xf>
    <xf numFmtId="0" fontId="9" fillId="0" borderId="72" xfId="0" applyFont="1" applyBorder="1" applyAlignment="1">
      <alignment/>
    </xf>
    <xf numFmtId="3" fontId="9" fillId="0" borderId="87" xfId="0" applyNumberFormat="1" applyFont="1" applyBorder="1" applyAlignment="1">
      <alignment/>
    </xf>
    <xf numFmtId="0" fontId="14" fillId="0" borderId="93" xfId="0" applyFont="1" applyBorder="1" applyAlignment="1">
      <alignment horizontal="center" vertical="center" wrapText="1"/>
    </xf>
    <xf numFmtId="0" fontId="9" fillId="0" borderId="94" xfId="0" applyFont="1" applyBorder="1" applyAlignment="1">
      <alignment/>
    </xf>
    <xf numFmtId="0" fontId="29" fillId="0" borderId="95" xfId="20" applyFont="1" applyBorder="1" applyAlignment="1">
      <alignment horizontal="center" vertical="center"/>
      <protection/>
    </xf>
    <xf numFmtId="3" fontId="2" fillId="0" borderId="96" xfId="20" applyNumberFormat="1" applyFont="1" applyBorder="1">
      <alignment/>
      <protection/>
    </xf>
    <xf numFmtId="3" fontId="29" fillId="0" borderId="96" xfId="20" applyNumberFormat="1" applyFont="1" applyBorder="1">
      <alignment/>
      <protection/>
    </xf>
    <xf numFmtId="3" fontId="2" fillId="0" borderId="96" xfId="20" applyNumberFormat="1" applyFont="1" applyBorder="1" applyAlignment="1">
      <alignment horizontal="right"/>
      <protection/>
    </xf>
    <xf numFmtId="3" fontId="29" fillId="0" borderId="97" xfId="20" applyNumberFormat="1" applyFont="1" applyBorder="1">
      <alignment/>
      <protection/>
    </xf>
    <xf numFmtId="3" fontId="2" fillId="0" borderId="69" xfId="20" applyNumberFormat="1" applyFont="1" applyBorder="1">
      <alignment/>
      <protection/>
    </xf>
    <xf numFmtId="3" fontId="29" fillId="0" borderId="70" xfId="20" applyNumberFormat="1" applyFont="1" applyBorder="1">
      <alignment/>
      <protection/>
    </xf>
    <xf numFmtId="3" fontId="2" fillId="0" borderId="70" xfId="20" applyNumberFormat="1" applyFont="1" applyBorder="1" applyAlignment="1">
      <alignment horizontal="right"/>
      <protection/>
    </xf>
    <xf numFmtId="3" fontId="2" fillId="0" borderId="70" xfId="20" applyNumberFormat="1" applyFont="1" applyBorder="1">
      <alignment/>
      <protection/>
    </xf>
    <xf numFmtId="3" fontId="29" fillId="0" borderId="71" xfId="20" applyNumberFormat="1" applyFont="1" applyBorder="1">
      <alignment/>
      <protection/>
    </xf>
    <xf numFmtId="3" fontId="2" fillId="0" borderId="64" xfId="20" applyNumberFormat="1" applyFont="1" applyBorder="1">
      <alignment/>
      <protection/>
    </xf>
    <xf numFmtId="3" fontId="29" fillId="0" borderId="64" xfId="20" applyNumberFormat="1" applyFont="1" applyBorder="1">
      <alignment/>
      <protection/>
    </xf>
    <xf numFmtId="3" fontId="2" fillId="0" borderId="64" xfId="20" applyNumberFormat="1" applyFont="1" applyBorder="1" applyAlignment="1">
      <alignment horizontal="right"/>
      <protection/>
    </xf>
    <xf numFmtId="3" fontId="29" fillId="0" borderId="91" xfId="20" applyNumberFormat="1" applyFont="1" applyBorder="1">
      <alignment/>
      <protection/>
    </xf>
    <xf numFmtId="3" fontId="2" fillId="0" borderId="93" xfId="20" applyNumberFormat="1" applyFont="1" applyBorder="1">
      <alignment/>
      <protection/>
    </xf>
    <xf numFmtId="0" fontId="29" fillId="0" borderId="98" xfId="20" applyFont="1" applyBorder="1" applyAlignment="1">
      <alignment horizontal="center" vertical="center"/>
      <protection/>
    </xf>
    <xf numFmtId="0" fontId="29" fillId="0" borderId="99" xfId="20" applyFont="1" applyBorder="1" applyAlignment="1">
      <alignment horizontal="center" vertical="center"/>
      <protection/>
    </xf>
    <xf numFmtId="0" fontId="2" fillId="0" borderId="69" xfId="20" applyFont="1" applyBorder="1">
      <alignment/>
      <protection/>
    </xf>
    <xf numFmtId="0" fontId="29" fillId="0" borderId="70" xfId="20" applyFont="1" applyBorder="1">
      <alignment/>
      <protection/>
    </xf>
    <xf numFmtId="0" fontId="2" fillId="0" borderId="70" xfId="20" applyFont="1" applyBorder="1" applyAlignment="1">
      <alignment horizontal="right"/>
      <protection/>
    </xf>
    <xf numFmtId="0" fontId="2" fillId="0" borderId="70" xfId="20" applyFont="1" applyBorder="1">
      <alignment/>
      <protection/>
    </xf>
    <xf numFmtId="0" fontId="29" fillId="0" borderId="71" xfId="20" applyFont="1" applyBorder="1">
      <alignment/>
      <protection/>
    </xf>
    <xf numFmtId="0" fontId="2" fillId="0" borderId="72" xfId="20" applyFont="1" applyBorder="1">
      <alignment/>
      <protection/>
    </xf>
    <xf numFmtId="0" fontId="29" fillId="0" borderId="64" xfId="20" applyFont="1" applyBorder="1">
      <alignment/>
      <protection/>
    </xf>
    <xf numFmtId="0" fontId="2" fillId="0" borderId="64" xfId="20" applyFont="1" applyBorder="1" applyAlignment="1">
      <alignment horizontal="right"/>
      <protection/>
    </xf>
    <xf numFmtId="0" fontId="2" fillId="0" borderId="64" xfId="20" applyFont="1" applyBorder="1">
      <alignment/>
      <protection/>
    </xf>
    <xf numFmtId="0" fontId="29" fillId="0" borderId="91" xfId="20" applyFont="1" applyBorder="1">
      <alignment/>
      <protection/>
    </xf>
    <xf numFmtId="3" fontId="2" fillId="0" borderId="72" xfId="20" applyNumberFormat="1" applyFont="1" applyBorder="1">
      <alignment/>
      <protection/>
    </xf>
    <xf numFmtId="3" fontId="4" fillId="0" borderId="3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3" fontId="29" fillId="0" borderId="100" xfId="20" applyNumberFormat="1" applyFont="1" applyBorder="1">
      <alignment/>
      <protection/>
    </xf>
    <xf numFmtId="3" fontId="20" fillId="0" borderId="100" xfId="0" applyNumberFormat="1" applyFont="1" applyBorder="1" applyAlignment="1">
      <alignment/>
    </xf>
    <xf numFmtId="3" fontId="14" fillId="0" borderId="100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 vertical="center" wrapText="1"/>
    </xf>
    <xf numFmtId="3" fontId="30" fillId="0" borderId="19" xfId="0" applyNumberFormat="1" applyFont="1" applyBorder="1" applyAlignment="1">
      <alignment/>
    </xf>
    <xf numFmtId="3" fontId="32" fillId="0" borderId="19" xfId="0" applyNumberFormat="1" applyFont="1" applyBorder="1" applyAlignment="1">
      <alignment/>
    </xf>
    <xf numFmtId="3" fontId="14" fillId="0" borderId="16" xfId="19" applyNumberFormat="1" applyFont="1" applyBorder="1" applyAlignment="1">
      <alignment horizontal="right"/>
      <protection/>
    </xf>
    <xf numFmtId="3" fontId="14" fillId="0" borderId="59" xfId="19" applyNumberFormat="1" applyFont="1" applyBorder="1" applyAlignment="1">
      <alignment horizontal="right"/>
      <protection/>
    </xf>
    <xf numFmtId="2" fontId="20" fillId="0" borderId="19" xfId="0" applyNumberFormat="1" applyFont="1" applyBorder="1" applyAlignment="1">
      <alignment horizontal="center" vertical="center" wrapText="1"/>
    </xf>
    <xf numFmtId="2" fontId="20" fillId="0" borderId="85" xfId="0" applyNumberFormat="1" applyFont="1" applyBorder="1" applyAlignment="1">
      <alignment horizontal="center"/>
    </xf>
    <xf numFmtId="2" fontId="20" fillId="0" borderId="82" xfId="0" applyNumberFormat="1" applyFont="1" applyBorder="1" applyAlignment="1">
      <alignment horizontal="center"/>
    </xf>
    <xf numFmtId="3" fontId="18" fillId="0" borderId="30" xfId="21" applyNumberFormat="1" applyFont="1" applyBorder="1">
      <alignment/>
      <protection/>
    </xf>
    <xf numFmtId="0" fontId="18" fillId="0" borderId="30" xfId="21" applyFont="1" applyBorder="1">
      <alignment/>
      <protection/>
    </xf>
    <xf numFmtId="3" fontId="18" fillId="0" borderId="39" xfId="21" applyNumberFormat="1" applyFont="1" applyBorder="1">
      <alignment/>
      <protection/>
    </xf>
    <xf numFmtId="0" fontId="18" fillId="0" borderId="21" xfId="21" applyFont="1" applyBorder="1">
      <alignment/>
      <protection/>
    </xf>
    <xf numFmtId="3" fontId="18" fillId="0" borderId="22" xfId="21" applyNumberFormat="1" applyFont="1" applyBorder="1">
      <alignment/>
      <protection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3" fontId="4" fillId="0" borderId="59" xfId="0" applyNumberFormat="1" applyFont="1" applyBorder="1" applyAlignment="1">
      <alignment/>
    </xf>
    <xf numFmtId="3" fontId="28" fillId="0" borderId="19" xfId="0" applyNumberFormat="1" applyFont="1" applyBorder="1" applyAlignment="1">
      <alignment/>
    </xf>
    <xf numFmtId="0" fontId="39" fillId="0" borderId="64" xfId="0" applyFont="1" applyFill="1" applyBorder="1" applyAlignment="1">
      <alignment horizontal="center" vertical="center" wrapText="1"/>
    </xf>
    <xf numFmtId="0" fontId="3" fillId="0" borderId="101" xfId="0" applyFont="1" applyBorder="1" applyAlignment="1">
      <alignment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 wrapText="1"/>
    </xf>
    <xf numFmtId="0" fontId="40" fillId="0" borderId="0" xfId="0" applyFont="1" applyFill="1" applyBorder="1" applyAlignment="1">
      <alignment horizontal="center" vertical="center"/>
    </xf>
    <xf numFmtId="0" fontId="40" fillId="0" borderId="64" xfId="0" applyFont="1" applyFill="1" applyBorder="1" applyAlignment="1">
      <alignment horizontal="center" vertical="center"/>
    </xf>
    <xf numFmtId="3" fontId="40" fillId="0" borderId="64" xfId="0" applyNumberFormat="1" applyFont="1" applyFill="1" applyBorder="1" applyAlignment="1">
      <alignment horizontal="right" vertical="center"/>
    </xf>
    <xf numFmtId="3" fontId="39" fillId="0" borderId="100" xfId="0" applyNumberFormat="1" applyFont="1" applyFill="1" applyBorder="1" applyAlignment="1">
      <alignment horizontal="right" vertical="center"/>
    </xf>
    <xf numFmtId="0" fontId="40" fillId="0" borderId="91" xfId="0" applyFont="1" applyFill="1" applyBorder="1" applyAlignment="1">
      <alignment horizontal="center" vertical="center"/>
    </xf>
    <xf numFmtId="3" fontId="39" fillId="0" borderId="102" xfId="0" applyNumberFormat="1" applyFont="1" applyFill="1" applyBorder="1" applyAlignment="1">
      <alignment horizontal="right" vertical="center"/>
    </xf>
    <xf numFmtId="0" fontId="40" fillId="0" borderId="72" xfId="0" applyFont="1" applyFill="1" applyBorder="1" applyAlignment="1">
      <alignment horizontal="center" vertical="center"/>
    </xf>
    <xf numFmtId="3" fontId="40" fillId="0" borderId="72" xfId="0" applyNumberFormat="1" applyFont="1" applyFill="1" applyBorder="1" applyAlignment="1">
      <alignment horizontal="right" vertical="center"/>
    </xf>
    <xf numFmtId="3" fontId="39" fillId="0" borderId="103" xfId="0" applyNumberFormat="1" applyFont="1" applyFill="1" applyBorder="1" applyAlignment="1">
      <alignment horizontal="right" vertical="center"/>
    </xf>
    <xf numFmtId="3" fontId="39" fillId="0" borderId="64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vertical="center"/>
    </xf>
    <xf numFmtId="0" fontId="39" fillId="0" borderId="64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3" fontId="39" fillId="0" borderId="0" xfId="0" applyNumberFormat="1" applyFont="1" applyFill="1" applyAlignment="1">
      <alignment vertical="center"/>
    </xf>
    <xf numFmtId="3" fontId="39" fillId="0" borderId="64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vertical="center"/>
    </xf>
    <xf numFmtId="0" fontId="39" fillId="0" borderId="91" xfId="0" applyFont="1" applyFill="1" applyBorder="1" applyAlignment="1">
      <alignment horizontal="center" vertical="center"/>
    </xf>
    <xf numFmtId="3" fontId="39" fillId="0" borderId="91" xfId="0" applyNumberFormat="1" applyFont="1" applyFill="1" applyBorder="1" applyAlignment="1">
      <alignment horizontal="right" vertical="center"/>
    </xf>
    <xf numFmtId="3" fontId="39" fillId="0" borderId="0" xfId="0" applyNumberFormat="1" applyFont="1" applyFill="1" applyBorder="1" applyAlignment="1">
      <alignment vertical="center"/>
    </xf>
    <xf numFmtId="2" fontId="39" fillId="0" borderId="0" xfId="0" applyNumberFormat="1" applyFont="1" applyFill="1" applyBorder="1" applyAlignment="1">
      <alignment horizontal="left" vertical="center" wrapText="1"/>
    </xf>
    <xf numFmtId="3" fontId="39" fillId="0" borderId="0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right" vertical="center"/>
    </xf>
    <xf numFmtId="2" fontId="42" fillId="0" borderId="0" xfId="0" applyNumberFormat="1" applyFont="1" applyFill="1" applyBorder="1" applyAlignment="1">
      <alignment horizontal="left" vertical="center" wrapText="1"/>
    </xf>
    <xf numFmtId="3" fontId="42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Alignment="1">
      <alignment vertical="center"/>
    </xf>
    <xf numFmtId="2" fontId="40" fillId="0" borderId="0" xfId="0" applyNumberFormat="1" applyFont="1" applyFill="1" applyAlignment="1">
      <alignment horizontal="left" vertical="center" wrapText="1"/>
    </xf>
    <xf numFmtId="0" fontId="40" fillId="0" borderId="0" xfId="0" applyFont="1" applyFill="1" applyAlignment="1">
      <alignment horizontal="center" vertical="center"/>
    </xf>
    <xf numFmtId="183" fontId="40" fillId="0" borderId="0" xfId="0" applyNumberFormat="1" applyFont="1" applyFill="1" applyAlignment="1">
      <alignment vertical="center"/>
    </xf>
    <xf numFmtId="0" fontId="40" fillId="0" borderId="93" xfId="0" applyFont="1" applyFill="1" applyBorder="1" applyAlignment="1">
      <alignment horizontal="center" vertical="center"/>
    </xf>
    <xf numFmtId="3" fontId="40" fillId="0" borderId="93" xfId="0" applyNumberFormat="1" applyFont="1" applyFill="1" applyBorder="1" applyAlignment="1">
      <alignment horizontal="right" vertical="center"/>
    </xf>
    <xf numFmtId="3" fontId="39" fillId="0" borderId="104" xfId="0" applyNumberFormat="1" applyFont="1" applyFill="1" applyBorder="1" applyAlignment="1">
      <alignment horizontal="right" vertical="center"/>
    </xf>
    <xf numFmtId="0" fontId="4" fillId="0" borderId="105" xfId="0" applyFont="1" applyBorder="1" applyAlignment="1">
      <alignment horizontal="center" vertical="center" wrapText="1"/>
    </xf>
    <xf numFmtId="0" fontId="3" fillId="0" borderId="106" xfId="0" applyFont="1" applyBorder="1" applyAlignment="1">
      <alignment horizontal="center" wrapText="1"/>
    </xf>
    <xf numFmtId="0" fontId="0" fillId="0" borderId="106" xfId="0" applyBorder="1" applyAlignment="1">
      <alignment horizontal="center" wrapText="1"/>
    </xf>
    <xf numFmtId="0" fontId="0" fillId="0" borderId="107" xfId="0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0" fillId="0" borderId="32" xfId="0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32" xfId="0" applyFont="1" applyBorder="1" applyAlignment="1">
      <alignment/>
    </xf>
    <xf numFmtId="0" fontId="4" fillId="0" borderId="40" xfId="0" applyFont="1" applyBorder="1" applyAlignment="1">
      <alignment wrapText="1"/>
    </xf>
    <xf numFmtId="0" fontId="0" fillId="0" borderId="32" xfId="0" applyBorder="1" applyAlignment="1">
      <alignment wrapText="1"/>
    </xf>
    <xf numFmtId="0" fontId="3" fillId="0" borderId="40" xfId="0" applyFont="1" applyBorder="1" applyAlignment="1">
      <alignment/>
    </xf>
    <xf numFmtId="49" fontId="4" fillId="0" borderId="40" xfId="0" applyNumberFormat="1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4" fillId="0" borderId="4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49" fontId="4" fillId="0" borderId="40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4" fillId="0" borderId="40" xfId="0" applyFont="1" applyBorder="1" applyAlignment="1">
      <alignment/>
    </xf>
    <xf numFmtId="0" fontId="0" fillId="0" borderId="101" xfId="0" applyBorder="1" applyAlignment="1">
      <alignment/>
    </xf>
    <xf numFmtId="0" fontId="0" fillId="0" borderId="80" xfId="0" applyBorder="1" applyAlignment="1">
      <alignment/>
    </xf>
    <xf numFmtId="0" fontId="17" fillId="0" borderId="0" xfId="21" applyFont="1" applyAlignment="1">
      <alignment horizontal="center"/>
      <protection/>
    </xf>
    <xf numFmtId="0" fontId="18" fillId="0" borderId="0" xfId="0" applyFont="1" applyAlignment="1">
      <alignment horizontal="center"/>
    </xf>
    <xf numFmtId="0" fontId="17" fillId="0" borderId="108" xfId="21" applyFont="1" applyBorder="1" applyAlignment="1">
      <alignment horizontal="center"/>
      <protection/>
    </xf>
    <xf numFmtId="0" fontId="19" fillId="0" borderId="109" xfId="0" applyFont="1" applyBorder="1" applyAlignment="1">
      <alignment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19" fillId="0" borderId="109" xfId="0" applyFont="1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10" xfId="0" applyBorder="1" applyAlignment="1">
      <alignment horizontal="center"/>
    </xf>
    <xf numFmtId="0" fontId="17" fillId="0" borderId="0" xfId="0" applyFont="1" applyAlignment="1">
      <alignment horizontal="center" shrinkToFit="1"/>
    </xf>
    <xf numFmtId="0" fontId="14" fillId="0" borderId="47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0" fontId="14" fillId="0" borderId="10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101" xfId="0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/>
    </xf>
    <xf numFmtId="3" fontId="14" fillId="0" borderId="48" xfId="19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4" fillId="0" borderId="12" xfId="19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14" fillId="0" borderId="12" xfId="19" applyFont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14" fillId="0" borderId="9" xfId="19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19" applyFont="1" applyBorder="1" applyAlignment="1">
      <alignment horizontal="center" vertical="center"/>
      <protection/>
    </xf>
    <xf numFmtId="0" fontId="9" fillId="0" borderId="12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4" fillId="0" borderId="17" xfId="1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14" fillId="0" borderId="1" xfId="19" applyFont="1" applyBorder="1" applyAlignment="1">
      <alignment horizontal="left"/>
      <protection/>
    </xf>
    <xf numFmtId="0" fontId="11" fillId="0" borderId="12" xfId="0" applyFont="1" applyBorder="1" applyAlignment="1">
      <alignment horizontal="left"/>
    </xf>
    <xf numFmtId="0" fontId="14" fillId="0" borderId="14" xfId="19" applyFont="1" applyBorder="1" applyAlignment="1">
      <alignment horizontal="left"/>
      <protection/>
    </xf>
    <xf numFmtId="0" fontId="11" fillId="0" borderId="11" xfId="0" applyFont="1" applyBorder="1" applyAlignment="1">
      <alignment horizontal="left"/>
    </xf>
    <xf numFmtId="49" fontId="14" fillId="0" borderId="1" xfId="19" applyNumberFormat="1" applyFont="1" applyBorder="1" applyAlignment="1">
      <alignment horizontal="left"/>
      <protection/>
    </xf>
    <xf numFmtId="49" fontId="14" fillId="0" borderId="12" xfId="19" applyNumberFormat="1" applyFont="1" applyBorder="1" applyAlignment="1">
      <alignment horizontal="left"/>
      <protection/>
    </xf>
    <xf numFmtId="0" fontId="14" fillId="0" borderId="12" xfId="19" applyFont="1" applyBorder="1" applyAlignment="1">
      <alignment horizontal="left"/>
      <protection/>
    </xf>
    <xf numFmtId="0" fontId="14" fillId="0" borderId="13" xfId="19" applyFont="1" applyBorder="1" applyAlignment="1">
      <alignment horizontal="left"/>
      <protection/>
    </xf>
    <xf numFmtId="0" fontId="0" fillId="0" borderId="3" xfId="0" applyBorder="1" applyAlignment="1">
      <alignment horizontal="left"/>
    </xf>
    <xf numFmtId="0" fontId="15" fillId="0" borderId="0" xfId="19" applyFont="1" applyAlignment="1">
      <alignment horizontal="center"/>
      <protection/>
    </xf>
    <xf numFmtId="0" fontId="9" fillId="0" borderId="0" xfId="0" applyFont="1" applyAlignment="1">
      <alignment/>
    </xf>
    <xf numFmtId="0" fontId="24" fillId="0" borderId="0" xfId="19" applyFont="1" applyAlignment="1">
      <alignment horizontal="center"/>
      <protection/>
    </xf>
    <xf numFmtId="0" fontId="39" fillId="0" borderId="72" xfId="0" applyFont="1" applyFill="1" applyBorder="1" applyAlignment="1">
      <alignment horizontal="center" vertical="center" wrapText="1"/>
    </xf>
    <xf numFmtId="0" fontId="39" fillId="0" borderId="64" xfId="0" applyFont="1" applyFill="1" applyBorder="1" applyAlignment="1">
      <alignment horizontal="center" vertical="center" wrapText="1"/>
    </xf>
    <xf numFmtId="0" fontId="39" fillId="0" borderId="72" xfId="0" applyFont="1" applyFill="1" applyBorder="1" applyAlignment="1">
      <alignment horizontal="center" vertical="center"/>
    </xf>
    <xf numFmtId="0" fontId="39" fillId="0" borderId="103" xfId="0" applyFont="1" applyFill="1" applyBorder="1" applyAlignment="1">
      <alignment horizontal="center" vertical="center" wrapText="1"/>
    </xf>
    <xf numFmtId="0" fontId="39" fillId="0" borderId="100" xfId="0" applyFont="1" applyFill="1" applyBorder="1" applyAlignment="1">
      <alignment horizontal="center" vertical="center" wrapText="1"/>
    </xf>
    <xf numFmtId="2" fontId="40" fillId="0" borderId="46" xfId="0" applyNumberFormat="1" applyFont="1" applyFill="1" applyBorder="1" applyAlignment="1">
      <alignment horizontal="left" vertical="center" wrapText="1"/>
    </xf>
    <xf numFmtId="0" fontId="39" fillId="0" borderId="45" xfId="0" applyFont="1" applyFill="1" applyBorder="1" applyAlignment="1">
      <alignment horizontal="center" vertical="center" wrapText="1"/>
    </xf>
    <xf numFmtId="0" fontId="39" fillId="0" borderId="46" xfId="0" applyFont="1" applyFill="1" applyBorder="1" applyAlignment="1">
      <alignment horizontal="center" vertical="center" wrapText="1"/>
    </xf>
    <xf numFmtId="2" fontId="39" fillId="0" borderId="46" xfId="0" applyNumberFormat="1" applyFont="1" applyFill="1" applyBorder="1" applyAlignment="1">
      <alignment horizontal="left" vertical="center" wrapText="1"/>
    </xf>
    <xf numFmtId="2" fontId="39" fillId="0" borderId="51" xfId="0" applyNumberFormat="1" applyFont="1" applyFill="1" applyBorder="1" applyAlignment="1">
      <alignment horizontal="left" vertical="center" wrapText="1"/>
    </xf>
    <xf numFmtId="2" fontId="40" fillId="0" borderId="45" xfId="0" applyNumberFormat="1" applyFont="1" applyFill="1" applyBorder="1" applyAlignment="1">
      <alignment horizontal="left" vertical="center" wrapText="1"/>
    </xf>
    <xf numFmtId="0" fontId="40" fillId="0" borderId="52" xfId="0" applyFont="1" applyFill="1" applyBorder="1" applyAlignment="1">
      <alignment horizontal="left" vertical="center" wrapText="1"/>
    </xf>
    <xf numFmtId="2" fontId="40" fillId="0" borderId="60" xfId="0" applyNumberFormat="1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14" fillId="0" borderId="1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/>
    </xf>
    <xf numFmtId="0" fontId="14" fillId="0" borderId="11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12" xfId="0" applyFont="1" applyBorder="1" applyAlignment="1">
      <alignment horizontal="center" vertical="center" wrapText="1"/>
    </xf>
    <xf numFmtId="0" fontId="0" fillId="0" borderId="106" xfId="0" applyBorder="1" applyAlignment="1">
      <alignment wrapText="1"/>
    </xf>
    <xf numFmtId="0" fontId="0" fillId="0" borderId="113" xfId="0" applyBorder="1" applyAlignment="1">
      <alignment wrapText="1"/>
    </xf>
    <xf numFmtId="0" fontId="14" fillId="0" borderId="4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46" xfId="20" applyFont="1" applyBorder="1" applyAlignment="1">
      <alignment horizontal="left"/>
      <protection/>
    </xf>
    <xf numFmtId="0" fontId="2" fillId="0" borderId="64" xfId="20" applyFont="1" applyBorder="1" applyAlignment="1">
      <alignment horizontal="left"/>
      <protection/>
    </xf>
    <xf numFmtId="0" fontId="29" fillId="0" borderId="51" xfId="20" applyFont="1" applyBorder="1" applyAlignment="1">
      <alignment horizontal="left"/>
      <protection/>
    </xf>
    <xf numFmtId="0" fontId="29" fillId="0" borderId="91" xfId="20" applyFont="1" applyBorder="1" applyAlignment="1">
      <alignment horizontal="left"/>
      <protection/>
    </xf>
    <xf numFmtId="0" fontId="2" fillId="0" borderId="45" xfId="20" applyFont="1" applyBorder="1" applyAlignment="1">
      <alignment horizontal="left"/>
      <protection/>
    </xf>
    <xf numFmtId="0" fontId="2" fillId="0" borderId="72" xfId="20" applyFont="1" applyBorder="1" applyAlignment="1">
      <alignment horizontal="left"/>
      <protection/>
    </xf>
    <xf numFmtId="0" fontId="29" fillId="0" borderId="114" xfId="20" applyFont="1" applyBorder="1" applyAlignment="1">
      <alignment horizontal="center" vertical="center"/>
      <protection/>
    </xf>
    <xf numFmtId="0" fontId="2" fillId="0" borderId="60" xfId="20" applyFont="1" applyBorder="1" applyAlignment="1">
      <alignment horizontal="left"/>
      <protection/>
    </xf>
    <xf numFmtId="0" fontId="2" fillId="0" borderId="93" xfId="20" applyFont="1" applyBorder="1" applyAlignment="1">
      <alignment horizontal="left"/>
      <protection/>
    </xf>
    <xf numFmtId="0" fontId="29" fillId="0" borderId="46" xfId="20" applyFont="1" applyBorder="1" applyAlignment="1">
      <alignment horizontal="left"/>
      <protection/>
    </xf>
    <xf numFmtId="0" fontId="29" fillId="0" borderId="64" xfId="20" applyFont="1" applyBorder="1" applyAlignment="1">
      <alignment horizontal="left"/>
      <protection/>
    </xf>
    <xf numFmtId="0" fontId="29" fillId="0" borderId="0" xfId="20" applyFont="1" applyBorder="1" applyAlignment="1">
      <alignment horizontal="center" vertical="center"/>
      <protection/>
    </xf>
    <xf numFmtId="0" fontId="29" fillId="0" borderId="65" xfId="20" applyFont="1" applyBorder="1" applyAlignment="1">
      <alignment horizontal="center" vertical="center"/>
      <protection/>
    </xf>
    <xf numFmtId="0" fontId="2" fillId="0" borderId="46" xfId="20" applyFont="1" applyBorder="1" applyAlignment="1">
      <alignment horizontal="left" vertical="center"/>
      <protection/>
    </xf>
    <xf numFmtId="0" fontId="2" fillId="0" borderId="64" xfId="20" applyFont="1" applyBorder="1" applyAlignment="1">
      <alignment horizontal="left" vertical="center"/>
      <protection/>
    </xf>
    <xf numFmtId="0" fontId="2" fillId="0" borderId="46" xfId="20" applyFont="1" applyBorder="1" applyAlignment="1">
      <alignment vertical="center"/>
      <protection/>
    </xf>
    <xf numFmtId="0" fontId="2" fillId="0" borderId="64" xfId="20" applyFont="1" applyBorder="1" applyAlignment="1">
      <alignment vertical="center"/>
      <protection/>
    </xf>
    <xf numFmtId="0" fontId="29" fillId="0" borderId="51" xfId="20" applyFont="1" applyBorder="1" applyAlignment="1">
      <alignment horizontal="left" vertical="center"/>
      <protection/>
    </xf>
    <xf numFmtId="0" fontId="29" fillId="0" borderId="91" xfId="20" applyFont="1" applyBorder="1" applyAlignment="1">
      <alignment horizontal="left" vertical="center"/>
      <protection/>
    </xf>
    <xf numFmtId="0" fontId="2" fillId="0" borderId="60" xfId="20" applyFont="1" applyBorder="1" applyAlignment="1">
      <alignment horizontal="left" vertical="center"/>
      <protection/>
    </xf>
    <xf numFmtId="0" fontId="2" fillId="0" borderId="93" xfId="20" applyFont="1" applyBorder="1" applyAlignment="1">
      <alignment horizontal="left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9702KV1" xfId="19"/>
    <cellStyle name="Normál_Brigitől kisebbségek" xfId="20"/>
    <cellStyle name="Normál_KTGVET98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SheetLayoutView="100" workbookViewId="0" topLeftCell="D19">
      <selection activeCell="J29" sqref="J29"/>
    </sheetView>
  </sheetViews>
  <sheetFormatPr defaultColWidth="9.00390625" defaultRowHeight="12.75"/>
  <cols>
    <col min="1" max="1" width="6.125" style="4" customWidth="1"/>
    <col min="2" max="2" width="56.00390625" style="4" customWidth="1"/>
    <col min="3" max="3" width="0.6171875" style="4" hidden="1" customWidth="1"/>
    <col min="4" max="4" width="11.25390625" style="4" customWidth="1"/>
    <col min="5" max="6" width="12.00390625" style="4" customWidth="1"/>
    <col min="7" max="7" width="59.875" style="4" customWidth="1"/>
    <col min="8" max="8" width="11.625" style="4" customWidth="1"/>
    <col min="9" max="10" width="12.00390625" style="4" customWidth="1"/>
    <col min="11" max="16384" width="9.125" style="4" customWidth="1"/>
  </cols>
  <sheetData>
    <row r="1" ht="12.75">
      <c r="A1" s="251" t="s">
        <v>498</v>
      </c>
    </row>
    <row r="2" spans="1:9" ht="12.75">
      <c r="A2" s="644" t="s">
        <v>219</v>
      </c>
      <c r="B2" s="644"/>
      <c r="C2" s="644"/>
      <c r="D2" s="644"/>
      <c r="E2" s="644"/>
      <c r="F2" s="644"/>
      <c r="G2" s="644"/>
      <c r="H2" s="645"/>
      <c r="I2" s="646"/>
    </row>
    <row r="3" spans="3:7" ht="13.5" thickBot="1">
      <c r="C3" s="9"/>
      <c r="D3" s="9"/>
      <c r="E3" s="9"/>
      <c r="F3" s="9"/>
      <c r="G3" s="9"/>
    </row>
    <row r="4" spans="1:10" ht="13.5" customHeight="1" thickTop="1">
      <c r="A4" s="638" t="s">
        <v>518</v>
      </c>
      <c r="B4" s="639"/>
      <c r="C4" s="639"/>
      <c r="D4" s="639"/>
      <c r="E4" s="640"/>
      <c r="F4" s="641"/>
      <c r="G4" s="642" t="s">
        <v>519</v>
      </c>
      <c r="H4" s="601"/>
      <c r="I4" s="658"/>
      <c r="J4" s="659"/>
    </row>
    <row r="5" spans="1:10" ht="14.25" customHeight="1" thickBot="1">
      <c r="A5" s="187"/>
      <c r="B5" s="188"/>
      <c r="C5" s="189"/>
      <c r="D5" s="190" t="s">
        <v>490</v>
      </c>
      <c r="E5" s="190" t="s">
        <v>496</v>
      </c>
      <c r="F5" s="190" t="s">
        <v>85</v>
      </c>
      <c r="G5" s="229"/>
      <c r="H5" s="298" t="s">
        <v>491</v>
      </c>
      <c r="I5" s="578" t="s">
        <v>496</v>
      </c>
      <c r="J5" s="478" t="s">
        <v>85</v>
      </c>
    </row>
    <row r="6" spans="1:10" ht="13.5" customHeight="1" thickTop="1">
      <c r="A6" s="191" t="s">
        <v>520</v>
      </c>
      <c r="B6" s="192"/>
      <c r="C6" s="193"/>
      <c r="D6" s="194">
        <f>SUM(D7:D8)</f>
        <v>337088</v>
      </c>
      <c r="E6" s="194">
        <f>SUM(E7:E8)</f>
        <v>508373</v>
      </c>
      <c r="F6" s="194">
        <f>SUM(F7:F8)</f>
        <v>514175</v>
      </c>
      <c r="G6" s="242" t="s">
        <v>507</v>
      </c>
      <c r="H6" s="299">
        <v>1781603</v>
      </c>
      <c r="I6" s="577">
        <v>1888267</v>
      </c>
      <c r="J6" s="479">
        <v>1912628</v>
      </c>
    </row>
    <row r="7" spans="1:10" ht="12.75" customHeight="1" thickBot="1">
      <c r="A7" s="196" t="s">
        <v>521</v>
      </c>
      <c r="B7" s="197"/>
      <c r="C7" s="189"/>
      <c r="D7" s="198">
        <v>140400</v>
      </c>
      <c r="E7" s="198">
        <v>158205</v>
      </c>
      <c r="F7" s="198">
        <v>164007</v>
      </c>
      <c r="G7" s="243"/>
      <c r="H7" s="300"/>
      <c r="I7" s="130"/>
      <c r="J7" s="480"/>
    </row>
    <row r="8" spans="1:10" ht="13.5" thickTop="1">
      <c r="A8" s="196" t="s">
        <v>522</v>
      </c>
      <c r="B8" s="197"/>
      <c r="C8" s="199" t="s">
        <v>542</v>
      </c>
      <c r="D8" s="200">
        <v>196688</v>
      </c>
      <c r="E8" s="200">
        <v>350168</v>
      </c>
      <c r="F8" s="200">
        <v>350168</v>
      </c>
      <c r="G8" s="243" t="s">
        <v>574</v>
      </c>
      <c r="H8" s="301">
        <v>474811</v>
      </c>
      <c r="I8" s="135">
        <v>505000</v>
      </c>
      <c r="J8" s="481">
        <v>500648</v>
      </c>
    </row>
    <row r="9" spans="1:10" ht="12.75">
      <c r="A9" s="196"/>
      <c r="B9" s="197"/>
      <c r="C9" s="199"/>
      <c r="D9" s="200"/>
      <c r="E9" s="200"/>
      <c r="F9" s="200"/>
      <c r="G9" s="243"/>
      <c r="H9" s="300"/>
      <c r="I9" s="130"/>
      <c r="J9" s="480"/>
    </row>
    <row r="10" spans="1:10" ht="12.75">
      <c r="A10" s="202" t="s">
        <v>523</v>
      </c>
      <c r="B10" s="161"/>
      <c r="C10" s="201" t="s">
        <v>566</v>
      </c>
      <c r="D10" s="203">
        <f>SUM(D17+D16+D15+D12+D11)</f>
        <v>1908453</v>
      </c>
      <c r="E10" s="203">
        <f>SUM(E17+E16+E15+E12+E11)</f>
        <v>1907498</v>
      </c>
      <c r="F10" s="203">
        <f>SUM(F17+F16+F15+F12+F11)</f>
        <v>1907498</v>
      </c>
      <c r="G10" s="243" t="s">
        <v>365</v>
      </c>
      <c r="H10" s="301">
        <v>1322029</v>
      </c>
      <c r="I10" s="135">
        <v>1557346</v>
      </c>
      <c r="J10" s="481">
        <v>1565796</v>
      </c>
    </row>
    <row r="11" spans="1:10" ht="12.75">
      <c r="A11" s="204" t="s">
        <v>524</v>
      </c>
      <c r="B11" s="161"/>
      <c r="C11" s="201" t="s">
        <v>567</v>
      </c>
      <c r="D11" s="205">
        <v>1140400</v>
      </c>
      <c r="E11" s="205">
        <v>1140400</v>
      </c>
      <c r="F11" s="205">
        <v>1140400</v>
      </c>
      <c r="G11" s="243"/>
      <c r="H11" s="300"/>
      <c r="I11" s="130"/>
      <c r="J11" s="480"/>
    </row>
    <row r="12" spans="1:10" ht="12.75">
      <c r="A12" s="204" t="s">
        <v>525</v>
      </c>
      <c r="B12" s="206"/>
      <c r="C12" s="201"/>
      <c r="D12" s="205">
        <f>SUM(D13:D14)</f>
        <v>666859</v>
      </c>
      <c r="E12" s="205">
        <v>666859</v>
      </c>
      <c r="F12" s="205">
        <v>666859</v>
      </c>
      <c r="G12" s="243" t="s">
        <v>575</v>
      </c>
      <c r="H12" s="301">
        <f>SUM(H13:H14)</f>
        <v>625333</v>
      </c>
      <c r="I12" s="484">
        <f>SUM(I13:I14)</f>
        <v>732842</v>
      </c>
      <c r="J12" s="482">
        <f>SUM(J13:J14)</f>
        <v>736461</v>
      </c>
    </row>
    <row r="13" spans="1:10" ht="12.75">
      <c r="A13" s="202"/>
      <c r="B13" s="161" t="s">
        <v>526</v>
      </c>
      <c r="C13" s="201" t="s">
        <v>568</v>
      </c>
      <c r="D13" s="205">
        <v>426859</v>
      </c>
      <c r="E13" s="205">
        <v>426859</v>
      </c>
      <c r="F13" s="205">
        <v>426859</v>
      </c>
      <c r="G13" s="230" t="s">
        <v>511</v>
      </c>
      <c r="H13" s="300">
        <v>252456</v>
      </c>
      <c r="I13" s="130">
        <v>316921</v>
      </c>
      <c r="J13" s="480">
        <v>322421</v>
      </c>
    </row>
    <row r="14" spans="1:10" ht="15" customHeight="1">
      <c r="A14" s="202"/>
      <c r="B14" s="161" t="s">
        <v>527</v>
      </c>
      <c r="C14" s="201" t="s">
        <v>569</v>
      </c>
      <c r="D14" s="205">
        <v>240000</v>
      </c>
      <c r="E14" s="205">
        <v>240000</v>
      </c>
      <c r="F14" s="205">
        <v>240000</v>
      </c>
      <c r="G14" s="230" t="s">
        <v>512</v>
      </c>
      <c r="H14" s="300">
        <v>372877</v>
      </c>
      <c r="I14" s="130">
        <v>415921</v>
      </c>
      <c r="J14" s="480">
        <v>414040</v>
      </c>
    </row>
    <row r="15" spans="1:10" ht="12.75">
      <c r="A15" s="202" t="s">
        <v>528</v>
      </c>
      <c r="B15" s="161"/>
      <c r="C15" s="201"/>
      <c r="D15" s="207">
        <v>100</v>
      </c>
      <c r="E15" s="207">
        <v>100</v>
      </c>
      <c r="F15" s="207">
        <v>100</v>
      </c>
      <c r="G15" s="230"/>
      <c r="H15" s="300"/>
      <c r="I15" s="130"/>
      <c r="J15" s="480"/>
    </row>
    <row r="16" spans="1:10" ht="12.75">
      <c r="A16" s="209" t="s">
        <v>445</v>
      </c>
      <c r="B16" s="186"/>
      <c r="C16" s="201" t="s">
        <v>570</v>
      </c>
      <c r="D16" s="205">
        <v>2500</v>
      </c>
      <c r="E16" s="205">
        <v>2500</v>
      </c>
      <c r="F16" s="205">
        <v>2500</v>
      </c>
      <c r="G16" s="243" t="s">
        <v>576</v>
      </c>
      <c r="H16" s="301">
        <v>223696</v>
      </c>
      <c r="I16" s="135">
        <v>235126</v>
      </c>
      <c r="J16" s="481">
        <v>230376</v>
      </c>
    </row>
    <row r="17" spans="1:10" ht="12.75">
      <c r="A17" s="202" t="s">
        <v>497</v>
      </c>
      <c r="B17" s="161"/>
      <c r="C17" s="1"/>
      <c r="D17" s="205">
        <v>98594</v>
      </c>
      <c r="E17" s="205">
        <v>97639</v>
      </c>
      <c r="F17" s="205">
        <v>97639</v>
      </c>
      <c r="G17" s="243"/>
      <c r="H17" s="301"/>
      <c r="I17" s="130"/>
      <c r="J17" s="480"/>
    </row>
    <row r="18" spans="1:10" ht="12.75">
      <c r="A18" s="657" t="s">
        <v>529</v>
      </c>
      <c r="B18" s="647"/>
      <c r="C18" s="1"/>
      <c r="D18" s="292">
        <f>SUM(D6+D10)</f>
        <v>2245541</v>
      </c>
      <c r="E18" s="292">
        <f>SUM(E6+E10)</f>
        <v>2415871</v>
      </c>
      <c r="F18" s="292">
        <f>SUM(F6+F10)</f>
        <v>2421673</v>
      </c>
      <c r="G18" s="243" t="s">
        <v>577</v>
      </c>
      <c r="H18" s="301">
        <v>9378</v>
      </c>
      <c r="I18" s="135">
        <v>9378</v>
      </c>
      <c r="J18" s="481">
        <v>9378</v>
      </c>
    </row>
    <row r="19" spans="1:10" ht="12.75">
      <c r="A19" s="657"/>
      <c r="B19" s="647"/>
      <c r="C19" s="1"/>
      <c r="D19" s="211"/>
      <c r="E19" s="211"/>
      <c r="F19" s="211"/>
      <c r="G19" s="243"/>
      <c r="H19" s="300"/>
      <c r="I19" s="130"/>
      <c r="J19" s="480"/>
    </row>
    <row r="20" spans="1:10" ht="12.75">
      <c r="A20" s="209" t="s">
        <v>360</v>
      </c>
      <c r="B20" s="210"/>
      <c r="C20" s="1"/>
      <c r="D20" s="212"/>
      <c r="E20" s="212"/>
      <c r="F20" s="207">
        <v>800</v>
      </c>
      <c r="G20" s="243" t="s">
        <v>530</v>
      </c>
      <c r="H20" s="301">
        <f>4313314+367</f>
        <v>4313681</v>
      </c>
      <c r="I20" s="135">
        <v>4168919</v>
      </c>
      <c r="J20" s="481">
        <v>4170891</v>
      </c>
    </row>
    <row r="21" spans="1:10" ht="12.75">
      <c r="A21" s="209" t="s">
        <v>531</v>
      </c>
      <c r="B21" s="186"/>
      <c r="C21" s="195" t="s">
        <v>516</v>
      </c>
      <c r="D21" s="205">
        <v>148000</v>
      </c>
      <c r="E21" s="205">
        <v>148000</v>
      </c>
      <c r="F21" s="205">
        <v>148000</v>
      </c>
      <c r="G21" s="243"/>
      <c r="H21" s="301"/>
      <c r="I21" s="130"/>
      <c r="J21" s="480"/>
    </row>
    <row r="22" spans="1:10" ht="12.75">
      <c r="A22" s="213" t="s">
        <v>564</v>
      </c>
      <c r="B22" s="214"/>
      <c r="C22" s="195" t="s">
        <v>532</v>
      </c>
      <c r="D22" s="207">
        <v>45800</v>
      </c>
      <c r="E22" s="207">
        <v>45800</v>
      </c>
      <c r="F22" s="207">
        <v>45800</v>
      </c>
      <c r="G22" s="243" t="s">
        <v>549</v>
      </c>
      <c r="H22" s="301">
        <v>212168</v>
      </c>
      <c r="I22" s="135">
        <v>247362</v>
      </c>
      <c r="J22" s="481">
        <v>221679</v>
      </c>
    </row>
    <row r="23" spans="1:10" ht="12.75">
      <c r="A23" s="213" t="s">
        <v>459</v>
      </c>
      <c r="B23" s="214"/>
      <c r="C23" s="195" t="s">
        <v>571</v>
      </c>
      <c r="D23" s="205">
        <v>72000</v>
      </c>
      <c r="E23" s="205">
        <v>72000</v>
      </c>
      <c r="F23" s="205">
        <v>72000</v>
      </c>
      <c r="G23" s="243"/>
      <c r="H23" s="300"/>
      <c r="I23" s="130"/>
      <c r="J23" s="480"/>
    </row>
    <row r="24" spans="1:10" ht="12.75">
      <c r="A24" s="202" t="s">
        <v>533</v>
      </c>
      <c r="B24" s="161"/>
      <c r="C24" s="7"/>
      <c r="D24" s="205">
        <v>13854</v>
      </c>
      <c r="E24" s="205">
        <v>13854</v>
      </c>
      <c r="F24" s="205">
        <v>13854</v>
      </c>
      <c r="G24" s="243" t="s">
        <v>510</v>
      </c>
      <c r="H24" s="301">
        <v>131528</v>
      </c>
      <c r="I24" s="135">
        <v>131528</v>
      </c>
      <c r="J24" s="481">
        <v>47423</v>
      </c>
    </row>
    <row r="25" spans="1:10" ht="12.75">
      <c r="A25" s="196" t="s">
        <v>472</v>
      </c>
      <c r="B25" s="197"/>
      <c r="C25" s="7"/>
      <c r="D25" s="205">
        <v>6700</v>
      </c>
      <c r="E25" s="205">
        <v>6700</v>
      </c>
      <c r="F25" s="205">
        <v>6700</v>
      </c>
      <c r="G25" s="243"/>
      <c r="H25" s="301"/>
      <c r="I25" s="130"/>
      <c r="J25" s="480"/>
    </row>
    <row r="26" spans="1:10" ht="12.75">
      <c r="A26" s="196" t="s">
        <v>18</v>
      </c>
      <c r="B26" s="197"/>
      <c r="C26" s="7"/>
      <c r="D26" s="205">
        <v>455000</v>
      </c>
      <c r="E26" s="205">
        <v>455000</v>
      </c>
      <c r="F26" s="205">
        <v>455000</v>
      </c>
      <c r="G26" s="243" t="s">
        <v>466</v>
      </c>
      <c r="H26" s="301">
        <f>SUM(H27)</f>
        <v>8500</v>
      </c>
      <c r="I26" s="484">
        <f>SUM(I27:I28)</f>
        <v>60353</v>
      </c>
      <c r="J26" s="482">
        <f>SUM(J27:J28)</f>
        <v>64786</v>
      </c>
    </row>
    <row r="27" spans="1:10" ht="14.25" customHeight="1">
      <c r="A27" s="653" t="s">
        <v>535</v>
      </c>
      <c r="B27" s="654"/>
      <c r="C27" s="7"/>
      <c r="D27" s="211">
        <f>SUM(D20:D26)</f>
        <v>741354</v>
      </c>
      <c r="E27" s="211">
        <f>SUM(E20:E26)</f>
        <v>741354</v>
      </c>
      <c r="F27" s="211">
        <f>SUM(F20:F26)</f>
        <v>742154</v>
      </c>
      <c r="G27" s="230" t="s">
        <v>225</v>
      </c>
      <c r="H27" s="300">
        <v>8500</v>
      </c>
      <c r="I27" s="130">
        <v>8600</v>
      </c>
      <c r="J27" s="480">
        <v>8600</v>
      </c>
    </row>
    <row r="28" spans="1:10" ht="14.25" customHeight="1">
      <c r="A28" s="653"/>
      <c r="B28" s="654"/>
      <c r="C28" s="7"/>
      <c r="D28" s="212"/>
      <c r="E28" s="212"/>
      <c r="F28" s="212"/>
      <c r="G28" s="230" t="s">
        <v>95</v>
      </c>
      <c r="H28" s="300"/>
      <c r="I28" s="130">
        <v>51753</v>
      </c>
      <c r="J28" s="480">
        <v>56186</v>
      </c>
    </row>
    <row r="29" spans="1:10" ht="12.75" customHeight="1">
      <c r="A29" s="216" t="s">
        <v>536</v>
      </c>
      <c r="B29" s="186"/>
      <c r="C29" s="7"/>
      <c r="D29" s="205">
        <v>862671</v>
      </c>
      <c r="E29" s="205">
        <v>852035</v>
      </c>
      <c r="F29" s="205">
        <v>852035</v>
      </c>
      <c r="G29" s="244"/>
      <c r="H29" s="301"/>
      <c r="I29" s="130"/>
      <c r="J29" s="480"/>
    </row>
    <row r="30" spans="1:10" ht="12.75" customHeight="1">
      <c r="A30" s="209" t="s">
        <v>97</v>
      </c>
      <c r="B30" s="186"/>
      <c r="C30" s="7"/>
      <c r="D30" s="205">
        <v>1698</v>
      </c>
      <c r="E30" s="205"/>
      <c r="F30" s="205"/>
      <c r="G30" s="244" t="s">
        <v>534</v>
      </c>
      <c r="H30" s="301">
        <f>SUM(H31+H32)</f>
        <v>182393</v>
      </c>
      <c r="I30" s="484">
        <f>SUM(I31:I32)</f>
        <v>13312</v>
      </c>
      <c r="J30" s="482">
        <f>SUM(J31:J32)</f>
        <v>84694</v>
      </c>
    </row>
    <row r="31" spans="1:10" ht="12.75" customHeight="1">
      <c r="A31" s="650" t="s">
        <v>96</v>
      </c>
      <c r="B31" s="643"/>
      <c r="C31" s="7"/>
      <c r="D31" s="205"/>
      <c r="E31" s="205">
        <v>82423</v>
      </c>
      <c r="F31" s="205">
        <v>88328</v>
      </c>
      <c r="G31" s="245" t="s">
        <v>446</v>
      </c>
      <c r="H31" s="302">
        <v>15000</v>
      </c>
      <c r="I31" s="133">
        <v>1289</v>
      </c>
      <c r="J31" s="483">
        <v>1106</v>
      </c>
    </row>
    <row r="32" spans="1:10" ht="12.75" customHeight="1">
      <c r="A32" s="209" t="s">
        <v>218</v>
      </c>
      <c r="B32" s="186"/>
      <c r="C32" s="215" t="s">
        <v>572</v>
      </c>
      <c r="D32" s="205">
        <v>190225</v>
      </c>
      <c r="E32" s="205">
        <v>190439</v>
      </c>
      <c r="F32" s="205">
        <v>203939</v>
      </c>
      <c r="G32" s="245" t="s">
        <v>447</v>
      </c>
      <c r="H32" s="303">
        <f>SUM(H33:H35)</f>
        <v>167393</v>
      </c>
      <c r="I32" s="303">
        <f>SUM(I33:I35)</f>
        <v>12023</v>
      </c>
      <c r="J32" s="599">
        <f>SUM(J33:J35)</f>
        <v>83588</v>
      </c>
    </row>
    <row r="33" spans="1:10" ht="12.75" customHeight="1">
      <c r="A33" s="209" t="s">
        <v>468</v>
      </c>
      <c r="B33" s="186"/>
      <c r="C33" s="215"/>
      <c r="D33" s="205">
        <v>15661</v>
      </c>
      <c r="E33" s="205">
        <v>15661</v>
      </c>
      <c r="F33" s="205">
        <v>15661</v>
      </c>
      <c r="G33" s="230" t="s">
        <v>476</v>
      </c>
      <c r="H33" s="300">
        <v>30493</v>
      </c>
      <c r="I33" s="130">
        <v>23</v>
      </c>
      <c r="J33" s="480">
        <v>18</v>
      </c>
    </row>
    <row r="34" spans="1:10" ht="12.75" customHeight="1">
      <c r="A34" s="657" t="s">
        <v>537</v>
      </c>
      <c r="B34" s="647"/>
      <c r="C34" s="215"/>
      <c r="D34" s="293">
        <f>SUM(D29:D33)</f>
        <v>1070255</v>
      </c>
      <c r="E34" s="293">
        <f>SUM(E29:E33)</f>
        <v>1140558</v>
      </c>
      <c r="F34" s="293">
        <f>SUM(F29:F33)</f>
        <v>1159963</v>
      </c>
      <c r="G34" s="230" t="s">
        <v>499</v>
      </c>
      <c r="H34" s="300">
        <v>136900</v>
      </c>
      <c r="I34" s="130">
        <v>12000</v>
      </c>
      <c r="J34" s="480">
        <v>45076</v>
      </c>
    </row>
    <row r="35" spans="1:10" ht="12.75" customHeight="1">
      <c r="A35" s="209"/>
      <c r="B35" s="290"/>
      <c r="C35" s="215"/>
      <c r="D35" s="200"/>
      <c r="E35" s="200"/>
      <c r="F35" s="200"/>
      <c r="G35" s="230" t="s">
        <v>670</v>
      </c>
      <c r="H35" s="300"/>
      <c r="I35" s="130"/>
      <c r="J35" s="480">
        <v>38494</v>
      </c>
    </row>
    <row r="36" spans="1:10" ht="12.75" customHeight="1">
      <c r="A36" s="10" t="s">
        <v>481</v>
      </c>
      <c r="B36" s="161"/>
      <c r="C36" s="208"/>
      <c r="D36" s="200">
        <v>745910</v>
      </c>
      <c r="E36" s="200">
        <v>766633</v>
      </c>
      <c r="F36" s="200">
        <v>766633</v>
      </c>
      <c r="G36" s="183"/>
      <c r="H36" s="304"/>
      <c r="I36" s="135"/>
      <c r="J36" s="481"/>
    </row>
    <row r="37" spans="1:10" ht="25.5" customHeight="1">
      <c r="A37" s="10" t="s">
        <v>482</v>
      </c>
      <c r="B37" s="206"/>
      <c r="C37" s="208"/>
      <c r="D37" s="200">
        <v>144668</v>
      </c>
      <c r="E37" s="200">
        <v>164332</v>
      </c>
      <c r="F37" s="200">
        <v>175477</v>
      </c>
      <c r="G37" s="183" t="s">
        <v>226</v>
      </c>
      <c r="H37" s="304">
        <v>5879</v>
      </c>
      <c r="I37" s="135">
        <v>5879</v>
      </c>
      <c r="J37" s="481">
        <v>5879</v>
      </c>
    </row>
    <row r="38" spans="1:10" ht="12.75" customHeight="1">
      <c r="A38" s="10" t="s">
        <v>483</v>
      </c>
      <c r="B38" s="161"/>
      <c r="C38" s="208"/>
      <c r="D38" s="205">
        <v>2492844</v>
      </c>
      <c r="E38" s="205">
        <v>1873343</v>
      </c>
      <c r="F38" s="205">
        <v>1827085</v>
      </c>
      <c r="G38" s="230"/>
      <c r="H38" s="300"/>
      <c r="I38" s="130"/>
      <c r="J38" s="480"/>
    </row>
    <row r="39" spans="1:10" ht="12.75" customHeight="1">
      <c r="A39" s="219" t="s">
        <v>473</v>
      </c>
      <c r="B39" s="161"/>
      <c r="C39" s="208"/>
      <c r="D39" s="211">
        <f>SUM(D36:D38)</f>
        <v>3383422</v>
      </c>
      <c r="E39" s="211">
        <f>SUM(E36:E38)</f>
        <v>2804308</v>
      </c>
      <c r="F39" s="211">
        <f>SUM(F36:F38)</f>
        <v>2769195</v>
      </c>
      <c r="G39" s="243" t="s">
        <v>517</v>
      </c>
      <c r="H39" s="304">
        <f>SUM(H6+H8+H10+H12+H16+H18+H20+H22+H24+H26+H30+H37)</f>
        <v>9290999</v>
      </c>
      <c r="I39" s="304">
        <f>SUM(I6+I8+I10+I12+I16+I18+I20+I22+I24+I26+I30+I37)</f>
        <v>9555312</v>
      </c>
      <c r="J39" s="595">
        <f>SUM(J6+J8+J10+J12+J16+J18+J20+J22+J24+J26+J30+J37)</f>
        <v>9550639</v>
      </c>
    </row>
    <row r="40" spans="1:10" ht="12.75" customHeight="1">
      <c r="A40" s="650"/>
      <c r="B40" s="643"/>
      <c r="C40" s="208"/>
      <c r="D40" s="205"/>
      <c r="E40" s="205"/>
      <c r="F40" s="205"/>
      <c r="G40" s="230"/>
      <c r="H40" s="300"/>
      <c r="I40" s="130"/>
      <c r="J40" s="418"/>
    </row>
    <row r="41" spans="1:10" ht="12.75" customHeight="1">
      <c r="A41" s="648" t="s">
        <v>223</v>
      </c>
      <c r="B41" s="649"/>
      <c r="C41" s="208"/>
      <c r="D41" s="211">
        <v>14000</v>
      </c>
      <c r="E41" s="211">
        <v>20587</v>
      </c>
      <c r="F41" s="211">
        <v>25020</v>
      </c>
      <c r="G41" s="230" t="s">
        <v>474</v>
      </c>
      <c r="H41" s="131">
        <v>13573</v>
      </c>
      <c r="I41" s="130">
        <v>13573</v>
      </c>
      <c r="J41" s="418">
        <v>13573</v>
      </c>
    </row>
    <row r="42" spans="1:10" ht="12.75" customHeight="1">
      <c r="A42" s="219"/>
      <c r="B42" s="161"/>
      <c r="C42" s="208"/>
      <c r="D42" s="211"/>
      <c r="E42" s="211"/>
      <c r="F42" s="211"/>
      <c r="G42" s="243" t="s">
        <v>436</v>
      </c>
      <c r="H42" s="301">
        <f>SUM(H41)</f>
        <v>13573</v>
      </c>
      <c r="I42" s="484">
        <f>SUM(I41)</f>
        <v>13573</v>
      </c>
      <c r="J42" s="596">
        <f>SUM(J41)</f>
        <v>13573</v>
      </c>
    </row>
    <row r="43" spans="1:10" ht="24.75" customHeight="1">
      <c r="A43" s="651" t="s">
        <v>714</v>
      </c>
      <c r="B43" s="652"/>
      <c r="C43" s="208"/>
      <c r="D43" s="218">
        <v>1850000</v>
      </c>
      <c r="E43" s="218">
        <v>2446207</v>
      </c>
      <c r="F43" s="218">
        <v>2446207</v>
      </c>
      <c r="G43" s="183"/>
      <c r="H43" s="301"/>
      <c r="I43" s="230"/>
      <c r="J43" s="597"/>
    </row>
    <row r="44" spans="1:10" ht="12.75" customHeight="1">
      <c r="A44" s="219"/>
      <c r="B44" s="217"/>
      <c r="C44" s="208"/>
      <c r="D44" s="218"/>
      <c r="E44" s="218"/>
      <c r="F44" s="218"/>
      <c r="G44" s="243"/>
      <c r="H44" s="301"/>
      <c r="I44" s="230"/>
      <c r="J44" s="597"/>
    </row>
    <row r="45" spans="1:10" ht="12.75" customHeight="1">
      <c r="A45" s="655" t="s">
        <v>437</v>
      </c>
      <c r="B45" s="656"/>
      <c r="C45" s="208"/>
      <c r="D45" s="218">
        <f>SUM(D18+D27+D34+D39+D41+D43)</f>
        <v>9304572</v>
      </c>
      <c r="E45" s="218">
        <f>SUM(E18+E27+E34+E39+E41+E43)</f>
        <v>9568885</v>
      </c>
      <c r="F45" s="218">
        <f>SUM(F18+F27+F34+F39+F41+F43)</f>
        <v>9564212</v>
      </c>
      <c r="G45" s="243"/>
      <c r="H45" s="301"/>
      <c r="I45" s="230"/>
      <c r="J45" s="597"/>
    </row>
    <row r="46" spans="1:10" ht="13.5" customHeight="1">
      <c r="A46" s="185"/>
      <c r="B46" s="220"/>
      <c r="C46" s="208"/>
      <c r="D46" s="211"/>
      <c r="E46" s="211"/>
      <c r="F46" s="211"/>
      <c r="G46" s="230"/>
      <c r="H46" s="300"/>
      <c r="I46" s="230"/>
      <c r="J46" s="597"/>
    </row>
    <row r="47" spans="1:10" ht="12.75">
      <c r="A47" s="219" t="s">
        <v>471</v>
      </c>
      <c r="B47" s="161"/>
      <c r="C47" s="208"/>
      <c r="D47" s="221">
        <v>0</v>
      </c>
      <c r="E47" s="221"/>
      <c r="F47" s="221"/>
      <c r="G47" s="230"/>
      <c r="H47" s="305"/>
      <c r="I47" s="230"/>
      <c r="J47" s="597"/>
    </row>
    <row r="48" spans="1:10" ht="12.75" customHeight="1" thickBot="1">
      <c r="A48" s="222" t="s">
        <v>470</v>
      </c>
      <c r="B48" s="225"/>
      <c r="C48" s="226"/>
      <c r="D48" s="227">
        <f>SUM(D45+D47)</f>
        <v>9304572</v>
      </c>
      <c r="E48" s="227">
        <f>SUM(E45+E47)</f>
        <v>9568885</v>
      </c>
      <c r="F48" s="227">
        <f>SUM(F45+F47)</f>
        <v>9564212</v>
      </c>
      <c r="G48" s="231" t="s">
        <v>469</v>
      </c>
      <c r="H48" s="306">
        <f>SUM(H39+H42)</f>
        <v>9304572</v>
      </c>
      <c r="I48" s="306">
        <f>SUM(I39+I42)</f>
        <v>9568885</v>
      </c>
      <c r="J48" s="598">
        <f>SUM(J39+J42)</f>
        <v>9564212</v>
      </c>
    </row>
    <row r="49" spans="1:7" ht="13.5" thickTop="1">
      <c r="A49" s="8"/>
      <c r="B49" s="7"/>
      <c r="C49" s="8"/>
      <c r="D49" s="223"/>
      <c r="E49" s="223"/>
      <c r="F49" s="223"/>
      <c r="G49" s="8"/>
    </row>
  </sheetData>
  <mergeCells count="13">
    <mergeCell ref="A2:I2"/>
    <mergeCell ref="A19:B19"/>
    <mergeCell ref="A18:B18"/>
    <mergeCell ref="A4:F4"/>
    <mergeCell ref="G4:J4"/>
    <mergeCell ref="A43:B43"/>
    <mergeCell ref="A28:B28"/>
    <mergeCell ref="A45:B45"/>
    <mergeCell ref="A27:B27"/>
    <mergeCell ref="A34:B34"/>
    <mergeCell ref="A41:B41"/>
    <mergeCell ref="A31:B31"/>
    <mergeCell ref="A40:B40"/>
  </mergeCells>
  <printOptions horizontalCentered="1"/>
  <pageMargins left="0.2" right="0" top="0.2755905511811024" bottom="0.31496062992125984" header="0" footer="0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8"/>
  <sheetViews>
    <sheetView zoomScaleSheetLayoutView="100" workbookViewId="0" topLeftCell="A73">
      <selection activeCell="D9" sqref="D9"/>
    </sheetView>
  </sheetViews>
  <sheetFormatPr defaultColWidth="9.00390625" defaultRowHeight="12.75"/>
  <cols>
    <col min="1" max="1" width="86.125" style="0" customWidth="1"/>
    <col min="2" max="2" width="10.125" style="0" customWidth="1"/>
    <col min="3" max="3" width="10.75390625" style="0" customWidth="1"/>
    <col min="4" max="4" width="11.625" style="0" customWidth="1"/>
  </cols>
  <sheetData>
    <row r="1" spans="1:2" ht="12.75">
      <c r="A1" s="24" t="s">
        <v>420</v>
      </c>
      <c r="B1" s="4"/>
    </row>
    <row r="2" spans="1:2" ht="12.75">
      <c r="A2" s="24"/>
      <c r="B2" s="4"/>
    </row>
    <row r="3" spans="1:4" ht="15.75">
      <c r="A3" s="733" t="s">
        <v>705</v>
      </c>
      <c r="B3" s="733"/>
      <c r="C3" s="646"/>
      <c r="D3" s="646"/>
    </row>
    <row r="4" spans="1:2" ht="16.5" thickBot="1">
      <c r="A4" s="145"/>
      <c r="B4" s="4"/>
    </row>
    <row r="5" spans="1:4" ht="12.75" customHeight="1" thickTop="1">
      <c r="A5" s="146" t="s">
        <v>369</v>
      </c>
      <c r="B5" s="297" t="s">
        <v>491</v>
      </c>
      <c r="C5" s="490" t="s">
        <v>496</v>
      </c>
      <c r="D5" s="487" t="s">
        <v>85</v>
      </c>
    </row>
    <row r="6" spans="1:4" ht="12" customHeight="1">
      <c r="A6" s="147" t="s">
        <v>706</v>
      </c>
      <c r="B6" s="131">
        <v>71000</v>
      </c>
      <c r="C6" s="500">
        <v>71000</v>
      </c>
      <c r="D6" s="497">
        <v>71000</v>
      </c>
    </row>
    <row r="7" spans="1:4" ht="12" customHeight="1">
      <c r="A7" s="147" t="s">
        <v>710</v>
      </c>
      <c r="B7" s="131">
        <v>15000</v>
      </c>
      <c r="C7" s="500">
        <v>11810</v>
      </c>
      <c r="D7" s="497">
        <v>11810</v>
      </c>
    </row>
    <row r="8" spans="1:4" ht="12" customHeight="1">
      <c r="A8" s="147" t="s">
        <v>713</v>
      </c>
      <c r="B8" s="131">
        <v>2000</v>
      </c>
      <c r="C8" s="500">
        <v>1869</v>
      </c>
      <c r="D8" s="497">
        <v>1619</v>
      </c>
    </row>
    <row r="9" spans="1:4" ht="12" customHeight="1">
      <c r="A9" s="147" t="s">
        <v>631</v>
      </c>
      <c r="B9" s="131">
        <v>5000</v>
      </c>
      <c r="C9" s="500">
        <v>5000</v>
      </c>
      <c r="D9" s="497">
        <v>5000</v>
      </c>
    </row>
    <row r="10" spans="1:4" ht="12" customHeight="1">
      <c r="A10" s="147" t="s">
        <v>716</v>
      </c>
      <c r="B10" s="131">
        <v>5000</v>
      </c>
      <c r="C10" s="500">
        <v>4500</v>
      </c>
      <c r="D10" s="497">
        <v>4500</v>
      </c>
    </row>
    <row r="11" spans="1:4" ht="12" customHeight="1">
      <c r="A11" s="147" t="s">
        <v>717</v>
      </c>
      <c r="B11" s="131">
        <v>1000</v>
      </c>
      <c r="C11" s="500"/>
      <c r="D11" s="497"/>
    </row>
    <row r="12" spans="1:4" ht="12" customHeight="1">
      <c r="A12" s="147" t="s">
        <v>718</v>
      </c>
      <c r="B12" s="131">
        <v>800</v>
      </c>
      <c r="C12" s="500">
        <v>800</v>
      </c>
      <c r="D12" s="497">
        <v>800</v>
      </c>
    </row>
    <row r="13" spans="1:4" ht="12" customHeight="1">
      <c r="A13" s="147" t="s">
        <v>719</v>
      </c>
      <c r="B13" s="131">
        <v>5981</v>
      </c>
      <c r="C13" s="500">
        <v>5981</v>
      </c>
      <c r="D13" s="497">
        <v>5981</v>
      </c>
    </row>
    <row r="14" spans="1:4" ht="12" customHeight="1">
      <c r="A14" s="147" t="s">
        <v>199</v>
      </c>
      <c r="B14" s="131">
        <v>1500</v>
      </c>
      <c r="C14" s="500">
        <v>1500</v>
      </c>
      <c r="D14" s="497">
        <v>1500</v>
      </c>
    </row>
    <row r="15" spans="1:4" ht="12" customHeight="1">
      <c r="A15" s="147" t="s">
        <v>423</v>
      </c>
      <c r="B15" s="131">
        <v>6000</v>
      </c>
      <c r="C15" s="500">
        <v>8800</v>
      </c>
      <c r="D15" s="497">
        <v>8800</v>
      </c>
    </row>
    <row r="16" spans="1:4" ht="12" customHeight="1">
      <c r="A16" s="147" t="s">
        <v>202</v>
      </c>
      <c r="B16" s="131">
        <v>5000</v>
      </c>
      <c r="C16" s="500">
        <v>7000</v>
      </c>
      <c r="D16" s="497">
        <v>7000</v>
      </c>
    </row>
    <row r="17" spans="1:4" ht="12" customHeight="1">
      <c r="A17" s="147" t="s">
        <v>200</v>
      </c>
      <c r="B17" s="131">
        <v>5000</v>
      </c>
      <c r="C17" s="500">
        <v>5000</v>
      </c>
      <c r="D17" s="497">
        <v>5000</v>
      </c>
    </row>
    <row r="18" spans="1:4" ht="12" customHeight="1">
      <c r="A18" s="147" t="s">
        <v>424</v>
      </c>
      <c r="B18" s="131">
        <v>500</v>
      </c>
      <c r="C18" s="500">
        <v>500</v>
      </c>
      <c r="D18" s="497">
        <v>500</v>
      </c>
    </row>
    <row r="19" spans="1:4" ht="12" customHeight="1">
      <c r="A19" s="147" t="s">
        <v>433</v>
      </c>
      <c r="B19" s="131">
        <v>4000</v>
      </c>
      <c r="C19" s="500">
        <v>4000</v>
      </c>
      <c r="D19" s="497">
        <v>4000</v>
      </c>
    </row>
    <row r="20" spans="1:4" ht="12" customHeight="1">
      <c r="A20" s="147" t="s">
        <v>203</v>
      </c>
      <c r="B20" s="131">
        <v>1500</v>
      </c>
      <c r="C20" s="500">
        <v>620</v>
      </c>
      <c r="D20" s="497">
        <v>620</v>
      </c>
    </row>
    <row r="21" spans="1:4" ht="12" customHeight="1">
      <c r="A21" s="142" t="s">
        <v>425</v>
      </c>
      <c r="B21" s="131">
        <v>1000</v>
      </c>
      <c r="C21" s="500">
        <v>1000</v>
      </c>
      <c r="D21" s="497">
        <v>1000</v>
      </c>
    </row>
    <row r="22" spans="1:4" ht="12" customHeight="1">
      <c r="A22" s="147" t="s">
        <v>204</v>
      </c>
      <c r="B22" s="131">
        <v>5550</v>
      </c>
      <c r="C22" s="500">
        <v>5550</v>
      </c>
      <c r="D22" s="497">
        <v>5550</v>
      </c>
    </row>
    <row r="23" spans="1:4" ht="12" customHeight="1">
      <c r="A23" s="147" t="s">
        <v>426</v>
      </c>
      <c r="B23" s="131">
        <v>350</v>
      </c>
      <c r="C23" s="500">
        <v>350</v>
      </c>
      <c r="D23" s="497">
        <v>350</v>
      </c>
    </row>
    <row r="24" spans="1:4" ht="12" customHeight="1">
      <c r="A24" s="147" t="s">
        <v>205</v>
      </c>
      <c r="B24" s="131">
        <v>34000</v>
      </c>
      <c r="C24" s="500">
        <v>41890</v>
      </c>
      <c r="D24" s="497">
        <v>41890</v>
      </c>
    </row>
    <row r="25" spans="1:4" ht="12" customHeight="1">
      <c r="A25" s="147" t="s">
        <v>206</v>
      </c>
      <c r="B25" s="131">
        <v>1000</v>
      </c>
      <c r="C25" s="500">
        <v>1000</v>
      </c>
      <c r="D25" s="497">
        <v>1000</v>
      </c>
    </row>
    <row r="26" spans="1:4" ht="12" customHeight="1">
      <c r="A26" s="147" t="s">
        <v>377</v>
      </c>
      <c r="B26" s="131">
        <v>1500</v>
      </c>
      <c r="C26" s="500">
        <v>3500</v>
      </c>
      <c r="D26" s="497">
        <v>3500</v>
      </c>
    </row>
    <row r="27" spans="1:4" ht="12" customHeight="1">
      <c r="A27" s="147" t="s">
        <v>207</v>
      </c>
      <c r="B27" s="131">
        <v>1000</v>
      </c>
      <c r="C27" s="500">
        <v>1000</v>
      </c>
      <c r="D27" s="497">
        <v>1000</v>
      </c>
    </row>
    <row r="28" spans="1:4" ht="12" customHeight="1">
      <c r="A28" s="147" t="s">
        <v>208</v>
      </c>
      <c r="B28" s="131">
        <v>1000</v>
      </c>
      <c r="C28" s="500">
        <v>1500</v>
      </c>
      <c r="D28" s="497">
        <v>1500</v>
      </c>
    </row>
    <row r="29" spans="1:4" ht="12" customHeight="1">
      <c r="A29" s="147" t="s">
        <v>376</v>
      </c>
      <c r="B29" s="131">
        <v>1000</v>
      </c>
      <c r="C29" s="500">
        <v>1000</v>
      </c>
      <c r="D29" s="497">
        <v>1000</v>
      </c>
    </row>
    <row r="30" spans="1:4" ht="12" customHeight="1">
      <c r="A30" s="147" t="s">
        <v>375</v>
      </c>
      <c r="B30" s="131">
        <v>2000</v>
      </c>
      <c r="C30" s="500">
        <v>1700</v>
      </c>
      <c r="D30" s="497">
        <v>1700</v>
      </c>
    </row>
    <row r="31" spans="1:4" ht="12" customHeight="1">
      <c r="A31" s="147" t="s">
        <v>209</v>
      </c>
      <c r="B31" s="131">
        <v>1500</v>
      </c>
      <c r="C31" s="500">
        <v>430</v>
      </c>
      <c r="D31" s="497">
        <v>430</v>
      </c>
    </row>
    <row r="32" spans="1:4" ht="12" customHeight="1">
      <c r="A32" s="147" t="s">
        <v>210</v>
      </c>
      <c r="B32" s="131">
        <v>60000</v>
      </c>
      <c r="C32" s="500">
        <v>63190</v>
      </c>
      <c r="D32" s="497">
        <v>63190</v>
      </c>
    </row>
    <row r="33" spans="1:4" ht="12" customHeight="1">
      <c r="A33" s="147" t="s">
        <v>379</v>
      </c>
      <c r="B33" s="131">
        <v>300</v>
      </c>
      <c r="C33" s="500">
        <v>300</v>
      </c>
      <c r="D33" s="497">
        <v>300</v>
      </c>
    </row>
    <row r="34" spans="1:4" ht="12" customHeight="1">
      <c r="A34" s="147" t="s">
        <v>211</v>
      </c>
      <c r="B34" s="131">
        <v>300</v>
      </c>
      <c r="C34" s="500">
        <v>600</v>
      </c>
      <c r="D34" s="497">
        <v>600</v>
      </c>
    </row>
    <row r="35" spans="1:4" ht="12" customHeight="1">
      <c r="A35" s="147" t="s">
        <v>212</v>
      </c>
      <c r="B35" s="131">
        <v>400</v>
      </c>
      <c r="C35" s="500">
        <v>400</v>
      </c>
      <c r="D35" s="497">
        <v>400</v>
      </c>
    </row>
    <row r="36" spans="1:4" ht="12" customHeight="1">
      <c r="A36" s="271" t="s">
        <v>820</v>
      </c>
      <c r="B36" s="352">
        <v>6000</v>
      </c>
      <c r="C36" s="500">
        <v>6000</v>
      </c>
      <c r="D36" s="497">
        <v>6000</v>
      </c>
    </row>
    <row r="37" spans="1:4" ht="12" customHeight="1">
      <c r="A37" s="142" t="s">
        <v>15</v>
      </c>
      <c r="B37" s="131">
        <v>4800</v>
      </c>
      <c r="C37" s="500">
        <v>9600</v>
      </c>
      <c r="D37" s="497">
        <v>9600</v>
      </c>
    </row>
    <row r="38" spans="1:4" ht="12" customHeight="1">
      <c r="A38" s="359" t="s">
        <v>30</v>
      </c>
      <c r="B38" s="352"/>
      <c r="C38" s="500">
        <v>16</v>
      </c>
      <c r="D38" s="497">
        <v>16</v>
      </c>
    </row>
    <row r="39" spans="1:4" ht="12" customHeight="1">
      <c r="A39" s="359" t="s">
        <v>31</v>
      </c>
      <c r="B39" s="352"/>
      <c r="C39" s="500"/>
      <c r="D39" s="497"/>
    </row>
    <row r="40" spans="1:4" ht="12" customHeight="1">
      <c r="A40" s="359" t="s">
        <v>32</v>
      </c>
      <c r="B40" s="352"/>
      <c r="C40" s="500">
        <v>100</v>
      </c>
      <c r="D40" s="497">
        <v>100</v>
      </c>
    </row>
    <row r="41" spans="1:4" ht="12" customHeight="1">
      <c r="A41" s="359" t="s">
        <v>33</v>
      </c>
      <c r="B41" s="352"/>
      <c r="C41" s="500">
        <v>450</v>
      </c>
      <c r="D41" s="497">
        <v>450</v>
      </c>
    </row>
    <row r="42" spans="1:4" ht="12" customHeight="1">
      <c r="A42" s="359" t="s">
        <v>34</v>
      </c>
      <c r="B42" s="352"/>
      <c r="C42" s="500">
        <v>100</v>
      </c>
      <c r="D42" s="497">
        <v>100</v>
      </c>
    </row>
    <row r="43" spans="1:4" ht="12" customHeight="1">
      <c r="A43" s="359" t="s">
        <v>129</v>
      </c>
      <c r="B43" s="352"/>
      <c r="C43" s="500">
        <v>500</v>
      </c>
      <c r="D43" s="497">
        <v>500</v>
      </c>
    </row>
    <row r="44" spans="1:4" ht="12" customHeight="1">
      <c r="A44" s="359" t="s">
        <v>130</v>
      </c>
      <c r="B44" s="352"/>
      <c r="C44" s="500">
        <v>300</v>
      </c>
      <c r="D44" s="497">
        <v>300</v>
      </c>
    </row>
    <row r="45" spans="1:4" ht="12" customHeight="1">
      <c r="A45" s="359" t="s">
        <v>131</v>
      </c>
      <c r="B45" s="352"/>
      <c r="C45" s="500">
        <v>100</v>
      </c>
      <c r="D45" s="497">
        <v>100</v>
      </c>
    </row>
    <row r="46" spans="1:4" ht="12" customHeight="1">
      <c r="A46" s="359" t="s">
        <v>132</v>
      </c>
      <c r="B46" s="352"/>
      <c r="C46" s="500">
        <v>500</v>
      </c>
      <c r="D46" s="497">
        <v>500</v>
      </c>
    </row>
    <row r="47" spans="1:4" ht="12" customHeight="1">
      <c r="A47" s="359" t="s">
        <v>133</v>
      </c>
      <c r="B47" s="352"/>
      <c r="C47" s="500">
        <v>50</v>
      </c>
      <c r="D47" s="497">
        <v>50</v>
      </c>
    </row>
    <row r="48" spans="1:4" ht="12" customHeight="1">
      <c r="A48" s="359" t="s">
        <v>134</v>
      </c>
      <c r="B48" s="352"/>
      <c r="C48" s="500">
        <v>250</v>
      </c>
      <c r="D48" s="497">
        <v>250</v>
      </c>
    </row>
    <row r="49" spans="1:4" ht="12" customHeight="1">
      <c r="A49" s="359" t="s">
        <v>135</v>
      </c>
      <c r="B49" s="352"/>
      <c r="C49" s="500">
        <v>200</v>
      </c>
      <c r="D49" s="497">
        <v>200</v>
      </c>
    </row>
    <row r="50" spans="1:4" ht="12" customHeight="1">
      <c r="A50" s="359" t="s">
        <v>136</v>
      </c>
      <c r="B50" s="352"/>
      <c r="C50" s="500">
        <v>50</v>
      </c>
      <c r="D50" s="497">
        <v>50</v>
      </c>
    </row>
    <row r="51" spans="1:4" ht="12" customHeight="1">
      <c r="A51" s="359" t="s">
        <v>137</v>
      </c>
      <c r="B51" s="352"/>
      <c r="C51" s="500">
        <v>1200</v>
      </c>
      <c r="D51" s="497">
        <v>1200</v>
      </c>
    </row>
    <row r="52" spans="1:4" ht="12" customHeight="1">
      <c r="A52" s="359" t="s">
        <v>138</v>
      </c>
      <c r="B52" s="352"/>
      <c r="C52" s="500">
        <v>100</v>
      </c>
      <c r="D52" s="497">
        <v>100</v>
      </c>
    </row>
    <row r="53" spans="1:4" ht="12" customHeight="1">
      <c r="A53" s="359" t="s">
        <v>139</v>
      </c>
      <c r="B53" s="352"/>
      <c r="C53" s="500">
        <v>250</v>
      </c>
      <c r="D53" s="497">
        <v>250</v>
      </c>
    </row>
    <row r="54" spans="1:4" ht="12" customHeight="1">
      <c r="A54" s="359" t="s">
        <v>140</v>
      </c>
      <c r="B54" s="352"/>
      <c r="C54" s="500">
        <v>100</v>
      </c>
      <c r="D54" s="497">
        <v>100</v>
      </c>
    </row>
    <row r="55" spans="1:4" ht="12" customHeight="1">
      <c r="A55" s="359" t="s">
        <v>141</v>
      </c>
      <c r="B55" s="352"/>
      <c r="C55" s="500">
        <v>-450</v>
      </c>
      <c r="D55" s="497">
        <v>-450</v>
      </c>
    </row>
    <row r="56" spans="1:4" ht="12" customHeight="1">
      <c r="A56" s="359" t="s">
        <v>128</v>
      </c>
      <c r="B56" s="352"/>
      <c r="C56" s="500">
        <v>37</v>
      </c>
      <c r="D56" s="497">
        <v>37</v>
      </c>
    </row>
    <row r="57" spans="1:4" ht="12" customHeight="1">
      <c r="A57" s="359" t="s">
        <v>127</v>
      </c>
      <c r="B57" s="352"/>
      <c r="C57" s="500">
        <v>200</v>
      </c>
      <c r="D57" s="497">
        <v>200</v>
      </c>
    </row>
    <row r="58" spans="1:4" ht="12" customHeight="1">
      <c r="A58" s="359" t="s">
        <v>126</v>
      </c>
      <c r="B58" s="352"/>
      <c r="C58" s="500">
        <v>2500</v>
      </c>
      <c r="D58" s="497">
        <v>2500</v>
      </c>
    </row>
    <row r="59" spans="1:4" ht="12" customHeight="1">
      <c r="A59" s="359" t="s">
        <v>125</v>
      </c>
      <c r="B59" s="352"/>
      <c r="C59" s="500">
        <v>1000</v>
      </c>
      <c r="D59" s="497">
        <v>1000</v>
      </c>
    </row>
    <row r="60" spans="1:4" ht="12" customHeight="1">
      <c r="A60" s="359" t="s">
        <v>124</v>
      </c>
      <c r="B60" s="352"/>
      <c r="C60" s="500">
        <v>24000</v>
      </c>
      <c r="D60" s="497">
        <v>24000</v>
      </c>
    </row>
    <row r="61" spans="1:4" ht="12" customHeight="1">
      <c r="A61" s="359" t="s">
        <v>123</v>
      </c>
      <c r="B61" s="352"/>
      <c r="C61" s="500">
        <v>250</v>
      </c>
      <c r="D61" s="497">
        <v>250</v>
      </c>
    </row>
    <row r="62" spans="1:4" ht="12" customHeight="1">
      <c r="A62" s="359" t="s">
        <v>35</v>
      </c>
      <c r="B62" s="352"/>
      <c r="C62" s="500">
        <v>260</v>
      </c>
      <c r="D62" s="497">
        <v>260</v>
      </c>
    </row>
    <row r="63" spans="1:4" ht="12" customHeight="1">
      <c r="A63" s="359" t="s">
        <v>36</v>
      </c>
      <c r="B63" s="352"/>
      <c r="C63" s="500">
        <v>1000</v>
      </c>
      <c r="D63" s="497">
        <v>1000</v>
      </c>
    </row>
    <row r="64" spans="1:4" ht="12" customHeight="1">
      <c r="A64" s="359" t="s">
        <v>37</v>
      </c>
      <c r="B64" s="352"/>
      <c r="C64" s="500">
        <v>2100</v>
      </c>
      <c r="D64" s="497">
        <v>2100</v>
      </c>
    </row>
    <row r="65" spans="1:4" ht="12" customHeight="1">
      <c r="A65" s="359" t="s">
        <v>38</v>
      </c>
      <c r="B65" s="352"/>
      <c r="C65" s="500">
        <v>5000</v>
      </c>
      <c r="D65" s="497">
        <v>5000</v>
      </c>
    </row>
    <row r="66" spans="1:4" ht="12" customHeight="1">
      <c r="A66" s="359" t="s">
        <v>39</v>
      </c>
      <c r="B66" s="352"/>
      <c r="C66" s="500">
        <v>1500</v>
      </c>
      <c r="D66" s="497">
        <v>1500</v>
      </c>
    </row>
    <row r="67" spans="1:4" ht="12" customHeight="1">
      <c r="A67" s="359" t="s">
        <v>40</v>
      </c>
      <c r="B67" s="352"/>
      <c r="C67" s="500">
        <v>1200</v>
      </c>
      <c r="D67" s="497">
        <v>1200</v>
      </c>
    </row>
    <row r="68" spans="1:4" ht="12" customHeight="1">
      <c r="A68" s="359" t="s">
        <v>41</v>
      </c>
      <c r="B68" s="352"/>
      <c r="C68" s="500">
        <v>3000</v>
      </c>
      <c r="D68" s="497">
        <v>3000</v>
      </c>
    </row>
    <row r="69" spans="1:4" ht="12" customHeight="1">
      <c r="A69" s="359" t="s">
        <v>42</v>
      </c>
      <c r="B69" s="352"/>
      <c r="C69" s="500">
        <v>1000</v>
      </c>
      <c r="D69" s="497">
        <v>1000</v>
      </c>
    </row>
    <row r="70" spans="1:4" ht="12" customHeight="1">
      <c r="A70" s="359" t="s">
        <v>43</v>
      </c>
      <c r="B70" s="352"/>
      <c r="C70" s="500">
        <v>500</v>
      </c>
      <c r="D70" s="497">
        <v>500</v>
      </c>
    </row>
    <row r="71" spans="1:4" ht="12" customHeight="1">
      <c r="A71" s="359" t="s">
        <v>44</v>
      </c>
      <c r="B71" s="352"/>
      <c r="C71" s="500">
        <v>500</v>
      </c>
      <c r="D71" s="497">
        <v>500</v>
      </c>
    </row>
    <row r="72" spans="1:4" ht="12" customHeight="1">
      <c r="A72" s="359" t="s">
        <v>398</v>
      </c>
      <c r="B72" s="352"/>
      <c r="C72" s="500">
        <v>193</v>
      </c>
      <c r="D72" s="497">
        <v>193</v>
      </c>
    </row>
    <row r="73" spans="1:4" ht="12" customHeight="1">
      <c r="A73" s="359" t="s">
        <v>692</v>
      </c>
      <c r="B73" s="352"/>
      <c r="C73" s="500"/>
      <c r="D73" s="497">
        <v>5750</v>
      </c>
    </row>
    <row r="74" spans="1:4" ht="12" customHeight="1">
      <c r="A74" s="250" t="s">
        <v>547</v>
      </c>
      <c r="B74" s="353">
        <f>SUM(B6:B73)</f>
        <v>250981</v>
      </c>
      <c r="C74" s="353">
        <f>SUM(C6:C73)</f>
        <v>315446</v>
      </c>
      <c r="D74" s="582">
        <f>SUM(D6:D73)</f>
        <v>320946</v>
      </c>
    </row>
    <row r="75" spans="1:4" ht="12" customHeight="1" thickBot="1">
      <c r="A75" s="427"/>
      <c r="B75" s="428"/>
      <c r="C75" s="501"/>
      <c r="D75" s="498"/>
    </row>
    <row r="76" spans="1:4" ht="12" customHeight="1" thickTop="1">
      <c r="A76" s="146"/>
      <c r="B76" s="297" t="s">
        <v>491</v>
      </c>
      <c r="C76" s="490" t="s">
        <v>496</v>
      </c>
      <c r="D76" s="487" t="s">
        <v>85</v>
      </c>
    </row>
    <row r="77" spans="1:4" ht="12" customHeight="1">
      <c r="A77" s="42" t="s">
        <v>368</v>
      </c>
      <c r="B77" s="354"/>
      <c r="C77" s="500"/>
      <c r="D77" s="497"/>
    </row>
    <row r="78" spans="1:4" ht="12" customHeight="1">
      <c r="A78" s="147" t="s">
        <v>707</v>
      </c>
      <c r="B78" s="131">
        <v>8265</v>
      </c>
      <c r="C78" s="500">
        <v>13860</v>
      </c>
      <c r="D78" s="497">
        <v>13860</v>
      </c>
    </row>
    <row r="79" spans="1:4" ht="12" customHeight="1">
      <c r="A79" s="147" t="s">
        <v>708</v>
      </c>
      <c r="B79" s="131">
        <v>29264</v>
      </c>
      <c r="C79" s="500">
        <v>29264</v>
      </c>
      <c r="D79" s="497">
        <v>29264</v>
      </c>
    </row>
    <row r="80" spans="1:4" ht="12" customHeight="1">
      <c r="A80" s="147" t="s">
        <v>709</v>
      </c>
      <c r="B80" s="131">
        <v>178545</v>
      </c>
      <c r="C80" s="500">
        <v>161545</v>
      </c>
      <c r="D80" s="497">
        <v>161545</v>
      </c>
    </row>
    <row r="81" spans="1:4" ht="12" customHeight="1">
      <c r="A81" s="147" t="s">
        <v>711</v>
      </c>
      <c r="B81" s="131">
        <v>45000</v>
      </c>
      <c r="C81" s="500">
        <v>45000</v>
      </c>
      <c r="D81" s="497">
        <v>45000</v>
      </c>
    </row>
    <row r="82" spans="1:4" ht="12" customHeight="1">
      <c r="A82" s="147" t="s">
        <v>712</v>
      </c>
      <c r="B82" s="131">
        <v>2500</v>
      </c>
      <c r="C82" s="500">
        <v>2500</v>
      </c>
      <c r="D82" s="497">
        <v>2500</v>
      </c>
    </row>
    <row r="83" spans="1:4" ht="12" customHeight="1">
      <c r="A83" s="147" t="s">
        <v>715</v>
      </c>
      <c r="B83" s="131">
        <v>1000</v>
      </c>
      <c r="C83" s="500">
        <v>1000</v>
      </c>
      <c r="D83" s="497">
        <v>1000</v>
      </c>
    </row>
    <row r="84" spans="1:4" ht="12" customHeight="1">
      <c r="A84" s="147" t="s">
        <v>720</v>
      </c>
      <c r="B84" s="131">
        <v>1352</v>
      </c>
      <c r="C84" s="500">
        <v>1352</v>
      </c>
      <c r="D84" s="497"/>
    </row>
    <row r="85" spans="1:4" ht="12" customHeight="1">
      <c r="A85" s="147" t="s">
        <v>721</v>
      </c>
      <c r="B85" s="131">
        <v>684</v>
      </c>
      <c r="C85" s="500">
        <v>684</v>
      </c>
      <c r="D85" s="497"/>
    </row>
    <row r="86" spans="1:4" ht="12" customHeight="1">
      <c r="A86" s="147" t="s">
        <v>722</v>
      </c>
      <c r="B86" s="131">
        <v>6267</v>
      </c>
      <c r="C86" s="500">
        <v>6267</v>
      </c>
      <c r="D86" s="497">
        <v>6267</v>
      </c>
    </row>
    <row r="87" spans="1:4" ht="12" customHeight="1">
      <c r="A87" s="147" t="s">
        <v>819</v>
      </c>
      <c r="B87" s="131">
        <v>55000</v>
      </c>
      <c r="C87" s="500">
        <v>55000</v>
      </c>
      <c r="D87" s="497">
        <v>55000</v>
      </c>
    </row>
    <row r="88" spans="1:4" ht="12" customHeight="1">
      <c r="A88" s="147" t="s">
        <v>20</v>
      </c>
      <c r="B88" s="131">
        <v>45000</v>
      </c>
      <c r="C88" s="500">
        <v>45000</v>
      </c>
      <c r="D88" s="497">
        <v>45000</v>
      </c>
    </row>
    <row r="89" spans="1:4" ht="12" customHeight="1">
      <c r="A89" s="147" t="s">
        <v>45</v>
      </c>
      <c r="B89" s="131"/>
      <c r="C89" s="500">
        <v>319</v>
      </c>
      <c r="D89" s="497">
        <v>474</v>
      </c>
    </row>
    <row r="90" spans="1:4" ht="12" customHeight="1">
      <c r="A90" s="147" t="s">
        <v>46</v>
      </c>
      <c r="B90" s="131"/>
      <c r="C90" s="500">
        <v>30</v>
      </c>
      <c r="D90" s="497">
        <v>30</v>
      </c>
    </row>
    <row r="91" spans="1:4" ht="12" customHeight="1">
      <c r="A91" s="147" t="s">
        <v>119</v>
      </c>
      <c r="B91" s="131"/>
      <c r="C91" s="500">
        <v>35000</v>
      </c>
      <c r="D91" s="497">
        <v>35000</v>
      </c>
    </row>
    <row r="92" spans="1:4" ht="12" customHeight="1">
      <c r="A92" s="147" t="s">
        <v>120</v>
      </c>
      <c r="B92" s="131"/>
      <c r="C92" s="500">
        <v>5000</v>
      </c>
      <c r="D92" s="497">
        <v>5000</v>
      </c>
    </row>
    <row r="93" spans="1:4" ht="12" customHeight="1">
      <c r="A93" s="147" t="s">
        <v>121</v>
      </c>
      <c r="B93" s="131"/>
      <c r="C93" s="500">
        <v>9100</v>
      </c>
      <c r="D93" s="497">
        <v>9100</v>
      </c>
    </row>
    <row r="94" spans="1:4" ht="12" customHeight="1">
      <c r="A94" s="147" t="s">
        <v>122</v>
      </c>
      <c r="B94" s="131"/>
      <c r="C94" s="500">
        <v>5000</v>
      </c>
      <c r="D94" s="497">
        <v>5000</v>
      </c>
    </row>
    <row r="95" spans="1:4" ht="12" customHeight="1">
      <c r="A95" s="148" t="s">
        <v>547</v>
      </c>
      <c r="B95" s="353">
        <f>SUM(B78:B88)</f>
        <v>372877</v>
      </c>
      <c r="C95" s="135">
        <f>SUM(C78:C94)</f>
        <v>415921</v>
      </c>
      <c r="D95" s="481">
        <f>SUM(D78:D94)</f>
        <v>414040</v>
      </c>
    </row>
    <row r="96" spans="1:4" ht="12" customHeight="1">
      <c r="A96" s="148"/>
      <c r="B96" s="131"/>
      <c r="C96" s="500"/>
      <c r="D96" s="497"/>
    </row>
    <row r="97" spans="1:4" ht="12.75" customHeight="1" thickBot="1">
      <c r="A97" s="149" t="s">
        <v>503</v>
      </c>
      <c r="B97" s="310">
        <f>B74+B95</f>
        <v>623858</v>
      </c>
      <c r="C97" s="138">
        <f>SUM(C74+C95)</f>
        <v>731367</v>
      </c>
      <c r="D97" s="499">
        <f>SUM(D74+D95)</f>
        <v>734986</v>
      </c>
    </row>
    <row r="98" spans="1:2" ht="13.5" thickTop="1">
      <c r="A98" s="4"/>
      <c r="B98" s="4"/>
    </row>
  </sheetData>
  <mergeCells count="1">
    <mergeCell ref="A3:D3"/>
  </mergeCells>
  <printOptions horizontalCentered="1"/>
  <pageMargins left="0.24" right="0.2362204724409449" top="0.38" bottom="0.27" header="0.2362204724409449" footer="0.34"/>
  <pageSetup horizontalDpi="600" verticalDpi="600" orientation="portrait" paperSize="9" scale="85" r:id="rId1"/>
  <rowBreaks count="1" manualBreakCount="1">
    <brk id="7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28">
      <selection activeCell="D58" sqref="D58"/>
    </sheetView>
  </sheetViews>
  <sheetFormatPr defaultColWidth="9.00390625" defaultRowHeight="12.75"/>
  <cols>
    <col min="1" max="1" width="66.375" style="0" customWidth="1"/>
    <col min="2" max="3" width="10.75390625" style="0" customWidth="1"/>
    <col min="4" max="4" width="11.375" style="0" customWidth="1"/>
  </cols>
  <sheetData>
    <row r="1" spans="1:2" ht="12.75">
      <c r="A1" s="24" t="s">
        <v>644</v>
      </c>
      <c r="B1" s="4"/>
    </row>
    <row r="2" spans="1:2" ht="12.75">
      <c r="A2" s="121"/>
      <c r="B2" s="4"/>
    </row>
    <row r="3" spans="1:2" ht="12.75">
      <c r="A3" s="121"/>
      <c r="B3" s="4"/>
    </row>
    <row r="4" spans="1:4" ht="12.75">
      <c r="A4" s="734" t="s">
        <v>607</v>
      </c>
      <c r="B4" s="646"/>
      <c r="C4" s="646"/>
      <c r="D4" s="646"/>
    </row>
    <row r="5" spans="1:4" ht="12.75">
      <c r="A5" s="734" t="s">
        <v>370</v>
      </c>
      <c r="B5" s="646"/>
      <c r="C5" s="646"/>
      <c r="D5" s="646"/>
    </row>
    <row r="6" spans="1:4" ht="12.75">
      <c r="A6" s="735" t="s">
        <v>704</v>
      </c>
      <c r="B6" s="646"/>
      <c r="C6" s="646"/>
      <c r="D6" s="646"/>
    </row>
    <row r="7" spans="1:2" ht="12.75">
      <c r="A7" s="150"/>
      <c r="B7" s="120"/>
    </row>
    <row r="8" spans="1:2" ht="13.5" thickBot="1">
      <c r="A8" s="150"/>
      <c r="B8" s="4"/>
    </row>
    <row r="9" spans="1:4" ht="12.75" customHeight="1" thickTop="1">
      <c r="A9" s="151"/>
      <c r="B9" s="356" t="s">
        <v>491</v>
      </c>
      <c r="C9" s="505" t="s">
        <v>496</v>
      </c>
      <c r="D9" s="502" t="s">
        <v>85</v>
      </c>
    </row>
    <row r="10" spans="1:4" ht="12.75" customHeight="1">
      <c r="A10" s="25" t="s">
        <v>608</v>
      </c>
      <c r="B10" s="305"/>
      <c r="C10" s="506"/>
      <c r="D10" s="503"/>
    </row>
    <row r="11" spans="1:4" ht="12.75" customHeight="1">
      <c r="A11" s="10" t="s">
        <v>686</v>
      </c>
      <c r="B11" s="131">
        <v>17100</v>
      </c>
      <c r="C11" s="500">
        <v>17100</v>
      </c>
      <c r="D11" s="497">
        <v>17100</v>
      </c>
    </row>
    <row r="12" spans="1:4" ht="12.75" customHeight="1">
      <c r="A12" s="10" t="s">
        <v>687</v>
      </c>
      <c r="B12" s="131">
        <v>8000</v>
      </c>
      <c r="C12" s="500">
        <v>8000</v>
      </c>
      <c r="D12" s="497">
        <v>8000</v>
      </c>
    </row>
    <row r="13" spans="1:4" ht="12.75" customHeight="1">
      <c r="A13" s="10" t="s">
        <v>688</v>
      </c>
      <c r="B13" s="131">
        <v>1500</v>
      </c>
      <c r="C13" s="500">
        <v>1500</v>
      </c>
      <c r="D13" s="497">
        <v>1500</v>
      </c>
    </row>
    <row r="14" spans="1:4" ht="12.75" customHeight="1">
      <c r="A14" s="10" t="s">
        <v>689</v>
      </c>
      <c r="B14" s="131">
        <v>56000</v>
      </c>
      <c r="C14" s="500">
        <v>48052</v>
      </c>
      <c r="D14" s="497">
        <v>48052</v>
      </c>
    </row>
    <row r="15" spans="1:4" ht="12.75" customHeight="1">
      <c r="A15" s="10" t="s">
        <v>818</v>
      </c>
      <c r="B15" s="131">
        <v>30366</v>
      </c>
      <c r="C15" s="500">
        <v>30366</v>
      </c>
      <c r="D15" s="497">
        <v>30366</v>
      </c>
    </row>
    <row r="16" spans="1:4" ht="12.75" customHeight="1">
      <c r="A16" s="10" t="s">
        <v>768</v>
      </c>
      <c r="B16" s="131">
        <v>1900</v>
      </c>
      <c r="C16" s="500">
        <v>2950</v>
      </c>
      <c r="D16" s="497">
        <v>2950</v>
      </c>
    </row>
    <row r="17" spans="1:4" ht="12.75" customHeight="1">
      <c r="A17" s="10" t="s">
        <v>769</v>
      </c>
      <c r="B17" s="131">
        <v>17002</v>
      </c>
      <c r="C17" s="500">
        <v>17002</v>
      </c>
      <c r="D17" s="497">
        <v>17002</v>
      </c>
    </row>
    <row r="18" spans="1:4" ht="12.75" customHeight="1">
      <c r="A18" s="10" t="s">
        <v>770</v>
      </c>
      <c r="B18" s="131">
        <v>8000</v>
      </c>
      <c r="C18" s="500">
        <v>8000</v>
      </c>
      <c r="D18" s="497">
        <v>8000</v>
      </c>
    </row>
    <row r="19" spans="1:4" ht="12.75" customHeight="1">
      <c r="A19" s="153" t="s">
        <v>86</v>
      </c>
      <c r="B19" s="131"/>
      <c r="C19" s="500">
        <v>4884</v>
      </c>
      <c r="D19" s="497">
        <v>4884</v>
      </c>
    </row>
    <row r="20" spans="1:4" ht="12.75" customHeight="1">
      <c r="A20" s="153" t="s">
        <v>84</v>
      </c>
      <c r="B20" s="131"/>
      <c r="C20" s="500">
        <v>1250</v>
      </c>
      <c r="D20" s="497">
        <v>1250</v>
      </c>
    </row>
    <row r="21" spans="1:4" ht="12.75" customHeight="1">
      <c r="A21" s="153" t="s">
        <v>115</v>
      </c>
      <c r="B21" s="131"/>
      <c r="C21" s="500">
        <v>4507</v>
      </c>
      <c r="D21" s="497">
        <v>4507</v>
      </c>
    </row>
    <row r="22" spans="1:4" ht="12.75" customHeight="1">
      <c r="A22" s="153" t="s">
        <v>789</v>
      </c>
      <c r="B22" s="131"/>
      <c r="C22" s="500">
        <v>1041</v>
      </c>
      <c r="D22" s="497">
        <v>1041</v>
      </c>
    </row>
    <row r="23" spans="1:4" ht="12.75" customHeight="1">
      <c r="A23" s="153" t="s">
        <v>116</v>
      </c>
      <c r="B23" s="131"/>
      <c r="C23" s="500">
        <v>2484</v>
      </c>
      <c r="D23" s="497">
        <v>2484</v>
      </c>
    </row>
    <row r="24" spans="1:4" ht="12.75" customHeight="1">
      <c r="A24" s="153" t="s">
        <v>117</v>
      </c>
      <c r="B24" s="131"/>
      <c r="C24" s="500">
        <v>1000</v>
      </c>
      <c r="D24" s="497">
        <v>1000</v>
      </c>
    </row>
    <row r="25" spans="1:4" ht="12.75" customHeight="1">
      <c r="A25" s="153" t="s">
        <v>118</v>
      </c>
      <c r="B25" s="131"/>
      <c r="C25" s="500">
        <v>350</v>
      </c>
      <c r="D25" s="497">
        <v>350</v>
      </c>
    </row>
    <row r="26" spans="1:4" ht="12.75" customHeight="1">
      <c r="A26" s="153" t="s">
        <v>399</v>
      </c>
      <c r="B26" s="131"/>
      <c r="C26" s="500">
        <v>1200</v>
      </c>
      <c r="D26" s="497">
        <v>1200</v>
      </c>
    </row>
    <row r="27" spans="1:4" ht="12.75" customHeight="1">
      <c r="A27" s="153" t="s">
        <v>693</v>
      </c>
      <c r="B27" s="131"/>
      <c r="C27" s="500"/>
      <c r="D27" s="497">
        <v>14658</v>
      </c>
    </row>
    <row r="28" spans="1:4" ht="12.75" customHeight="1">
      <c r="A28" s="152" t="s">
        <v>547</v>
      </c>
      <c r="B28" s="355">
        <f>SUM(B11:B27)</f>
        <v>139868</v>
      </c>
      <c r="C28" s="355">
        <f>SUM(C11:C27)</f>
        <v>149686</v>
      </c>
      <c r="D28" s="583">
        <f>SUM(D11:D27)</f>
        <v>164344</v>
      </c>
    </row>
    <row r="29" spans="1:4" ht="12.75" customHeight="1">
      <c r="A29" s="10"/>
      <c r="B29" s="131"/>
      <c r="C29" s="500"/>
      <c r="D29" s="497"/>
    </row>
    <row r="30" spans="1:4" ht="12.75" customHeight="1">
      <c r="A30" s="25" t="s">
        <v>609</v>
      </c>
      <c r="B30" s="300"/>
      <c r="C30" s="500"/>
      <c r="D30" s="497"/>
    </row>
    <row r="31" spans="1:4" ht="12.75" customHeight="1">
      <c r="A31" s="153" t="s">
        <v>694</v>
      </c>
      <c r="B31" s="131">
        <v>142597</v>
      </c>
      <c r="C31" s="500">
        <v>92688</v>
      </c>
      <c r="D31" s="497">
        <v>92688</v>
      </c>
    </row>
    <row r="32" spans="1:4" ht="12.75" customHeight="1">
      <c r="A32" s="153" t="s">
        <v>596</v>
      </c>
      <c r="B32" s="131">
        <v>238476</v>
      </c>
      <c r="C32" s="500">
        <v>155009</v>
      </c>
      <c r="D32" s="497">
        <v>155009</v>
      </c>
    </row>
    <row r="33" spans="1:4" ht="12.75" customHeight="1">
      <c r="A33" s="153" t="s">
        <v>695</v>
      </c>
      <c r="B33" s="131">
        <v>534622</v>
      </c>
      <c r="C33" s="500">
        <v>367236</v>
      </c>
      <c r="D33" s="497">
        <v>367236</v>
      </c>
    </row>
    <row r="34" spans="1:4" ht="12.75" customHeight="1">
      <c r="A34" s="153" t="s">
        <v>698</v>
      </c>
      <c r="B34" s="131">
        <v>53582</v>
      </c>
      <c r="C34" s="500">
        <v>53582</v>
      </c>
      <c r="D34" s="497">
        <v>53582</v>
      </c>
    </row>
    <row r="35" spans="1:4" ht="12.75" customHeight="1">
      <c r="A35" s="153" t="s">
        <v>696</v>
      </c>
      <c r="B35" s="131">
        <v>179030</v>
      </c>
      <c r="C35" s="500">
        <v>179030</v>
      </c>
      <c r="D35" s="497">
        <v>179030</v>
      </c>
    </row>
    <row r="36" spans="1:4" ht="12.75" customHeight="1">
      <c r="A36" s="153" t="s">
        <v>697</v>
      </c>
      <c r="B36" s="131">
        <v>99994</v>
      </c>
      <c r="C36" s="500">
        <v>99994</v>
      </c>
      <c r="D36" s="497">
        <v>99994</v>
      </c>
    </row>
    <row r="37" spans="1:4" ht="12.75" customHeight="1">
      <c r="A37" s="153" t="s">
        <v>699</v>
      </c>
      <c r="B37" s="131">
        <v>700000</v>
      </c>
      <c r="C37" s="500">
        <v>700000</v>
      </c>
      <c r="D37" s="497">
        <v>700000</v>
      </c>
    </row>
    <row r="38" spans="1:4" ht="12.75" customHeight="1">
      <c r="A38" s="153" t="s">
        <v>700</v>
      </c>
      <c r="B38" s="131">
        <v>315000</v>
      </c>
      <c r="C38" s="500"/>
      <c r="D38" s="497"/>
    </row>
    <row r="39" spans="1:4" ht="12.75" customHeight="1">
      <c r="A39" s="153" t="s">
        <v>701</v>
      </c>
      <c r="B39" s="131">
        <v>44059</v>
      </c>
      <c r="C39" s="500">
        <v>44059</v>
      </c>
      <c r="D39" s="497">
        <v>44059</v>
      </c>
    </row>
    <row r="40" spans="1:4" ht="12.75" customHeight="1">
      <c r="A40" s="153" t="s">
        <v>702</v>
      </c>
      <c r="B40" s="131">
        <v>19997</v>
      </c>
      <c r="C40" s="500">
        <v>14658</v>
      </c>
      <c r="D40" s="497"/>
    </row>
    <row r="41" spans="1:4" ht="12.75" customHeight="1">
      <c r="A41" s="153" t="s">
        <v>703</v>
      </c>
      <c r="B41" s="131">
        <v>30000</v>
      </c>
      <c r="C41" s="500">
        <v>30000</v>
      </c>
      <c r="D41" s="497"/>
    </row>
    <row r="42" spans="1:4" ht="12.75" customHeight="1">
      <c r="A42" s="153" t="s">
        <v>811</v>
      </c>
      <c r="B42" s="131">
        <v>134994</v>
      </c>
      <c r="C42" s="500">
        <v>134994</v>
      </c>
      <c r="D42" s="497">
        <v>134994</v>
      </c>
    </row>
    <row r="43" spans="1:4" ht="12.75" customHeight="1">
      <c r="A43" s="153" t="s">
        <v>771</v>
      </c>
      <c r="B43" s="131">
        <v>493</v>
      </c>
      <c r="C43" s="500">
        <v>493</v>
      </c>
      <c r="D43" s="497">
        <v>493</v>
      </c>
    </row>
    <row r="44" spans="1:4" ht="12.75" customHeight="1">
      <c r="A44" s="152" t="s">
        <v>547</v>
      </c>
      <c r="B44" s="355">
        <f>SUM(B31:B43)</f>
        <v>2492844</v>
      </c>
      <c r="C44" s="507">
        <f>SUM(C31:C43)</f>
        <v>1871743</v>
      </c>
      <c r="D44" s="504">
        <f>SUM(D31:D43)</f>
        <v>1827085</v>
      </c>
    </row>
    <row r="45" spans="1:4" ht="12.75" customHeight="1">
      <c r="A45" s="152"/>
      <c r="B45" s="131"/>
      <c r="C45" s="500"/>
      <c r="D45" s="497"/>
    </row>
    <row r="46" spans="1:4" ht="12.75" customHeight="1">
      <c r="A46" s="25" t="s">
        <v>610</v>
      </c>
      <c r="B46" s="131"/>
      <c r="C46" s="500"/>
      <c r="D46" s="497"/>
    </row>
    <row r="47" spans="1:4" ht="12.75" customHeight="1">
      <c r="A47" s="154" t="s">
        <v>685</v>
      </c>
      <c r="B47" s="131">
        <v>6700</v>
      </c>
      <c r="C47" s="500">
        <v>6700</v>
      </c>
      <c r="D47" s="497">
        <v>6700</v>
      </c>
    </row>
    <row r="48" spans="1:4" ht="12.75" customHeight="1">
      <c r="A48" s="152" t="s">
        <v>547</v>
      </c>
      <c r="B48" s="355">
        <f>SUM(B47:B47)</f>
        <v>6700</v>
      </c>
      <c r="C48" s="507">
        <f>SUM(C47)</f>
        <v>6700</v>
      </c>
      <c r="D48" s="504">
        <f>SUM(D47)</f>
        <v>6700</v>
      </c>
    </row>
    <row r="49" spans="1:4" ht="12.75" customHeight="1">
      <c r="A49" s="10"/>
      <c r="B49" s="131"/>
      <c r="C49" s="500"/>
      <c r="D49" s="497"/>
    </row>
    <row r="50" spans="1:4" ht="12.75" customHeight="1">
      <c r="A50" s="25" t="s">
        <v>359</v>
      </c>
      <c r="B50" s="131"/>
      <c r="C50" s="500"/>
      <c r="D50" s="497"/>
    </row>
    <row r="51" spans="1:4" ht="12.75" customHeight="1">
      <c r="A51" s="10" t="s">
        <v>684</v>
      </c>
      <c r="B51" s="131">
        <v>2700</v>
      </c>
      <c r="C51" s="500">
        <v>2700</v>
      </c>
      <c r="D51" s="497">
        <v>2700</v>
      </c>
    </row>
    <row r="52" spans="1:4" ht="12.75" customHeight="1">
      <c r="A52" s="10" t="s">
        <v>83</v>
      </c>
      <c r="B52" s="131"/>
      <c r="C52" s="500">
        <v>9350</v>
      </c>
      <c r="D52" s="497">
        <v>9350</v>
      </c>
    </row>
    <row r="53" spans="1:4" ht="12.75" customHeight="1">
      <c r="A53" s="152" t="s">
        <v>547</v>
      </c>
      <c r="B53" s="355">
        <f>SUM(B51:B52)</f>
        <v>2700</v>
      </c>
      <c r="C53" s="507">
        <f>SUM(C51:C52)</f>
        <v>12050</v>
      </c>
      <c r="D53" s="584">
        <f>SUM(D51:D52)</f>
        <v>12050</v>
      </c>
    </row>
    <row r="54" spans="1:4" ht="12.75" customHeight="1">
      <c r="A54" s="10"/>
      <c r="B54" s="131"/>
      <c r="C54" s="500"/>
      <c r="D54" s="497"/>
    </row>
    <row r="55" spans="1:4" ht="12.75" customHeight="1" thickBot="1">
      <c r="A55" s="26" t="s">
        <v>503</v>
      </c>
      <c r="B55" s="310">
        <f>SUM(B28+B44+B48+B53)</f>
        <v>2642112</v>
      </c>
      <c r="C55" s="138">
        <f>SUM(C28+C44+C48+C53)</f>
        <v>2040179</v>
      </c>
      <c r="D55" s="499">
        <f>SUM(D28+D44+D48+D53)</f>
        <v>2010179</v>
      </c>
    </row>
    <row r="56" spans="1:2" ht="13.5" thickTop="1">
      <c r="A56" s="4"/>
      <c r="B56" s="4"/>
    </row>
  </sheetData>
  <mergeCells count="3">
    <mergeCell ref="A4:D4"/>
    <mergeCell ref="A5:D5"/>
    <mergeCell ref="A6:D6"/>
  </mergeCells>
  <printOptions horizontalCentered="1"/>
  <pageMargins left="0.35" right="0.25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24">
      <selection activeCell="A40" sqref="A40"/>
    </sheetView>
  </sheetViews>
  <sheetFormatPr defaultColWidth="9.00390625" defaultRowHeight="12.75"/>
  <cols>
    <col min="1" max="1" width="54.375" style="116" customWidth="1"/>
    <col min="2" max="3" width="14.75390625" style="116" customWidth="1"/>
    <col min="4" max="4" width="13.75390625" style="116" customWidth="1"/>
    <col min="5" max="16384" width="9.125" style="116" customWidth="1"/>
  </cols>
  <sheetData>
    <row r="1" ht="12.75">
      <c r="A1" s="85" t="s">
        <v>645</v>
      </c>
    </row>
    <row r="2" ht="15.75">
      <c r="A2" s="31"/>
    </row>
    <row r="3" ht="15.75">
      <c r="A3" s="31"/>
    </row>
    <row r="4" spans="1:4" ht="15" customHeight="1">
      <c r="A4" s="736" t="s">
        <v>434</v>
      </c>
      <c r="B4" s="737"/>
      <c r="C4" s="646"/>
      <c r="D4" s="646"/>
    </row>
    <row r="5" spans="1:2" ht="15">
      <c r="A5" s="740"/>
      <c r="B5" s="741"/>
    </row>
    <row r="6" spans="1:2" ht="15">
      <c r="A6" s="67"/>
      <c r="B6" s="117"/>
    </row>
    <row r="7" spans="1:2" ht="14.25" customHeight="1" thickBot="1">
      <c r="A7" s="86"/>
      <c r="B7" s="117"/>
    </row>
    <row r="8" spans="1:4" ht="22.5" customHeight="1" thickTop="1">
      <c r="A8" s="742" t="s">
        <v>581</v>
      </c>
      <c r="B8" s="744" t="s">
        <v>582</v>
      </c>
      <c r="C8" s="745"/>
      <c r="D8" s="746"/>
    </row>
    <row r="9" spans="1:4" ht="15" customHeight="1">
      <c r="A9" s="743"/>
      <c r="B9" s="411" t="s">
        <v>490</v>
      </c>
      <c r="C9" s="516" t="s">
        <v>495</v>
      </c>
      <c r="D9" s="508" t="s">
        <v>495</v>
      </c>
    </row>
    <row r="10" spans="1:4" ht="15" customHeight="1">
      <c r="A10" s="87" t="s">
        <v>558</v>
      </c>
      <c r="B10" s="381">
        <v>20</v>
      </c>
      <c r="C10" s="517">
        <v>20</v>
      </c>
      <c r="D10" s="509">
        <v>20</v>
      </c>
    </row>
    <row r="11" spans="1:4" ht="15" customHeight="1">
      <c r="A11" s="87" t="s">
        <v>559</v>
      </c>
      <c r="B11" s="381">
        <v>14</v>
      </c>
      <c r="C11" s="517">
        <v>14</v>
      </c>
      <c r="D11" s="509">
        <v>14</v>
      </c>
    </row>
    <row r="12" spans="1:4" ht="15" customHeight="1">
      <c r="A12" s="87" t="s">
        <v>464</v>
      </c>
      <c r="B12" s="381">
        <v>7</v>
      </c>
      <c r="C12" s="517">
        <v>7</v>
      </c>
      <c r="D12" s="509">
        <v>7</v>
      </c>
    </row>
    <row r="13" spans="1:4" ht="15" customHeight="1">
      <c r="A13" s="87" t="s">
        <v>560</v>
      </c>
      <c r="B13" s="381">
        <v>10</v>
      </c>
      <c r="C13" s="517">
        <v>0</v>
      </c>
      <c r="D13" s="509">
        <v>0</v>
      </c>
    </row>
    <row r="14" spans="1:4" ht="15" customHeight="1">
      <c r="A14" s="87" t="s">
        <v>561</v>
      </c>
      <c r="B14" s="381">
        <v>16.25</v>
      </c>
      <c r="C14" s="517">
        <v>16.25</v>
      </c>
      <c r="D14" s="509">
        <v>16.25</v>
      </c>
    </row>
    <row r="15" spans="1:4" ht="15" customHeight="1">
      <c r="A15" s="87" t="s">
        <v>583</v>
      </c>
      <c r="B15" s="381">
        <v>9</v>
      </c>
      <c r="C15" s="517">
        <v>21</v>
      </c>
      <c r="D15" s="509">
        <v>21</v>
      </c>
    </row>
    <row r="16" spans="1:4" ht="15" customHeight="1">
      <c r="A16" s="87" t="s">
        <v>562</v>
      </c>
      <c r="B16" s="381">
        <v>15.5</v>
      </c>
      <c r="C16" s="517">
        <v>15.5</v>
      </c>
      <c r="D16" s="509">
        <v>15.5</v>
      </c>
    </row>
    <row r="17" spans="1:4" ht="15" customHeight="1">
      <c r="A17" s="87" t="s">
        <v>107</v>
      </c>
      <c r="B17" s="381">
        <v>14</v>
      </c>
      <c r="C17" s="517">
        <v>14</v>
      </c>
      <c r="D17" s="509">
        <v>14</v>
      </c>
    </row>
    <row r="18" spans="1:4" ht="15" customHeight="1">
      <c r="A18" s="87" t="s">
        <v>563</v>
      </c>
      <c r="B18" s="381">
        <v>3.5</v>
      </c>
      <c r="C18" s="517">
        <v>3.5</v>
      </c>
      <c r="D18" s="509">
        <v>3.5</v>
      </c>
    </row>
    <row r="19" spans="1:4" ht="15" customHeight="1">
      <c r="A19" s="87" t="s">
        <v>108</v>
      </c>
      <c r="B19" s="381">
        <v>27</v>
      </c>
      <c r="C19" s="517">
        <v>27</v>
      </c>
      <c r="D19" s="509">
        <v>27</v>
      </c>
    </row>
    <row r="20" spans="1:4" ht="15" customHeight="1">
      <c r="A20" s="87" t="s">
        <v>361</v>
      </c>
      <c r="B20" s="381">
        <v>60.5</v>
      </c>
      <c r="C20" s="517">
        <v>60.5</v>
      </c>
      <c r="D20" s="509">
        <v>60.5</v>
      </c>
    </row>
    <row r="21" spans="1:4" ht="15" customHeight="1">
      <c r="A21" s="87" t="s">
        <v>441</v>
      </c>
      <c r="B21" s="381">
        <v>22</v>
      </c>
      <c r="C21" s="517">
        <v>22</v>
      </c>
      <c r="D21" s="509">
        <v>22</v>
      </c>
    </row>
    <row r="22" spans="1:4" ht="15" customHeight="1">
      <c r="A22" s="87" t="s">
        <v>584</v>
      </c>
      <c r="B22" s="381">
        <v>77.5</v>
      </c>
      <c r="C22" s="517">
        <v>77.5</v>
      </c>
      <c r="D22" s="509">
        <v>77.5</v>
      </c>
    </row>
    <row r="23" spans="1:4" ht="15" customHeight="1">
      <c r="A23" s="87" t="s">
        <v>585</v>
      </c>
      <c r="B23" s="381">
        <v>20</v>
      </c>
      <c r="C23" s="517">
        <v>20</v>
      </c>
      <c r="D23" s="509">
        <v>20</v>
      </c>
    </row>
    <row r="24" spans="1:4" ht="15" customHeight="1">
      <c r="A24" s="87" t="s">
        <v>592</v>
      </c>
      <c r="B24" s="381">
        <v>13</v>
      </c>
      <c r="C24" s="517">
        <v>13</v>
      </c>
      <c r="D24" s="509">
        <v>13</v>
      </c>
    </row>
    <row r="25" spans="1:4" ht="15" customHeight="1">
      <c r="A25" s="87" t="s">
        <v>362</v>
      </c>
      <c r="B25" s="381">
        <v>22</v>
      </c>
      <c r="C25" s="517">
        <v>23</v>
      </c>
      <c r="D25" s="509">
        <v>23</v>
      </c>
    </row>
    <row r="26" spans="1:4" ht="15.75" customHeight="1">
      <c r="A26" s="87" t="s">
        <v>586</v>
      </c>
      <c r="B26" s="381">
        <v>9.5</v>
      </c>
      <c r="C26" s="517">
        <v>9.5</v>
      </c>
      <c r="D26" s="509">
        <v>9.5</v>
      </c>
    </row>
    <row r="27" spans="1:4" ht="15" customHeight="1">
      <c r="A27" s="88" t="s">
        <v>591</v>
      </c>
      <c r="B27" s="382">
        <v>52.5</v>
      </c>
      <c r="C27" s="517">
        <v>53.5</v>
      </c>
      <c r="D27" s="509">
        <v>53.5</v>
      </c>
    </row>
    <row r="28" spans="1:4" ht="15" customHeight="1">
      <c r="A28" s="87" t="s">
        <v>366</v>
      </c>
      <c r="B28" s="381">
        <v>10</v>
      </c>
      <c r="C28" s="517">
        <v>10</v>
      </c>
      <c r="D28" s="509">
        <v>10</v>
      </c>
    </row>
    <row r="29" spans="1:4" ht="15" customHeight="1">
      <c r="A29" s="89" t="s">
        <v>587</v>
      </c>
      <c r="B29" s="383">
        <f>SUM(B10:B28)</f>
        <v>423.25</v>
      </c>
      <c r="C29" s="518">
        <f>SUM(C10:C28)</f>
        <v>427.25</v>
      </c>
      <c r="D29" s="587">
        <f>SUM(D10:D28)</f>
        <v>427.25</v>
      </c>
    </row>
    <row r="30" spans="1:4" ht="15" customHeight="1" thickBot="1">
      <c r="A30" s="118" t="s">
        <v>488</v>
      </c>
      <c r="B30" s="384">
        <v>200</v>
      </c>
      <c r="C30" s="588">
        <v>200</v>
      </c>
      <c r="D30" s="589">
        <v>200</v>
      </c>
    </row>
    <row r="31" spans="1:4" ht="15" customHeight="1">
      <c r="A31" s="90" t="s">
        <v>588</v>
      </c>
      <c r="B31" s="385">
        <f>SUM(B29:B30)</f>
        <v>623.25</v>
      </c>
      <c r="C31" s="524">
        <f>SUM(C29:C30)</f>
        <v>627.25</v>
      </c>
      <c r="D31" s="511">
        <f>SUM(D29:D30)</f>
        <v>627.25</v>
      </c>
    </row>
    <row r="32" spans="1:4" ht="15" customHeight="1">
      <c r="A32" s="87"/>
      <c r="B32" s="381"/>
      <c r="C32" s="519"/>
      <c r="D32" s="512"/>
    </row>
    <row r="33" spans="1:4" ht="15" customHeight="1">
      <c r="A33" s="87" t="s">
        <v>214</v>
      </c>
      <c r="B33" s="381"/>
      <c r="C33" s="519"/>
      <c r="D33" s="512"/>
    </row>
    <row r="34" spans="1:4" ht="15" customHeight="1">
      <c r="A34" s="87" t="s">
        <v>213</v>
      </c>
      <c r="B34" s="381">
        <v>96</v>
      </c>
      <c r="C34" s="517">
        <v>96</v>
      </c>
      <c r="D34" s="509">
        <v>96</v>
      </c>
    </row>
    <row r="35" spans="1:4" ht="15" customHeight="1">
      <c r="A35" s="87" t="s">
        <v>589</v>
      </c>
      <c r="B35" s="382">
        <v>3</v>
      </c>
      <c r="C35" s="517">
        <v>3</v>
      </c>
      <c r="D35" s="509">
        <v>3</v>
      </c>
    </row>
    <row r="36" spans="1:4" ht="15" customHeight="1" thickBot="1">
      <c r="A36" s="87" t="s">
        <v>590</v>
      </c>
      <c r="B36" s="386">
        <v>4</v>
      </c>
      <c r="C36" s="521">
        <v>5</v>
      </c>
      <c r="D36" s="510">
        <v>5</v>
      </c>
    </row>
    <row r="37" spans="1:4" s="160" customFormat="1" ht="15" customHeight="1">
      <c r="A37" s="159" t="s">
        <v>547</v>
      </c>
      <c r="B37" s="387">
        <f>SUM(B33:B36)</f>
        <v>103</v>
      </c>
      <c r="C37" s="520">
        <f>SUM(C33:C36)</f>
        <v>104</v>
      </c>
      <c r="D37" s="513">
        <f>SUM(D33:D36)</f>
        <v>104</v>
      </c>
    </row>
    <row r="38" spans="1:4" ht="15" customHeight="1" thickBot="1">
      <c r="A38" s="87"/>
      <c r="B38" s="386"/>
      <c r="C38" s="523"/>
      <c r="D38" s="514"/>
    </row>
    <row r="39" spans="1:4" ht="15" customHeight="1" thickBot="1">
      <c r="A39" s="91" t="s">
        <v>503</v>
      </c>
      <c r="B39" s="388">
        <f>SUM(B31+B37)</f>
        <v>726.25</v>
      </c>
      <c r="C39" s="522">
        <f>SUM(C31+C37)</f>
        <v>731.25</v>
      </c>
      <c r="D39" s="515">
        <f>SUM(D31+D37)</f>
        <v>731.25</v>
      </c>
    </row>
    <row r="40" spans="1:2" ht="19.5" thickTop="1">
      <c r="A40" s="92"/>
      <c r="B40" s="119"/>
    </row>
    <row r="41" spans="1:4" ht="14.25">
      <c r="A41" s="748" t="s">
        <v>195</v>
      </c>
      <c r="B41" s="748"/>
      <c r="C41" s="646"/>
      <c r="D41" s="646"/>
    </row>
    <row r="42" ht="13.5" thickBot="1"/>
    <row r="43" spans="1:4" ht="13.5" thickTop="1">
      <c r="A43" s="738" t="s">
        <v>553</v>
      </c>
      <c r="B43" s="747" t="s">
        <v>198</v>
      </c>
      <c r="C43" s="658"/>
      <c r="D43" s="659"/>
    </row>
    <row r="44" spans="1:4" ht="12.75">
      <c r="A44" s="739"/>
      <c r="B44" s="342" t="s">
        <v>490</v>
      </c>
      <c r="C44" s="412" t="s">
        <v>496</v>
      </c>
      <c r="D44" s="399" t="s">
        <v>85</v>
      </c>
    </row>
    <row r="45" spans="1:4" ht="12.75">
      <c r="A45" s="294" t="s">
        <v>196</v>
      </c>
      <c r="B45" s="389">
        <v>70</v>
      </c>
      <c r="C45" s="389">
        <v>70</v>
      </c>
      <c r="D45" s="462">
        <v>135</v>
      </c>
    </row>
    <row r="46" spans="1:4" ht="13.5" thickBot="1">
      <c r="A46" s="294" t="s">
        <v>197</v>
      </c>
      <c r="B46" s="390">
        <v>15</v>
      </c>
      <c r="C46" s="413">
        <v>15</v>
      </c>
      <c r="D46" s="463">
        <v>7</v>
      </c>
    </row>
    <row r="47" spans="1:4" s="170" customFormat="1" ht="13.5" thickBot="1">
      <c r="A47" s="295" t="s">
        <v>547</v>
      </c>
      <c r="B47" s="391">
        <f>SUM(B45:B46)</f>
        <v>85</v>
      </c>
      <c r="C47" s="414">
        <f>SUM(C45:C46)</f>
        <v>85</v>
      </c>
      <c r="D47" s="464">
        <f>SUM(D45:D46)</f>
        <v>142</v>
      </c>
    </row>
    <row r="48" ht="13.5" thickTop="1"/>
  </sheetData>
  <mergeCells count="7">
    <mergeCell ref="A4:D4"/>
    <mergeCell ref="A43:A44"/>
    <mergeCell ref="A5:B5"/>
    <mergeCell ref="A8:A9"/>
    <mergeCell ref="B8:D8"/>
    <mergeCell ref="B43:D43"/>
    <mergeCell ref="A41:D41"/>
  </mergeCells>
  <printOptions/>
  <pageMargins left="0.35" right="0.38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4"/>
  <sheetViews>
    <sheetView workbookViewId="0" topLeftCell="A100">
      <selection activeCell="E125" sqref="E125"/>
    </sheetView>
  </sheetViews>
  <sheetFormatPr defaultColWidth="9.00390625" defaultRowHeight="12.75"/>
  <cols>
    <col min="1" max="1" width="88.375" style="163" customWidth="1"/>
    <col min="2" max="2" width="9.875" style="163" customWidth="1"/>
    <col min="3" max="3" width="10.125" style="163" customWidth="1"/>
    <col min="4" max="4" width="11.00390625" style="163" customWidth="1"/>
    <col min="5" max="16384" width="9.125" style="163" customWidth="1"/>
  </cols>
  <sheetData>
    <row r="1" ht="14.25">
      <c r="A1" s="255" t="s">
        <v>47</v>
      </c>
    </row>
    <row r="2" ht="12" customHeight="1">
      <c r="A2" s="255"/>
    </row>
    <row r="3" spans="1:3" ht="12.75">
      <c r="A3" s="749" t="s">
        <v>646</v>
      </c>
      <c r="B3" s="749"/>
      <c r="C3" s="749"/>
    </row>
    <row r="4" spans="1:3" ht="12.75">
      <c r="A4" s="749" t="s">
        <v>341</v>
      </c>
      <c r="B4" s="749"/>
      <c r="C4" s="749"/>
    </row>
    <row r="5" ht="13.5" thickBot="1"/>
    <row r="6" spans="1:4" ht="13.5" thickTop="1">
      <c r="A6" s="234" t="s">
        <v>647</v>
      </c>
      <c r="B6" s="457" t="s">
        <v>490</v>
      </c>
      <c r="C6" s="528" t="s">
        <v>496</v>
      </c>
      <c r="D6" s="449" t="s">
        <v>85</v>
      </c>
    </row>
    <row r="7" spans="1:4" ht="12.75">
      <c r="A7" s="235" t="s">
        <v>98</v>
      </c>
      <c r="B7" s="395">
        <v>1700000</v>
      </c>
      <c r="C7" s="529">
        <v>1742567</v>
      </c>
      <c r="D7" s="450">
        <v>1742567</v>
      </c>
    </row>
    <row r="8" spans="1:4" ht="12.75">
      <c r="A8" s="235" t="s">
        <v>99</v>
      </c>
      <c r="B8" s="395"/>
      <c r="C8" s="529">
        <v>100000</v>
      </c>
      <c r="D8" s="450">
        <v>100000</v>
      </c>
    </row>
    <row r="9" spans="1:4" ht="12.75">
      <c r="A9" s="235" t="s">
        <v>100</v>
      </c>
      <c r="B9" s="395"/>
      <c r="C9" s="529">
        <v>9447</v>
      </c>
      <c r="D9" s="450">
        <v>9447</v>
      </c>
    </row>
    <row r="10" spans="1:4" ht="12.75">
      <c r="A10" s="235" t="s">
        <v>478</v>
      </c>
      <c r="B10" s="395">
        <v>129000</v>
      </c>
      <c r="C10" s="529">
        <v>129000</v>
      </c>
      <c r="D10" s="450">
        <v>129000</v>
      </c>
    </row>
    <row r="11" spans="1:4" ht="12.75">
      <c r="A11" s="235" t="s">
        <v>21</v>
      </c>
      <c r="B11" s="395">
        <v>507722</v>
      </c>
      <c r="C11" s="529">
        <v>507722</v>
      </c>
      <c r="D11" s="450">
        <v>507722</v>
      </c>
    </row>
    <row r="12" spans="1:4" ht="13.5">
      <c r="A12" s="236" t="s">
        <v>821</v>
      </c>
      <c r="B12" s="460">
        <f>SUM(B13:B24)</f>
        <v>2472354</v>
      </c>
      <c r="C12" s="530">
        <f>SUM(C13:C25)</f>
        <v>2157375</v>
      </c>
      <c r="D12" s="451">
        <f>SUM(D13:D25)</f>
        <v>2127375</v>
      </c>
    </row>
    <row r="13" spans="1:4" ht="12.75">
      <c r="A13" s="235" t="s">
        <v>822</v>
      </c>
      <c r="B13" s="395">
        <v>142597</v>
      </c>
      <c r="C13" s="529">
        <v>92688</v>
      </c>
      <c r="D13" s="450">
        <v>92688</v>
      </c>
    </row>
    <row r="14" spans="1:4" ht="12.75">
      <c r="A14" s="235" t="s">
        <v>823</v>
      </c>
      <c r="B14" s="395">
        <v>238476</v>
      </c>
      <c r="C14" s="531">
        <v>155009</v>
      </c>
      <c r="D14" s="452">
        <v>155009</v>
      </c>
    </row>
    <row r="15" spans="1:4" ht="12.75">
      <c r="A15" s="235" t="s">
        <v>0</v>
      </c>
      <c r="B15" s="395">
        <v>534622</v>
      </c>
      <c r="C15" s="529">
        <v>367236</v>
      </c>
      <c r="D15" s="450">
        <v>367236</v>
      </c>
    </row>
    <row r="16" spans="1:4" ht="12.75">
      <c r="A16" s="235" t="s">
        <v>1</v>
      </c>
      <c r="B16" s="395">
        <v>53582</v>
      </c>
      <c r="C16" s="529">
        <v>53582</v>
      </c>
      <c r="D16" s="450">
        <v>53582</v>
      </c>
    </row>
    <row r="17" spans="1:4" ht="12.75">
      <c r="A17" s="235" t="s">
        <v>2</v>
      </c>
      <c r="B17" s="395">
        <v>179030</v>
      </c>
      <c r="C17" s="529">
        <v>179030</v>
      </c>
      <c r="D17" s="450">
        <v>179030</v>
      </c>
    </row>
    <row r="18" spans="1:4" ht="12.75">
      <c r="A18" s="235" t="s">
        <v>3</v>
      </c>
      <c r="B18" s="395">
        <v>99994</v>
      </c>
      <c r="C18" s="529">
        <v>99994</v>
      </c>
      <c r="D18" s="450">
        <v>99994</v>
      </c>
    </row>
    <row r="19" spans="1:4" ht="12.75">
      <c r="A19" s="235" t="s">
        <v>4</v>
      </c>
      <c r="B19" s="395">
        <v>700000</v>
      </c>
      <c r="C19" s="529">
        <v>700000</v>
      </c>
      <c r="D19" s="450">
        <v>700000</v>
      </c>
    </row>
    <row r="20" spans="1:4" ht="12.75">
      <c r="A20" s="235" t="s">
        <v>5</v>
      </c>
      <c r="B20" s="395">
        <v>315000</v>
      </c>
      <c r="C20" s="529">
        <v>0</v>
      </c>
      <c r="D20" s="450"/>
    </row>
    <row r="21" spans="1:4" ht="12.75" customHeight="1">
      <c r="A21" s="235" t="s">
        <v>6</v>
      </c>
      <c r="B21" s="395">
        <v>44059</v>
      </c>
      <c r="C21" s="529">
        <v>44059</v>
      </c>
      <c r="D21" s="450">
        <v>44059</v>
      </c>
    </row>
    <row r="22" spans="1:4" ht="12.75">
      <c r="A22" s="235" t="s">
        <v>7</v>
      </c>
      <c r="B22" s="395">
        <v>30000</v>
      </c>
      <c r="C22" s="529">
        <v>30000</v>
      </c>
      <c r="D22" s="450"/>
    </row>
    <row r="23" spans="1:4" ht="12.75">
      <c r="A23" s="235" t="s">
        <v>16</v>
      </c>
      <c r="B23" s="395">
        <v>134994</v>
      </c>
      <c r="C23" s="529">
        <v>134994</v>
      </c>
      <c r="D23" s="450">
        <v>134994</v>
      </c>
    </row>
    <row r="24" spans="1:4" ht="12.75">
      <c r="A24" s="235" t="s">
        <v>101</v>
      </c>
      <c r="B24" s="395" t="s">
        <v>8</v>
      </c>
      <c r="C24" s="529">
        <v>300762</v>
      </c>
      <c r="D24" s="450">
        <v>300762</v>
      </c>
    </row>
    <row r="25" spans="1:4" ht="12.75">
      <c r="A25" s="235" t="s">
        <v>187</v>
      </c>
      <c r="B25" s="395"/>
      <c r="C25" s="529">
        <v>21</v>
      </c>
      <c r="D25" s="450">
        <v>21</v>
      </c>
    </row>
    <row r="26" spans="1:4" ht="12.75">
      <c r="A26" s="239" t="s">
        <v>547</v>
      </c>
      <c r="B26" s="458">
        <f>SUM(B7:B11)+B12</f>
        <v>4809076</v>
      </c>
      <c r="C26" s="530">
        <f>SUM(C7:C11)+C12</f>
        <v>4646111</v>
      </c>
      <c r="D26" s="451">
        <f>SUM(D7:D11)+D12</f>
        <v>4616111</v>
      </c>
    </row>
    <row r="27" spans="1:4" ht="13.5" thickBot="1">
      <c r="A27" s="287"/>
      <c r="B27" s="548"/>
      <c r="C27" s="537"/>
      <c r="D27" s="465"/>
    </row>
    <row r="28" spans="1:4" ht="15.75" customHeight="1">
      <c r="A28" s="288" t="s">
        <v>12</v>
      </c>
      <c r="B28" s="547" t="s">
        <v>490</v>
      </c>
      <c r="C28" s="536" t="s">
        <v>496</v>
      </c>
      <c r="D28" s="466" t="s">
        <v>85</v>
      </c>
    </row>
    <row r="29" spans="1:4" ht="10.5" customHeight="1">
      <c r="A29" s="283"/>
      <c r="B29" s="540"/>
      <c r="C29" s="532"/>
      <c r="D29" s="453"/>
    </row>
    <row r="30" spans="1:4" s="284" customFormat="1" ht="12.75" customHeight="1">
      <c r="A30" s="291" t="s">
        <v>14</v>
      </c>
      <c r="B30" s="541">
        <v>128930</v>
      </c>
      <c r="C30" s="533">
        <v>128930</v>
      </c>
      <c r="D30" s="454">
        <v>44825</v>
      </c>
    </row>
    <row r="31" spans="1:4" s="284" customFormat="1" ht="12" customHeight="1">
      <c r="A31" s="291" t="s">
        <v>13</v>
      </c>
      <c r="B31" s="541">
        <v>12000</v>
      </c>
      <c r="C31" s="533">
        <v>12000</v>
      </c>
      <c r="D31" s="454">
        <v>12000</v>
      </c>
    </row>
    <row r="32" spans="1:4" ht="10.5" customHeight="1">
      <c r="A32" s="283"/>
      <c r="B32" s="540"/>
      <c r="C32" s="529"/>
      <c r="D32" s="450"/>
    </row>
    <row r="33" spans="1:4" ht="12.75">
      <c r="A33" s="237" t="s">
        <v>339</v>
      </c>
      <c r="B33" s="458"/>
      <c r="C33" s="529"/>
      <c r="D33" s="450"/>
    </row>
    <row r="34" spans="1:4" ht="10.5" customHeight="1">
      <c r="A34" s="235"/>
      <c r="B34" s="459"/>
      <c r="C34" s="529"/>
      <c r="D34" s="450"/>
    </row>
    <row r="35" spans="1:4" ht="12.75">
      <c r="A35" s="237" t="s">
        <v>598</v>
      </c>
      <c r="B35" s="459"/>
      <c r="C35" s="529"/>
      <c r="D35" s="450"/>
    </row>
    <row r="36" spans="1:4" ht="12.75">
      <c r="A36" s="235" t="s">
        <v>254</v>
      </c>
      <c r="B36" s="395">
        <v>15000</v>
      </c>
      <c r="C36" s="529">
        <v>0</v>
      </c>
      <c r="D36" s="450"/>
    </row>
    <row r="37" spans="1:4" ht="12.75">
      <c r="A37" s="235" t="s">
        <v>255</v>
      </c>
      <c r="B37" s="395">
        <v>442625</v>
      </c>
      <c r="C37" s="529">
        <v>455096</v>
      </c>
      <c r="D37" s="450">
        <v>455507</v>
      </c>
    </row>
    <row r="38" spans="1:4" ht="12.75">
      <c r="A38" s="235" t="s">
        <v>256</v>
      </c>
      <c r="B38" s="395">
        <v>534614</v>
      </c>
      <c r="C38" s="529">
        <v>523133</v>
      </c>
      <c r="D38" s="450">
        <v>523133</v>
      </c>
    </row>
    <row r="39" spans="1:4" ht="12.75">
      <c r="A39" s="235" t="s">
        <v>257</v>
      </c>
      <c r="B39" s="395">
        <v>674000</v>
      </c>
      <c r="C39" s="529">
        <v>672026</v>
      </c>
      <c r="D39" s="450">
        <v>671186</v>
      </c>
    </row>
    <row r="40" spans="1:4" ht="12.75">
      <c r="A40" s="235" t="s">
        <v>258</v>
      </c>
      <c r="B40" s="395">
        <v>85059</v>
      </c>
      <c r="C40" s="529">
        <v>85059</v>
      </c>
      <c r="D40" s="450">
        <v>83567</v>
      </c>
    </row>
    <row r="41" spans="1:4" ht="12.75">
      <c r="A41" s="235" t="s">
        <v>259</v>
      </c>
      <c r="B41" s="395">
        <v>413856</v>
      </c>
      <c r="C41" s="529">
        <v>413856</v>
      </c>
      <c r="D41" s="450">
        <v>413856</v>
      </c>
    </row>
    <row r="42" spans="1:4" ht="12.75">
      <c r="A42" s="235" t="s">
        <v>260</v>
      </c>
      <c r="B42" s="395">
        <v>125211</v>
      </c>
      <c r="C42" s="529">
        <v>125731</v>
      </c>
      <c r="D42" s="450">
        <v>125731</v>
      </c>
    </row>
    <row r="43" spans="1:4" ht="12.75">
      <c r="A43" s="235" t="s">
        <v>261</v>
      </c>
      <c r="B43" s="395">
        <v>933000</v>
      </c>
      <c r="C43" s="529">
        <v>933000</v>
      </c>
      <c r="D43" s="450">
        <v>933000</v>
      </c>
    </row>
    <row r="44" spans="1:4" ht="12.75">
      <c r="A44" s="235" t="s">
        <v>262</v>
      </c>
      <c r="B44" s="395">
        <v>418000</v>
      </c>
      <c r="C44" s="529">
        <v>4765</v>
      </c>
      <c r="D44" s="450">
        <v>4765</v>
      </c>
    </row>
    <row r="45" spans="1:4" ht="12.75">
      <c r="A45" s="235" t="s">
        <v>304</v>
      </c>
      <c r="B45" s="395">
        <v>48954</v>
      </c>
      <c r="C45" s="529">
        <v>48954</v>
      </c>
      <c r="D45" s="450">
        <v>48954</v>
      </c>
    </row>
    <row r="46" spans="1:4" ht="12.75">
      <c r="A46" s="235" t="s">
        <v>308</v>
      </c>
      <c r="B46" s="395">
        <v>220000</v>
      </c>
      <c r="C46" s="529">
        <v>220000</v>
      </c>
      <c r="D46" s="450">
        <v>220000</v>
      </c>
    </row>
    <row r="47" spans="1:4" ht="12.75">
      <c r="A47" s="235" t="s">
        <v>342</v>
      </c>
      <c r="B47" s="395">
        <v>8875</v>
      </c>
      <c r="C47" s="529">
        <v>6750</v>
      </c>
      <c r="D47" s="450">
        <v>6750</v>
      </c>
    </row>
    <row r="48" spans="1:4" ht="12.75">
      <c r="A48" s="289" t="s">
        <v>343</v>
      </c>
      <c r="B48" s="395">
        <v>1500</v>
      </c>
      <c r="C48" s="529">
        <v>1500</v>
      </c>
      <c r="D48" s="450">
        <v>1500</v>
      </c>
    </row>
    <row r="49" spans="1:4" ht="12.75">
      <c r="A49" s="235" t="s">
        <v>344</v>
      </c>
      <c r="B49" s="395">
        <v>6250</v>
      </c>
      <c r="C49" s="529">
        <v>3625</v>
      </c>
      <c r="D49" s="450">
        <v>3625</v>
      </c>
    </row>
    <row r="50" spans="1:4" ht="12.75">
      <c r="A50" s="235" t="s">
        <v>345</v>
      </c>
      <c r="B50" s="395">
        <v>1250</v>
      </c>
      <c r="C50" s="529">
        <v>500</v>
      </c>
      <c r="D50" s="450">
        <v>500</v>
      </c>
    </row>
    <row r="51" spans="1:4" ht="12.75">
      <c r="A51" s="289" t="s">
        <v>305</v>
      </c>
      <c r="B51" s="395">
        <v>7000</v>
      </c>
      <c r="C51" s="529">
        <v>0</v>
      </c>
      <c r="D51" s="450"/>
    </row>
    <row r="52" spans="1:4" ht="12.75">
      <c r="A52" s="289" t="s">
        <v>306</v>
      </c>
      <c r="B52" s="395">
        <v>15000</v>
      </c>
      <c r="C52" s="529">
        <v>15000</v>
      </c>
      <c r="D52" s="450">
        <v>15000</v>
      </c>
    </row>
    <row r="53" spans="1:4" ht="12.75">
      <c r="A53" s="235" t="s">
        <v>307</v>
      </c>
      <c r="B53" s="395">
        <v>149993</v>
      </c>
      <c r="C53" s="529">
        <v>149993</v>
      </c>
      <c r="D53" s="450">
        <v>149993</v>
      </c>
    </row>
    <row r="54" spans="1:4" ht="12.75">
      <c r="A54" s="235" t="s">
        <v>309</v>
      </c>
      <c r="B54" s="395"/>
      <c r="C54" s="529">
        <v>931</v>
      </c>
      <c r="D54" s="450">
        <v>931</v>
      </c>
    </row>
    <row r="55" spans="1:4" ht="12.75">
      <c r="A55" s="272" t="s">
        <v>547</v>
      </c>
      <c r="B55" s="534">
        <f>SUM(B36:B53)</f>
        <v>4100187</v>
      </c>
      <c r="C55" s="538">
        <f>SUM(C36:C54)</f>
        <v>3659919</v>
      </c>
      <c r="D55" s="525">
        <f>SUM(D36:D54)</f>
        <v>3657998</v>
      </c>
    </row>
    <row r="56" spans="1:4" ht="11.25" customHeight="1">
      <c r="A56" s="235"/>
      <c r="B56" s="459"/>
      <c r="C56" s="529"/>
      <c r="D56" s="450"/>
    </row>
    <row r="57" spans="1:4" ht="12.75">
      <c r="A57" s="237" t="s">
        <v>340</v>
      </c>
      <c r="B57" s="459"/>
      <c r="C57" s="529"/>
      <c r="D57" s="450"/>
    </row>
    <row r="58" spans="1:4" ht="12.75">
      <c r="A58" s="235" t="s">
        <v>250</v>
      </c>
      <c r="B58" s="395">
        <v>15000</v>
      </c>
      <c r="C58" s="529">
        <v>5412</v>
      </c>
      <c r="D58" s="450">
        <v>6066</v>
      </c>
    </row>
    <row r="59" spans="1:4" ht="12.75">
      <c r="A59" s="235" t="s">
        <v>812</v>
      </c>
      <c r="B59" s="395" t="s">
        <v>8</v>
      </c>
      <c r="C59" s="529"/>
      <c r="D59" s="450"/>
    </row>
    <row r="60" spans="1:4" ht="12.75">
      <c r="A60" s="235" t="s">
        <v>188</v>
      </c>
      <c r="B60" s="395">
        <v>7500</v>
      </c>
      <c r="C60" s="529">
        <v>7500</v>
      </c>
      <c r="D60" s="450">
        <v>7500</v>
      </c>
    </row>
    <row r="61" spans="1:4" ht="12.75">
      <c r="A61" s="235" t="s">
        <v>338</v>
      </c>
      <c r="B61" s="395">
        <v>5000</v>
      </c>
      <c r="C61" s="529">
        <v>5000</v>
      </c>
      <c r="D61" s="450">
        <v>5000</v>
      </c>
    </row>
    <row r="62" spans="1:4" ht="12.75">
      <c r="A62" s="235" t="s">
        <v>815</v>
      </c>
      <c r="B62" s="395">
        <v>30000</v>
      </c>
      <c r="C62" s="529">
        <v>22849</v>
      </c>
      <c r="D62" s="450">
        <v>22849</v>
      </c>
    </row>
    <row r="63" spans="1:4" ht="12.75">
      <c r="A63" s="235" t="s">
        <v>335</v>
      </c>
      <c r="B63" s="395"/>
      <c r="C63" s="529">
        <v>17600</v>
      </c>
      <c r="D63" s="450">
        <v>17600</v>
      </c>
    </row>
    <row r="64" spans="1:4" ht="12.75">
      <c r="A64" s="235" t="s">
        <v>336</v>
      </c>
      <c r="B64" s="395"/>
      <c r="C64" s="529">
        <v>3156</v>
      </c>
      <c r="D64" s="450">
        <v>3156</v>
      </c>
    </row>
    <row r="65" spans="1:4" ht="12.75">
      <c r="A65" s="235" t="s">
        <v>337</v>
      </c>
      <c r="B65" s="395"/>
      <c r="C65" s="529">
        <v>100000</v>
      </c>
      <c r="D65" s="450">
        <v>100000</v>
      </c>
    </row>
    <row r="66" spans="1:4" ht="12.75">
      <c r="A66" s="281" t="s">
        <v>816</v>
      </c>
      <c r="B66" s="395">
        <v>6250</v>
      </c>
      <c r="C66" s="529">
        <v>3750</v>
      </c>
      <c r="D66" s="450">
        <v>3750</v>
      </c>
    </row>
    <row r="67" spans="1:4" ht="12.75">
      <c r="A67" s="281" t="s">
        <v>327</v>
      </c>
      <c r="B67" s="395"/>
      <c r="C67" s="529">
        <v>3308</v>
      </c>
      <c r="D67" s="450">
        <v>3308</v>
      </c>
    </row>
    <row r="68" spans="1:4" ht="12.75">
      <c r="A68" s="281" t="s">
        <v>328</v>
      </c>
      <c r="B68" s="395"/>
      <c r="C68" s="529">
        <v>36865</v>
      </c>
      <c r="D68" s="450">
        <v>36865</v>
      </c>
    </row>
    <row r="69" spans="1:4" ht="12.75">
      <c r="A69" s="281" t="s">
        <v>329</v>
      </c>
      <c r="B69" s="395"/>
      <c r="C69" s="529">
        <v>15610</v>
      </c>
      <c r="D69" s="450">
        <v>15610</v>
      </c>
    </row>
    <row r="70" spans="1:4" ht="12.75">
      <c r="A70" s="281" t="s">
        <v>330</v>
      </c>
      <c r="B70" s="395"/>
      <c r="C70" s="529">
        <v>8000</v>
      </c>
      <c r="D70" s="450">
        <v>8000</v>
      </c>
    </row>
    <row r="71" spans="1:4" ht="12.75">
      <c r="A71" s="281" t="s">
        <v>331</v>
      </c>
      <c r="B71" s="395"/>
      <c r="C71" s="529">
        <v>5795</v>
      </c>
      <c r="D71" s="450">
        <v>5795</v>
      </c>
    </row>
    <row r="72" spans="1:4" ht="12.75">
      <c r="A72" s="281" t="s">
        <v>332</v>
      </c>
      <c r="B72" s="395"/>
      <c r="C72" s="529">
        <v>1356</v>
      </c>
      <c r="D72" s="450">
        <v>1356</v>
      </c>
    </row>
    <row r="73" spans="1:4" ht="12.75">
      <c r="A73" s="281" t="s">
        <v>333</v>
      </c>
      <c r="B73" s="395"/>
      <c r="C73" s="529">
        <v>2529</v>
      </c>
      <c r="D73" s="450">
        <v>2529</v>
      </c>
    </row>
    <row r="74" spans="1:4" ht="12.75">
      <c r="A74" s="281" t="s">
        <v>334</v>
      </c>
      <c r="B74" s="395"/>
      <c r="C74" s="529">
        <v>581</v>
      </c>
      <c r="D74" s="450">
        <v>581</v>
      </c>
    </row>
    <row r="75" spans="1:4" ht="12.75">
      <c r="A75" s="281" t="s">
        <v>310</v>
      </c>
      <c r="B75" s="395"/>
      <c r="C75" s="529">
        <v>3500</v>
      </c>
      <c r="D75" s="450">
        <v>3500</v>
      </c>
    </row>
    <row r="76" spans="1:4" ht="12.75">
      <c r="A76" s="281" t="s">
        <v>311</v>
      </c>
      <c r="B76" s="395"/>
      <c r="C76" s="529">
        <v>9068</v>
      </c>
      <c r="D76" s="450">
        <v>9068</v>
      </c>
    </row>
    <row r="77" spans="1:4" ht="12.75">
      <c r="A77" s="281" t="s">
        <v>312</v>
      </c>
      <c r="B77" s="395"/>
      <c r="C77" s="529">
        <v>17000</v>
      </c>
      <c r="D77" s="450">
        <v>17000</v>
      </c>
    </row>
    <row r="78" spans="1:4" ht="12.75">
      <c r="A78" s="282" t="s">
        <v>547</v>
      </c>
      <c r="B78" s="535">
        <f>SUM(B58:B74)</f>
        <v>63750</v>
      </c>
      <c r="C78" s="539">
        <f>SUM(C58:C77)</f>
        <v>268879</v>
      </c>
      <c r="D78" s="526">
        <f>SUM(D58:D77)</f>
        <v>269533</v>
      </c>
    </row>
    <row r="79" spans="1:4" ht="11.25" customHeight="1">
      <c r="A79" s="235" t="s">
        <v>9</v>
      </c>
      <c r="B79" s="542"/>
      <c r="C79" s="529"/>
      <c r="D79" s="450"/>
    </row>
    <row r="80" spans="1:4" s="284" customFormat="1" ht="14.25" thickBot="1">
      <c r="A80" s="358" t="s">
        <v>363</v>
      </c>
      <c r="B80" s="543">
        <f>B55+B78</f>
        <v>4163937</v>
      </c>
      <c r="C80" s="544">
        <f>C55+C78</f>
        <v>3928798</v>
      </c>
      <c r="D80" s="527">
        <f>D55+D78</f>
        <v>3927531</v>
      </c>
    </row>
    <row r="81" spans="1:4" ht="13.5" thickTop="1">
      <c r="A81" s="241"/>
      <c r="B81" s="545"/>
      <c r="C81" s="546"/>
      <c r="D81" s="455"/>
    </row>
    <row r="82" spans="1:4" ht="12.75">
      <c r="A82" s="237" t="s">
        <v>10</v>
      </c>
      <c r="B82" s="458"/>
      <c r="C82" s="529"/>
      <c r="D82" s="450"/>
    </row>
    <row r="83" spans="1:4" ht="12.75">
      <c r="A83" s="235"/>
      <c r="B83" s="459"/>
      <c r="C83" s="529"/>
      <c r="D83" s="450"/>
    </row>
    <row r="84" spans="1:4" ht="12.75">
      <c r="A84" s="237" t="s">
        <v>598</v>
      </c>
      <c r="B84" s="459"/>
      <c r="C84" s="529"/>
      <c r="D84" s="450"/>
    </row>
    <row r="85" spans="1:4" ht="12.75">
      <c r="A85" s="289" t="s">
        <v>321</v>
      </c>
      <c r="B85" s="395">
        <v>17000</v>
      </c>
      <c r="C85" s="529">
        <v>17000</v>
      </c>
      <c r="D85" s="450">
        <v>17000</v>
      </c>
    </row>
    <row r="86" spans="1:4" ht="12.75">
      <c r="A86" s="235" t="s">
        <v>322</v>
      </c>
      <c r="B86" s="395">
        <v>8650</v>
      </c>
      <c r="C86" s="529">
        <v>8650</v>
      </c>
      <c r="D86" s="450">
        <v>8650</v>
      </c>
    </row>
    <row r="87" spans="1:4" ht="12.75">
      <c r="A87" s="235" t="s">
        <v>323</v>
      </c>
      <c r="B87" s="395">
        <v>1465</v>
      </c>
      <c r="C87" s="529">
        <v>1465</v>
      </c>
      <c r="D87" s="450">
        <v>1465</v>
      </c>
    </row>
    <row r="88" spans="1:4" ht="12.75">
      <c r="A88" s="235" t="s">
        <v>324</v>
      </c>
      <c r="B88" s="395">
        <v>33962</v>
      </c>
      <c r="C88" s="529">
        <v>30654</v>
      </c>
      <c r="D88" s="450"/>
    </row>
    <row r="89" spans="1:4" ht="12.75">
      <c r="A89" s="235" t="s">
        <v>325</v>
      </c>
      <c r="B89" s="395">
        <v>69791</v>
      </c>
      <c r="C89" s="529">
        <v>66291</v>
      </c>
      <c r="D89" s="450">
        <v>66291</v>
      </c>
    </row>
    <row r="90" spans="1:4" ht="12.75">
      <c r="A90" s="235" t="s">
        <v>326</v>
      </c>
      <c r="B90" s="395">
        <v>5000</v>
      </c>
      <c r="C90" s="529">
        <v>4069</v>
      </c>
      <c r="D90" s="450">
        <v>4069</v>
      </c>
    </row>
    <row r="91" spans="1:4" ht="12.75">
      <c r="A91" s="272" t="s">
        <v>547</v>
      </c>
      <c r="B91" s="534">
        <f>SUM(B85:B90)</f>
        <v>135868</v>
      </c>
      <c r="C91" s="534">
        <f>SUM(C85:C90)</f>
        <v>128129</v>
      </c>
      <c r="D91" s="580">
        <f>SUM(D85:D90)</f>
        <v>97475</v>
      </c>
    </row>
    <row r="92" spans="1:4" ht="12.75">
      <c r="A92" s="272"/>
      <c r="B92" s="534"/>
      <c r="C92" s="529"/>
      <c r="D92" s="450"/>
    </row>
    <row r="93" spans="1:4" ht="12.75">
      <c r="A93" s="237" t="s">
        <v>679</v>
      </c>
      <c r="B93" s="459"/>
      <c r="C93" s="529"/>
      <c r="D93" s="450"/>
    </row>
    <row r="94" spans="1:4" ht="12.75">
      <c r="A94" s="235" t="s">
        <v>817</v>
      </c>
      <c r="B94" s="395">
        <v>1000</v>
      </c>
      <c r="C94" s="529">
        <v>1000</v>
      </c>
      <c r="D94" s="450">
        <v>1000</v>
      </c>
    </row>
    <row r="95" spans="1:4" ht="12.75">
      <c r="A95" s="235" t="s">
        <v>319</v>
      </c>
      <c r="B95" s="395" t="s">
        <v>8</v>
      </c>
      <c r="C95" s="529">
        <v>192</v>
      </c>
      <c r="D95" s="450">
        <v>192</v>
      </c>
    </row>
    <row r="96" spans="1:4" ht="12.75">
      <c r="A96" s="235" t="s">
        <v>320</v>
      </c>
      <c r="B96" s="395"/>
      <c r="C96" s="529">
        <v>7000</v>
      </c>
      <c r="D96" s="450">
        <v>7000</v>
      </c>
    </row>
    <row r="97" spans="1:4" ht="12.75">
      <c r="A97" s="235" t="s">
        <v>690</v>
      </c>
      <c r="B97" s="395"/>
      <c r="C97" s="529"/>
      <c r="D97" s="450">
        <v>5000</v>
      </c>
    </row>
    <row r="98" spans="1:4" ht="12.75">
      <c r="A98" s="272" t="s">
        <v>547</v>
      </c>
      <c r="B98" s="534">
        <f>SUM(B94:B97)</f>
        <v>1000</v>
      </c>
      <c r="C98" s="534">
        <f>SUM(C94:C97)</f>
        <v>8192</v>
      </c>
      <c r="D98" s="580">
        <f>SUM(D94:D97)</f>
        <v>13192</v>
      </c>
    </row>
    <row r="99" spans="1:4" ht="12.75">
      <c r="A99" s="238"/>
      <c r="B99" s="395"/>
      <c r="C99" s="529"/>
      <c r="D99" s="450"/>
    </row>
    <row r="100" spans="1:4" s="284" customFormat="1" ht="13.5">
      <c r="A100" s="285" t="s">
        <v>364</v>
      </c>
      <c r="B100" s="460">
        <f>B91+B98</f>
        <v>136868</v>
      </c>
      <c r="C100" s="533">
        <f>C91+C98</f>
        <v>136321</v>
      </c>
      <c r="D100" s="454">
        <f>D91+D98</f>
        <v>110667</v>
      </c>
    </row>
    <row r="101" spans="1:4" ht="12.75">
      <c r="A101" s="238"/>
      <c r="B101" s="395"/>
      <c r="C101" s="529"/>
      <c r="D101" s="450"/>
    </row>
    <row r="102" spans="1:4" ht="12.75">
      <c r="A102" s="357"/>
      <c r="B102" s="459"/>
      <c r="C102" s="529"/>
      <c r="D102" s="450"/>
    </row>
    <row r="103" spans="1:4" ht="12.75">
      <c r="A103" s="237" t="s">
        <v>368</v>
      </c>
      <c r="B103" s="459"/>
      <c r="C103" s="529"/>
      <c r="D103" s="450"/>
    </row>
    <row r="104" spans="1:4" ht="12.75">
      <c r="A104" s="235" t="s">
        <v>22</v>
      </c>
      <c r="B104" s="395">
        <v>8265</v>
      </c>
      <c r="C104" s="529">
        <v>8265</v>
      </c>
      <c r="D104" s="450">
        <v>8265</v>
      </c>
    </row>
    <row r="105" spans="1:4" ht="12.75">
      <c r="A105" s="235" t="s">
        <v>23</v>
      </c>
      <c r="B105" s="395">
        <v>29264</v>
      </c>
      <c r="C105" s="529">
        <v>29264</v>
      </c>
      <c r="D105" s="450">
        <v>29264</v>
      </c>
    </row>
    <row r="106" spans="1:4" ht="12.75">
      <c r="A106" s="235" t="s">
        <v>24</v>
      </c>
      <c r="B106" s="395">
        <v>178545</v>
      </c>
      <c r="C106" s="529">
        <v>161545</v>
      </c>
      <c r="D106" s="450">
        <v>161545</v>
      </c>
    </row>
    <row r="107" spans="1:4" ht="12.75">
      <c r="A107" s="235" t="s">
        <v>189</v>
      </c>
      <c r="B107" s="395">
        <v>45000</v>
      </c>
      <c r="C107" s="529">
        <v>45000</v>
      </c>
      <c r="D107" s="450">
        <v>45000</v>
      </c>
    </row>
    <row r="108" spans="1:4" ht="12.75">
      <c r="A108" s="235" t="s">
        <v>722</v>
      </c>
      <c r="B108" s="395">
        <v>6267</v>
      </c>
      <c r="C108" s="529">
        <v>6267</v>
      </c>
      <c r="D108" s="450">
        <v>6267</v>
      </c>
    </row>
    <row r="109" spans="1:4" ht="12.75">
      <c r="A109" s="235" t="s">
        <v>819</v>
      </c>
      <c r="B109" s="395">
        <v>55000</v>
      </c>
      <c r="C109" s="529">
        <v>55000</v>
      </c>
      <c r="D109" s="450">
        <v>55000</v>
      </c>
    </row>
    <row r="110" spans="1:4" ht="12.75">
      <c r="A110" s="235" t="s">
        <v>313</v>
      </c>
      <c r="B110" s="395">
        <v>45000</v>
      </c>
      <c r="C110" s="529">
        <v>45000</v>
      </c>
      <c r="D110" s="450">
        <v>45000</v>
      </c>
    </row>
    <row r="111" spans="1:4" ht="12.75">
      <c r="A111" s="235" t="s">
        <v>314</v>
      </c>
      <c r="B111" s="395"/>
      <c r="C111" s="529">
        <v>12000</v>
      </c>
      <c r="D111" s="450">
        <v>12000</v>
      </c>
    </row>
    <row r="112" spans="1:4" ht="12.75">
      <c r="A112" s="235" t="s">
        <v>315</v>
      </c>
      <c r="B112" s="395" t="s">
        <v>8</v>
      </c>
      <c r="C112" s="529">
        <v>23000</v>
      </c>
      <c r="D112" s="450">
        <v>23000</v>
      </c>
    </row>
    <row r="113" spans="1:4" ht="12.75">
      <c r="A113" s="235" t="s">
        <v>316</v>
      </c>
      <c r="B113" s="395"/>
      <c r="C113" s="529">
        <v>9100</v>
      </c>
      <c r="D113" s="450">
        <v>9100</v>
      </c>
    </row>
    <row r="114" spans="1:4" ht="12.75">
      <c r="A114" s="235" t="s">
        <v>317</v>
      </c>
      <c r="B114" s="395"/>
      <c r="C114" s="529">
        <v>5000</v>
      </c>
      <c r="D114" s="450">
        <v>5000</v>
      </c>
    </row>
    <row r="115" spans="1:4" ht="12.75">
      <c r="A115" s="235" t="s">
        <v>318</v>
      </c>
      <c r="B115" s="395"/>
      <c r="C115" s="529">
        <v>5000</v>
      </c>
      <c r="D115" s="450">
        <v>5000</v>
      </c>
    </row>
    <row r="116" spans="1:4" s="284" customFormat="1" ht="13.5">
      <c r="A116" s="236" t="s">
        <v>593</v>
      </c>
      <c r="B116" s="460">
        <f>SUM(B104:B115)</f>
        <v>367341</v>
      </c>
      <c r="C116" s="533">
        <f>SUM(C104:C115)</f>
        <v>404441</v>
      </c>
      <c r="D116" s="454">
        <f>SUM(D104:D115)</f>
        <v>404441</v>
      </c>
    </row>
    <row r="117" spans="1:4" ht="12.75">
      <c r="A117" s="235"/>
      <c r="B117" s="458"/>
      <c r="C117" s="529"/>
      <c r="D117" s="450"/>
    </row>
    <row r="118" spans="1:4" ht="12.75">
      <c r="A118" s="239" t="s">
        <v>102</v>
      </c>
      <c r="B118" s="458"/>
      <c r="C118" s="530">
        <v>22166</v>
      </c>
      <c r="D118" s="451">
        <v>22166</v>
      </c>
    </row>
    <row r="119" spans="1:4" ht="12.75">
      <c r="A119" s="239"/>
      <c r="B119" s="458"/>
      <c r="C119" s="530"/>
      <c r="D119" s="451"/>
    </row>
    <row r="120" spans="1:4" ht="12.75">
      <c r="A120" s="239" t="s">
        <v>190</v>
      </c>
      <c r="B120" s="459"/>
      <c r="C120" s="530">
        <v>1974</v>
      </c>
      <c r="D120" s="451">
        <v>2814</v>
      </c>
    </row>
    <row r="121" spans="1:4" ht="12.75">
      <c r="A121" s="239"/>
      <c r="B121" s="459"/>
      <c r="C121" s="530"/>
      <c r="D121" s="451"/>
    </row>
    <row r="122" spans="1:4" ht="12.75">
      <c r="A122" s="239" t="s">
        <v>191</v>
      </c>
      <c r="B122" s="459"/>
      <c r="C122" s="530">
        <v>11481</v>
      </c>
      <c r="D122" s="451">
        <v>11481</v>
      </c>
    </row>
    <row r="123" spans="1:4" ht="12.75">
      <c r="A123" s="239"/>
      <c r="B123" s="459"/>
      <c r="C123" s="530"/>
      <c r="D123" s="451"/>
    </row>
    <row r="124" spans="1:4" ht="12.75">
      <c r="A124" s="239" t="s">
        <v>691</v>
      </c>
      <c r="B124" s="459"/>
      <c r="C124" s="530"/>
      <c r="D124" s="451">
        <v>1492</v>
      </c>
    </row>
    <row r="125" spans="1:4" ht="12.75">
      <c r="A125" s="239"/>
      <c r="B125" s="459"/>
      <c r="C125" s="530"/>
      <c r="D125" s="451"/>
    </row>
    <row r="126" spans="1:4" ht="12.75">
      <c r="A126" s="239" t="s">
        <v>465</v>
      </c>
      <c r="B126" s="459"/>
      <c r="C126" s="530"/>
      <c r="D126" s="451">
        <v>40200</v>
      </c>
    </row>
    <row r="127" spans="1:4" ht="12.75">
      <c r="A127" s="235"/>
      <c r="B127" s="459"/>
      <c r="C127" s="530"/>
      <c r="D127" s="451"/>
    </row>
    <row r="128" spans="1:4" ht="12.75">
      <c r="A128" s="239" t="s">
        <v>11</v>
      </c>
      <c r="B128" s="458">
        <f>SUM(B30+B31+B80+B100+B116+B118+B120+B122+B124+B126)</f>
        <v>4809076</v>
      </c>
      <c r="C128" s="458">
        <f>SUM(C30+C31+C80+C100+C116+C118+C120+C122+C124+C126)</f>
        <v>4646111</v>
      </c>
      <c r="D128" s="581">
        <f>SUM(D30+D31+D80+D100+D116+D118+D120+D122+D124+D126)</f>
        <v>4577617</v>
      </c>
    </row>
    <row r="129" spans="1:4" ht="12.75">
      <c r="A129" s="235"/>
      <c r="B129" s="459"/>
      <c r="C129" s="529"/>
      <c r="D129" s="450"/>
    </row>
    <row r="130" spans="1:4" ht="13.5" thickBot="1">
      <c r="A130" s="286" t="s">
        <v>649</v>
      </c>
      <c r="B130" s="456">
        <f>B26-B128</f>
        <v>0</v>
      </c>
      <c r="C130" s="456">
        <f>C26-C128</f>
        <v>0</v>
      </c>
      <c r="D130" s="456">
        <f>D26-D128</f>
        <v>38494</v>
      </c>
    </row>
    <row r="131" spans="1:3" ht="13.5" thickTop="1">
      <c r="A131" s="273"/>
      <c r="B131" s="274"/>
      <c r="C131" s="163" t="s">
        <v>8</v>
      </c>
    </row>
    <row r="132" spans="1:3" ht="12.75">
      <c r="A132" s="181"/>
      <c r="B132" s="181"/>
      <c r="C132" s="163" t="s">
        <v>8</v>
      </c>
    </row>
    <row r="133" spans="1:3" ht="12.75">
      <c r="A133" s="275"/>
      <c r="B133" s="181"/>
      <c r="C133" s="163" t="s">
        <v>8</v>
      </c>
    </row>
    <row r="134" spans="1:3" ht="12.75">
      <c r="A134" s="181"/>
      <c r="B134" s="276"/>
      <c r="C134" s="163" t="s">
        <v>8</v>
      </c>
    </row>
    <row r="135" spans="1:2" ht="12.75">
      <c r="A135" s="181"/>
      <c r="B135" s="276"/>
    </row>
    <row r="136" spans="1:2" ht="12.75">
      <c r="A136" s="181"/>
      <c r="B136" s="276"/>
    </row>
    <row r="137" spans="1:2" ht="12.75">
      <c r="A137" s="181"/>
      <c r="B137" s="276"/>
    </row>
    <row r="138" spans="1:2" ht="12.75">
      <c r="A138" s="181"/>
      <c r="B138" s="276"/>
    </row>
    <row r="139" spans="1:2" ht="12.75">
      <c r="A139" s="181"/>
      <c r="B139" s="276"/>
    </row>
    <row r="140" spans="1:2" ht="12.75">
      <c r="A140" s="181"/>
      <c r="B140" s="276"/>
    </row>
    <row r="141" spans="1:2" ht="12.75">
      <c r="A141" s="181"/>
      <c r="B141" s="276"/>
    </row>
    <row r="142" spans="1:2" ht="12.75">
      <c r="A142" s="181"/>
      <c r="B142" s="276"/>
    </row>
    <row r="143" spans="1:2" ht="12.75">
      <c r="A143" s="181"/>
      <c r="B143" s="276"/>
    </row>
    <row r="144" spans="1:2" s="170" customFormat="1" ht="12.75">
      <c r="A144" s="277"/>
      <c r="B144" s="278"/>
    </row>
    <row r="145" spans="1:2" ht="12.75">
      <c r="A145" s="277"/>
      <c r="B145" s="278"/>
    </row>
    <row r="146" spans="1:2" ht="12.75">
      <c r="A146" s="277"/>
      <c r="B146" s="278"/>
    </row>
    <row r="147" spans="1:2" ht="12.75">
      <c r="A147" s="277"/>
      <c r="B147" s="278"/>
    </row>
    <row r="148" spans="1:2" ht="12.75">
      <c r="A148" s="277"/>
      <c r="B148" s="278"/>
    </row>
    <row r="149" spans="1:2" ht="12.75">
      <c r="A149" s="181"/>
      <c r="B149" s="181"/>
    </row>
    <row r="150" spans="1:2" s="170" customFormat="1" ht="12.75">
      <c r="A150" s="277"/>
      <c r="B150" s="277"/>
    </row>
    <row r="151" spans="1:2" ht="12.75">
      <c r="A151" s="181"/>
      <c r="B151" s="181"/>
    </row>
    <row r="152" spans="1:2" ht="13.5">
      <c r="A152" s="279"/>
      <c r="B152" s="280"/>
    </row>
    <row r="153" spans="1:2" ht="12.75">
      <c r="A153" s="181"/>
      <c r="B153" s="181"/>
    </row>
    <row r="154" spans="1:2" ht="13.5">
      <c r="A154" s="279"/>
      <c r="B154" s="280"/>
    </row>
  </sheetData>
  <mergeCells count="2">
    <mergeCell ref="A3:C3"/>
    <mergeCell ref="A4:C4"/>
  </mergeCells>
  <printOptions horizontalCentered="1"/>
  <pageMargins left="0.24" right="0.2362204724409449" top="0.3" bottom="0.3" header="0.2362204724409449" footer="0.2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30">
      <selection activeCell="I49" sqref="I49"/>
    </sheetView>
  </sheetViews>
  <sheetFormatPr defaultColWidth="9.00390625" defaultRowHeight="12.75"/>
  <cols>
    <col min="1" max="5" width="9.125" style="360" customWidth="1"/>
    <col min="6" max="6" width="5.75390625" style="360" customWidth="1"/>
    <col min="7" max="7" width="12.75390625" style="360" customWidth="1"/>
    <col min="8" max="8" width="13.625" style="360" customWidth="1"/>
    <col min="9" max="9" width="14.25390625" style="360" customWidth="1"/>
    <col min="10" max="16384" width="9.125" style="360" customWidth="1"/>
  </cols>
  <sheetData>
    <row r="1" ht="12.75">
      <c r="A1" s="363" t="s">
        <v>57</v>
      </c>
    </row>
    <row r="2" spans="1:9" ht="15.75">
      <c r="A2" s="761" t="s">
        <v>48</v>
      </c>
      <c r="B2" s="761"/>
      <c r="C2" s="761"/>
      <c r="D2" s="761"/>
      <c r="E2" s="761"/>
      <c r="F2" s="761"/>
      <c r="G2" s="761"/>
      <c r="H2" s="761"/>
      <c r="I2" s="761"/>
    </row>
    <row r="3" spans="1:9" ht="15.75">
      <c r="A3" s="761" t="s">
        <v>49</v>
      </c>
      <c r="B3" s="761"/>
      <c r="C3" s="761"/>
      <c r="D3" s="761"/>
      <c r="E3" s="761"/>
      <c r="F3" s="761"/>
      <c r="G3" s="761"/>
      <c r="H3" s="761"/>
      <c r="I3" s="761"/>
    </row>
    <row r="4" spans="1:9" ht="16.5" thickBot="1">
      <c r="A4" s="361"/>
      <c r="B4" s="361"/>
      <c r="C4" s="361"/>
      <c r="D4" s="361"/>
      <c r="E4" s="362" t="s">
        <v>8</v>
      </c>
      <c r="F4" s="361"/>
      <c r="G4" s="361"/>
      <c r="H4" s="361"/>
      <c r="I4" s="437"/>
    </row>
    <row r="5" spans="1:9" ht="19.5" customHeight="1" thickBot="1" thickTop="1">
      <c r="A5" s="762" t="s">
        <v>50</v>
      </c>
      <c r="B5" s="762"/>
      <c r="C5" s="762"/>
      <c r="D5" s="762"/>
      <c r="E5" s="762"/>
      <c r="F5" s="762"/>
      <c r="G5" s="549" t="s">
        <v>490</v>
      </c>
      <c r="H5" s="564" t="s">
        <v>496</v>
      </c>
      <c r="I5" s="565" t="s">
        <v>85</v>
      </c>
    </row>
    <row r="6" spans="1:9" s="363" customFormat="1" ht="16.5" thickTop="1">
      <c r="A6" s="754" t="s">
        <v>51</v>
      </c>
      <c r="B6" s="755"/>
      <c r="C6" s="755"/>
      <c r="D6" s="755"/>
      <c r="E6" s="755"/>
      <c r="F6" s="755"/>
      <c r="G6" s="550">
        <v>566</v>
      </c>
      <c r="H6" s="563">
        <v>1183</v>
      </c>
      <c r="I6" s="554">
        <v>1183</v>
      </c>
    </row>
    <row r="7" spans="1:9" ht="15.75">
      <c r="A7" s="759" t="s">
        <v>52</v>
      </c>
      <c r="B7" s="760"/>
      <c r="C7" s="760"/>
      <c r="D7" s="760"/>
      <c r="E7" s="760"/>
      <c r="F7" s="760"/>
      <c r="G7" s="551">
        <f>SUM(G6)</f>
        <v>566</v>
      </c>
      <c r="H7" s="560">
        <f>SUM(H6)</f>
        <v>1183</v>
      </c>
      <c r="I7" s="555">
        <f>SUM(I6)</f>
        <v>1183</v>
      </c>
    </row>
    <row r="8" spans="1:9" s="441" customFormat="1" ht="15.75">
      <c r="A8" s="765" t="s">
        <v>53</v>
      </c>
      <c r="B8" s="766"/>
      <c r="C8" s="766"/>
      <c r="D8" s="766"/>
      <c r="E8" s="766"/>
      <c r="F8" s="766"/>
      <c r="G8" s="552">
        <v>566</v>
      </c>
      <c r="H8" s="561">
        <v>0</v>
      </c>
      <c r="I8" s="556"/>
    </row>
    <row r="9" spans="1:9" ht="15.75">
      <c r="A9" s="763" t="s">
        <v>185</v>
      </c>
      <c r="B9" s="764"/>
      <c r="C9" s="764"/>
      <c r="D9" s="764"/>
      <c r="E9" s="764"/>
      <c r="F9" s="764"/>
      <c r="G9" s="551"/>
      <c r="H9" s="559">
        <v>822</v>
      </c>
      <c r="I9" s="557">
        <v>822</v>
      </c>
    </row>
    <row r="10" spans="1:9" ht="15.75">
      <c r="A10" s="750" t="s">
        <v>538</v>
      </c>
      <c r="B10" s="751"/>
      <c r="C10" s="751"/>
      <c r="D10" s="751"/>
      <c r="E10" s="751"/>
      <c r="F10" s="751"/>
      <c r="G10" s="550">
        <v>566</v>
      </c>
      <c r="H10" s="559">
        <v>361</v>
      </c>
      <c r="I10" s="557">
        <v>361</v>
      </c>
    </row>
    <row r="11" spans="1:9" ht="16.5" thickBot="1">
      <c r="A11" s="752" t="s">
        <v>54</v>
      </c>
      <c r="B11" s="753"/>
      <c r="C11" s="753"/>
      <c r="D11" s="753"/>
      <c r="E11" s="753"/>
      <c r="F11" s="753"/>
      <c r="G11" s="553">
        <f>SUM(G8:G10)</f>
        <v>1132</v>
      </c>
      <c r="H11" s="562">
        <f>SUM(H8:H10)</f>
        <v>1183</v>
      </c>
      <c r="I11" s="558">
        <f>SUM(I8:I10)</f>
        <v>1183</v>
      </c>
    </row>
    <row r="12" spans="1:8" ht="16.5" thickTop="1">
      <c r="A12" s="364"/>
      <c r="B12" s="364"/>
      <c r="C12" s="364"/>
      <c r="D12" s="364"/>
      <c r="E12" s="364"/>
      <c r="F12" s="364"/>
      <c r="G12" s="364"/>
      <c r="H12" s="364"/>
    </row>
    <row r="13" spans="1:9" ht="15.75">
      <c r="A13" s="761" t="s">
        <v>55</v>
      </c>
      <c r="B13" s="761"/>
      <c r="C13" s="761"/>
      <c r="D13" s="761"/>
      <c r="E13" s="761"/>
      <c r="F13" s="761"/>
      <c r="G13" s="761"/>
      <c r="H13" s="761"/>
      <c r="I13" s="761"/>
    </row>
    <row r="14" spans="1:9" ht="15.75">
      <c r="A14" s="761" t="s">
        <v>49</v>
      </c>
      <c r="B14" s="761"/>
      <c r="C14" s="761"/>
      <c r="D14" s="761"/>
      <c r="E14" s="761"/>
      <c r="F14" s="761"/>
      <c r="G14" s="761"/>
      <c r="H14" s="761"/>
      <c r="I14" s="761"/>
    </row>
    <row r="15" spans="1:9" ht="16.5" thickBot="1">
      <c r="A15" s="361"/>
      <c r="B15" s="361"/>
      <c r="C15" s="361"/>
      <c r="D15" s="361"/>
      <c r="E15" s="362" t="s">
        <v>8</v>
      </c>
      <c r="F15" s="361"/>
      <c r="G15" s="361"/>
      <c r="H15" s="361"/>
      <c r="I15" s="437"/>
    </row>
    <row r="16" spans="1:9" ht="19.5" customHeight="1" thickBot="1" thickTop="1">
      <c r="A16" s="756" t="s">
        <v>50</v>
      </c>
      <c r="B16" s="756"/>
      <c r="C16" s="756"/>
      <c r="D16" s="756"/>
      <c r="E16" s="756"/>
      <c r="F16" s="756"/>
      <c r="G16" s="438" t="s">
        <v>490</v>
      </c>
      <c r="H16" s="564" t="s">
        <v>496</v>
      </c>
      <c r="I16" s="565" t="s">
        <v>85</v>
      </c>
    </row>
    <row r="17" spans="1:9" s="363" customFormat="1" ht="16.5" thickTop="1">
      <c r="A17" s="757" t="s">
        <v>51</v>
      </c>
      <c r="B17" s="758"/>
      <c r="C17" s="758"/>
      <c r="D17" s="758"/>
      <c r="E17" s="758"/>
      <c r="F17" s="758"/>
      <c r="G17" s="442">
        <v>566</v>
      </c>
      <c r="H17" s="571">
        <v>772</v>
      </c>
      <c r="I17" s="566">
        <v>772</v>
      </c>
    </row>
    <row r="18" spans="1:9" ht="15.75">
      <c r="A18" s="759" t="s">
        <v>52</v>
      </c>
      <c r="B18" s="760"/>
      <c r="C18" s="760"/>
      <c r="D18" s="760"/>
      <c r="E18" s="760"/>
      <c r="F18" s="760"/>
      <c r="G18" s="440">
        <f>SUM(G17)</f>
        <v>566</v>
      </c>
      <c r="H18" s="572">
        <f>SUM(H17)</f>
        <v>772</v>
      </c>
      <c r="I18" s="567">
        <f>SUM(I17)</f>
        <v>772</v>
      </c>
    </row>
    <row r="19" spans="1:9" ht="15.75">
      <c r="A19" s="750" t="s">
        <v>53</v>
      </c>
      <c r="B19" s="751"/>
      <c r="C19" s="751"/>
      <c r="D19" s="751"/>
      <c r="E19" s="751"/>
      <c r="F19" s="751"/>
      <c r="G19" s="439">
        <v>566</v>
      </c>
      <c r="H19" s="573">
        <v>0</v>
      </c>
      <c r="I19" s="568"/>
    </row>
    <row r="20" spans="1:9" ht="15.75">
      <c r="A20" s="763" t="s">
        <v>185</v>
      </c>
      <c r="B20" s="764"/>
      <c r="C20" s="764"/>
      <c r="D20" s="764"/>
      <c r="E20" s="764"/>
      <c r="F20" s="764"/>
      <c r="G20" s="439"/>
      <c r="H20" s="574">
        <v>737</v>
      </c>
      <c r="I20" s="569">
        <v>737</v>
      </c>
    </row>
    <row r="21" spans="1:9" ht="15.75">
      <c r="A21" s="763" t="s">
        <v>538</v>
      </c>
      <c r="B21" s="764"/>
      <c r="C21" s="764"/>
      <c r="D21" s="764"/>
      <c r="E21" s="764"/>
      <c r="F21" s="764"/>
      <c r="G21" s="439"/>
      <c r="H21" s="574">
        <v>35</v>
      </c>
      <c r="I21" s="569">
        <v>35</v>
      </c>
    </row>
    <row r="22" spans="1:9" ht="16.5" thickBot="1">
      <c r="A22" s="752" t="s">
        <v>54</v>
      </c>
      <c r="B22" s="753"/>
      <c r="C22" s="753"/>
      <c r="D22" s="753"/>
      <c r="E22" s="753"/>
      <c r="F22" s="753"/>
      <c r="G22" s="444">
        <f>SUM(G19:G21)</f>
        <v>566</v>
      </c>
      <c r="H22" s="575">
        <f>SUM(H19:H21)</f>
        <v>772</v>
      </c>
      <c r="I22" s="570">
        <f>SUM(I19:I21)</f>
        <v>772</v>
      </c>
    </row>
    <row r="23" spans="1:8" ht="16.5" thickTop="1">
      <c r="A23" s="361"/>
      <c r="B23" s="361"/>
      <c r="C23" s="361"/>
      <c r="D23" s="361"/>
      <c r="E23" s="361"/>
      <c r="F23" s="361"/>
      <c r="G23" s="361"/>
      <c r="H23" s="361"/>
    </row>
    <row r="24" spans="1:9" ht="15.75">
      <c r="A24" s="761" t="s">
        <v>56</v>
      </c>
      <c r="B24" s="761"/>
      <c r="C24" s="761"/>
      <c r="D24" s="761"/>
      <c r="E24" s="761"/>
      <c r="F24" s="761"/>
      <c r="G24" s="761"/>
      <c r="H24" s="761"/>
      <c r="I24" s="761"/>
    </row>
    <row r="25" spans="1:9" ht="15.75">
      <c r="A25" s="761" t="s">
        <v>49</v>
      </c>
      <c r="B25" s="761"/>
      <c r="C25" s="761"/>
      <c r="D25" s="761"/>
      <c r="E25" s="761"/>
      <c r="F25" s="761"/>
      <c r="G25" s="761"/>
      <c r="H25" s="761"/>
      <c r="I25" s="761"/>
    </row>
    <row r="26" spans="1:9" ht="16.5" thickBot="1">
      <c r="A26" s="361"/>
      <c r="B26" s="361"/>
      <c r="C26" s="361"/>
      <c r="D26" s="361"/>
      <c r="E26" s="362" t="s">
        <v>8</v>
      </c>
      <c r="F26" s="361"/>
      <c r="G26" s="361"/>
      <c r="H26" s="361"/>
      <c r="I26" s="437"/>
    </row>
    <row r="27" spans="1:9" ht="19.5" customHeight="1" thickBot="1" thickTop="1">
      <c r="A27" s="756" t="s">
        <v>50</v>
      </c>
      <c r="B27" s="756"/>
      <c r="C27" s="756"/>
      <c r="D27" s="756"/>
      <c r="E27" s="756"/>
      <c r="F27" s="756"/>
      <c r="G27" s="438" t="s">
        <v>490</v>
      </c>
      <c r="H27" s="564" t="s">
        <v>496</v>
      </c>
      <c r="I27" s="565" t="s">
        <v>85</v>
      </c>
    </row>
    <row r="28" spans="1:9" s="363" customFormat="1" ht="16.5" thickTop="1">
      <c r="A28" s="757" t="s">
        <v>51</v>
      </c>
      <c r="B28" s="758"/>
      <c r="C28" s="758"/>
      <c r="D28" s="758"/>
      <c r="E28" s="758"/>
      <c r="F28" s="758"/>
      <c r="G28" s="445">
        <v>566</v>
      </c>
      <c r="H28" s="576">
        <v>1280</v>
      </c>
      <c r="I28" s="554">
        <v>1280</v>
      </c>
    </row>
    <row r="29" spans="1:9" s="363" customFormat="1" ht="15.75">
      <c r="A29" s="750" t="s">
        <v>58</v>
      </c>
      <c r="B29" s="751"/>
      <c r="C29" s="751"/>
      <c r="D29" s="751"/>
      <c r="E29" s="751"/>
      <c r="F29" s="751"/>
      <c r="G29" s="445" t="s">
        <v>8</v>
      </c>
      <c r="H29" s="559">
        <v>30</v>
      </c>
      <c r="I29" s="557">
        <v>30</v>
      </c>
    </row>
    <row r="30" spans="1:9" ht="15.75">
      <c r="A30" s="759" t="s">
        <v>52</v>
      </c>
      <c r="B30" s="760"/>
      <c r="C30" s="760"/>
      <c r="D30" s="760"/>
      <c r="E30" s="760"/>
      <c r="F30" s="760"/>
      <c r="G30" s="446">
        <f>SUM(G28:G29)</f>
        <v>566</v>
      </c>
      <c r="H30" s="560">
        <f>SUM(H28:H29)</f>
        <v>1310</v>
      </c>
      <c r="I30" s="555">
        <f>SUM(I28:I29)</f>
        <v>1310</v>
      </c>
    </row>
    <row r="31" spans="1:9" ht="15.75">
      <c r="A31" s="750" t="s">
        <v>53</v>
      </c>
      <c r="B31" s="751"/>
      <c r="C31" s="751"/>
      <c r="D31" s="751"/>
      <c r="E31" s="751"/>
      <c r="F31" s="751"/>
      <c r="G31" s="447">
        <v>566</v>
      </c>
      <c r="H31" s="559">
        <v>0</v>
      </c>
      <c r="I31" s="557"/>
    </row>
    <row r="32" spans="1:9" ht="15.75">
      <c r="A32" s="763" t="s">
        <v>185</v>
      </c>
      <c r="B32" s="764"/>
      <c r="C32" s="764"/>
      <c r="D32" s="764"/>
      <c r="E32" s="764"/>
      <c r="F32" s="764"/>
      <c r="G32" s="447"/>
      <c r="H32" s="559">
        <v>925</v>
      </c>
      <c r="I32" s="557">
        <v>925</v>
      </c>
    </row>
    <row r="33" spans="1:9" ht="15.75">
      <c r="A33" s="763" t="s">
        <v>186</v>
      </c>
      <c r="B33" s="764"/>
      <c r="C33" s="764"/>
      <c r="D33" s="764"/>
      <c r="E33" s="764"/>
      <c r="F33" s="764"/>
      <c r="G33" s="447"/>
      <c r="H33" s="559">
        <v>350</v>
      </c>
      <c r="I33" s="557">
        <v>350</v>
      </c>
    </row>
    <row r="34" spans="1:9" ht="15.75">
      <c r="A34" s="763" t="s">
        <v>538</v>
      </c>
      <c r="B34" s="764"/>
      <c r="C34" s="764"/>
      <c r="D34" s="764"/>
      <c r="E34" s="764"/>
      <c r="F34" s="764"/>
      <c r="G34" s="447"/>
      <c r="H34" s="559">
        <v>35</v>
      </c>
      <c r="I34" s="557">
        <v>35</v>
      </c>
    </row>
    <row r="35" spans="1:9" ht="16.5" thickBot="1">
      <c r="A35" s="752" t="s">
        <v>54</v>
      </c>
      <c r="B35" s="753"/>
      <c r="C35" s="753"/>
      <c r="D35" s="753"/>
      <c r="E35" s="753"/>
      <c r="F35" s="753"/>
      <c r="G35" s="448">
        <f>SUM(G31:G34)</f>
        <v>566</v>
      </c>
      <c r="H35" s="562">
        <f>SUM(H31:H34)</f>
        <v>1310</v>
      </c>
      <c r="I35" s="558">
        <f>SUM(I31:I34)</f>
        <v>1310</v>
      </c>
    </row>
    <row r="36" spans="1:9" ht="16.5" thickTop="1">
      <c r="A36" s="361"/>
      <c r="B36" s="361"/>
      <c r="C36" s="361"/>
      <c r="D36" s="361"/>
      <c r="E36" s="361"/>
      <c r="F36" s="361"/>
      <c r="G36" s="361"/>
      <c r="H36" s="361"/>
      <c r="I36"/>
    </row>
    <row r="37" spans="1:9" ht="15.75">
      <c r="A37" s="761" t="s">
        <v>457</v>
      </c>
      <c r="B37" s="761"/>
      <c r="C37" s="761"/>
      <c r="D37" s="761"/>
      <c r="E37" s="761"/>
      <c r="F37" s="761"/>
      <c r="G37" s="761"/>
      <c r="H37" s="761"/>
      <c r="I37" s="761"/>
    </row>
    <row r="38" spans="1:9" ht="15.75">
      <c r="A38" s="761" t="s">
        <v>49</v>
      </c>
      <c r="B38" s="761"/>
      <c r="C38" s="761"/>
      <c r="D38" s="761"/>
      <c r="E38" s="761"/>
      <c r="F38" s="761"/>
      <c r="G38" s="761"/>
      <c r="H38" s="761"/>
      <c r="I38" s="761"/>
    </row>
    <row r="39" spans="1:9" ht="16.5" thickBot="1">
      <c r="A39" s="361"/>
      <c r="B39" s="361"/>
      <c r="C39" s="361"/>
      <c r="D39" s="361"/>
      <c r="E39" s="362" t="s">
        <v>8</v>
      </c>
      <c r="F39" s="361"/>
      <c r="G39" s="361"/>
      <c r="H39" s="361"/>
      <c r="I39" s="437"/>
    </row>
    <row r="40" spans="1:9" ht="19.5" customHeight="1" thickBot="1" thickTop="1">
      <c r="A40" s="756" t="s">
        <v>50</v>
      </c>
      <c r="B40" s="756"/>
      <c r="C40" s="756"/>
      <c r="D40" s="756"/>
      <c r="E40" s="756"/>
      <c r="F40" s="756"/>
      <c r="G40" s="438" t="s">
        <v>490</v>
      </c>
      <c r="H40" s="564" t="s">
        <v>496</v>
      </c>
      <c r="I40" s="565" t="s">
        <v>85</v>
      </c>
    </row>
    <row r="41" spans="1:9" s="363" customFormat="1" ht="16.5" thickTop="1">
      <c r="A41" s="757" t="s">
        <v>51</v>
      </c>
      <c r="B41" s="758"/>
      <c r="C41" s="758"/>
      <c r="D41" s="758"/>
      <c r="E41" s="758"/>
      <c r="F41" s="758"/>
      <c r="G41" s="445">
        <v>1698</v>
      </c>
      <c r="H41" s="576">
        <v>3235</v>
      </c>
      <c r="I41" s="557">
        <v>3235</v>
      </c>
    </row>
    <row r="42" spans="1:9" s="363" customFormat="1" ht="15.75">
      <c r="A42" s="769" t="s">
        <v>58</v>
      </c>
      <c r="B42" s="770"/>
      <c r="C42" s="770"/>
      <c r="D42" s="770"/>
      <c r="E42" s="770"/>
      <c r="F42" s="770"/>
      <c r="G42" s="445"/>
      <c r="H42" s="559">
        <v>30</v>
      </c>
      <c r="I42" s="557">
        <v>30</v>
      </c>
    </row>
    <row r="43" spans="1:9" ht="15.75">
      <c r="A43" s="759" t="s">
        <v>52</v>
      </c>
      <c r="B43" s="760"/>
      <c r="C43" s="760"/>
      <c r="D43" s="760"/>
      <c r="E43" s="760"/>
      <c r="F43" s="760"/>
      <c r="G43" s="446">
        <f>SUM(G41:G42)</f>
        <v>1698</v>
      </c>
      <c r="H43" s="446">
        <f>SUM(H41:H42)</f>
        <v>3265</v>
      </c>
      <c r="I43" s="579">
        <f>SUM(I41:I42)</f>
        <v>3265</v>
      </c>
    </row>
    <row r="44" spans="1:9" ht="15.75">
      <c r="A44" s="750" t="s">
        <v>53</v>
      </c>
      <c r="B44" s="751"/>
      <c r="C44" s="751"/>
      <c r="D44" s="751"/>
      <c r="E44" s="751"/>
      <c r="F44" s="751"/>
      <c r="G44" s="447">
        <v>1698</v>
      </c>
      <c r="H44" s="559">
        <v>0</v>
      </c>
      <c r="I44" s="557"/>
    </row>
    <row r="45" spans="1:9" ht="15.75">
      <c r="A45" s="763" t="s">
        <v>185</v>
      </c>
      <c r="B45" s="764"/>
      <c r="C45" s="764"/>
      <c r="D45" s="764"/>
      <c r="E45" s="764"/>
      <c r="F45" s="764"/>
      <c r="G45" s="447"/>
      <c r="H45" s="559">
        <v>2484</v>
      </c>
      <c r="I45" s="557">
        <v>2484</v>
      </c>
    </row>
    <row r="46" spans="1:9" ht="15.75">
      <c r="A46" s="763" t="s">
        <v>186</v>
      </c>
      <c r="B46" s="764"/>
      <c r="C46" s="764"/>
      <c r="D46" s="764"/>
      <c r="E46" s="764"/>
      <c r="F46" s="764"/>
      <c r="G46" s="447"/>
      <c r="H46" s="559">
        <v>350</v>
      </c>
      <c r="I46" s="557">
        <v>350</v>
      </c>
    </row>
    <row r="47" spans="1:9" ht="15.75">
      <c r="A47" s="763" t="s">
        <v>538</v>
      </c>
      <c r="B47" s="764"/>
      <c r="C47" s="764"/>
      <c r="D47" s="764"/>
      <c r="E47" s="764"/>
      <c r="F47" s="764"/>
      <c r="G47" s="447"/>
      <c r="H47" s="559">
        <v>431</v>
      </c>
      <c r="I47" s="557">
        <v>431</v>
      </c>
    </row>
    <row r="48" spans="1:9" ht="16.5" thickBot="1">
      <c r="A48" s="767" t="s">
        <v>54</v>
      </c>
      <c r="B48" s="768"/>
      <c r="C48" s="768"/>
      <c r="D48" s="768"/>
      <c r="E48" s="768"/>
      <c r="F48" s="768"/>
      <c r="G48" s="448">
        <f>SUM(G44:G47)</f>
        <v>1698</v>
      </c>
      <c r="H48" s="562">
        <f>SUM(H44:H47)</f>
        <v>3265</v>
      </c>
      <c r="I48" s="558">
        <f>SUM(I44:I47)</f>
        <v>3265</v>
      </c>
    </row>
    <row r="49" spans="1:9" ht="13.5" thickTop="1">
      <c r="A49"/>
      <c r="B49"/>
      <c r="C49"/>
      <c r="D49"/>
      <c r="E49"/>
      <c r="F49"/>
      <c r="G49"/>
      <c r="H49"/>
      <c r="I49"/>
    </row>
    <row r="53" ht="12.75">
      <c r="I53" s="443"/>
    </row>
  </sheetData>
  <mergeCells count="40">
    <mergeCell ref="A42:F42"/>
    <mergeCell ref="A33:F33"/>
    <mergeCell ref="A30:F30"/>
    <mergeCell ref="A40:F40"/>
    <mergeCell ref="A41:F41"/>
    <mergeCell ref="A31:F31"/>
    <mergeCell ref="A34:F34"/>
    <mergeCell ref="A35:F35"/>
    <mergeCell ref="A37:I37"/>
    <mergeCell ref="A32:F32"/>
    <mergeCell ref="A19:F19"/>
    <mergeCell ref="A20:F20"/>
    <mergeCell ref="A27:F27"/>
    <mergeCell ref="A48:F48"/>
    <mergeCell ref="A43:F43"/>
    <mergeCell ref="A44:F44"/>
    <mergeCell ref="A45:F45"/>
    <mergeCell ref="A46:F46"/>
    <mergeCell ref="A47:F47"/>
    <mergeCell ref="A38:I38"/>
    <mergeCell ref="A2:I2"/>
    <mergeCell ref="A5:F5"/>
    <mergeCell ref="A11:F11"/>
    <mergeCell ref="A21:F21"/>
    <mergeCell ref="A3:I3"/>
    <mergeCell ref="A13:I13"/>
    <mergeCell ref="A14:I14"/>
    <mergeCell ref="A7:F7"/>
    <mergeCell ref="A8:F8"/>
    <mergeCell ref="A9:F9"/>
    <mergeCell ref="A29:F29"/>
    <mergeCell ref="A22:F22"/>
    <mergeCell ref="A6:F6"/>
    <mergeCell ref="A16:F16"/>
    <mergeCell ref="A17:F17"/>
    <mergeCell ref="A18:F18"/>
    <mergeCell ref="A25:I25"/>
    <mergeCell ref="A24:I24"/>
    <mergeCell ref="A10:F10"/>
    <mergeCell ref="A28:F28"/>
  </mergeCells>
  <printOptions horizontalCentered="1"/>
  <pageMargins left="0.31496062992125984" right="0.35433070866141736" top="0.48" bottom="0.5511811023622047" header="0.34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9"/>
  <sheetViews>
    <sheetView workbookViewId="0" topLeftCell="B28">
      <selection activeCell="H46" sqref="H46"/>
    </sheetView>
  </sheetViews>
  <sheetFormatPr defaultColWidth="9.00390625" defaultRowHeight="12.75"/>
  <cols>
    <col min="1" max="1" width="57.875" style="13" customWidth="1"/>
    <col min="2" max="4" width="11.75390625" style="13" customWidth="1"/>
    <col min="5" max="5" width="51.375" style="13" customWidth="1"/>
    <col min="6" max="8" width="11.75390625" style="13" customWidth="1"/>
    <col min="9" max="16384" width="9.125" style="13" customWidth="1"/>
  </cols>
  <sheetData>
    <row r="1" spans="1:5" ht="12.75">
      <c r="A1" s="252" t="s">
        <v>540</v>
      </c>
      <c r="B1" s="11"/>
      <c r="C1" s="11"/>
      <c r="D1" s="11"/>
      <c r="E1" s="12"/>
    </row>
    <row r="2" ht="12" customHeight="1"/>
    <row r="3" spans="1:7" s="27" customFormat="1" ht="15">
      <c r="A3" s="660" t="s">
        <v>220</v>
      </c>
      <c r="B3" s="661"/>
      <c r="C3" s="661"/>
      <c r="D3" s="661"/>
      <c r="E3" s="661"/>
      <c r="F3" s="646"/>
      <c r="G3" s="646"/>
    </row>
    <row r="4" spans="1:5" ht="15.75" thickBot="1">
      <c r="A4" s="49"/>
      <c r="B4" s="49"/>
      <c r="C4" s="49"/>
      <c r="D4" s="49"/>
      <c r="E4" s="49"/>
    </row>
    <row r="5" spans="1:8" ht="14.25">
      <c r="A5" s="662" t="s">
        <v>518</v>
      </c>
      <c r="B5" s="666"/>
      <c r="C5" s="667"/>
      <c r="D5" s="668"/>
      <c r="E5" s="662" t="s">
        <v>519</v>
      </c>
      <c r="F5" s="663"/>
      <c r="G5" s="664"/>
      <c r="H5" s="665"/>
    </row>
    <row r="6" spans="1:8" ht="15" thickBot="1">
      <c r="A6" s="94"/>
      <c r="B6" s="308" t="s">
        <v>491</v>
      </c>
      <c r="C6" s="398" t="s">
        <v>496</v>
      </c>
      <c r="D6" s="398" t="s">
        <v>85</v>
      </c>
      <c r="E6" s="95"/>
      <c r="F6" s="308" t="s">
        <v>490</v>
      </c>
      <c r="G6" s="308" t="s">
        <v>496</v>
      </c>
      <c r="H6" s="308" t="s">
        <v>85</v>
      </c>
    </row>
    <row r="7" spans="1:8" ht="15">
      <c r="A7" s="96" t="s">
        <v>541</v>
      </c>
      <c r="B7" s="97">
        <v>186924</v>
      </c>
      <c r="C7" s="97">
        <v>211936</v>
      </c>
      <c r="D7" s="97">
        <v>217551</v>
      </c>
      <c r="E7" s="98" t="s">
        <v>542</v>
      </c>
      <c r="F7" s="99">
        <v>1781603</v>
      </c>
      <c r="G7" s="99">
        <v>1888267</v>
      </c>
      <c r="H7" s="99">
        <v>1912628</v>
      </c>
    </row>
    <row r="8" spans="1:8" ht="15">
      <c r="A8" s="100" t="s">
        <v>579</v>
      </c>
      <c r="B8" s="97">
        <v>1908453</v>
      </c>
      <c r="C8" s="97">
        <v>1907498</v>
      </c>
      <c r="D8" s="97">
        <v>1907498</v>
      </c>
      <c r="E8" s="101" t="s">
        <v>543</v>
      </c>
      <c r="F8" s="102">
        <v>474811</v>
      </c>
      <c r="G8" s="102">
        <v>505000</v>
      </c>
      <c r="H8" s="102">
        <v>500648</v>
      </c>
    </row>
    <row r="9" spans="1:8" ht="15">
      <c r="A9" s="100" t="s">
        <v>536</v>
      </c>
      <c r="B9" s="97">
        <v>862671</v>
      </c>
      <c r="C9" s="97">
        <v>852035</v>
      </c>
      <c r="D9" s="97">
        <v>852035</v>
      </c>
      <c r="E9" s="103" t="s">
        <v>493</v>
      </c>
      <c r="F9" s="102">
        <v>1303565</v>
      </c>
      <c r="G9" s="102">
        <v>1409982</v>
      </c>
      <c r="H9" s="102">
        <v>1418432</v>
      </c>
    </row>
    <row r="10" spans="1:8" ht="15">
      <c r="A10" s="100" t="s">
        <v>475</v>
      </c>
      <c r="B10" s="97">
        <v>745910</v>
      </c>
      <c r="C10" s="97">
        <v>766633</v>
      </c>
      <c r="D10" s="97">
        <v>766633</v>
      </c>
      <c r="E10" s="101" t="s">
        <v>544</v>
      </c>
      <c r="F10" s="102">
        <v>252456</v>
      </c>
      <c r="G10" s="102">
        <v>316921</v>
      </c>
      <c r="H10" s="102">
        <v>322421</v>
      </c>
    </row>
    <row r="11" spans="1:8" ht="15">
      <c r="A11" s="100" t="s">
        <v>484</v>
      </c>
      <c r="B11" s="97">
        <v>2700</v>
      </c>
      <c r="C11" s="97">
        <v>20073</v>
      </c>
      <c r="D11" s="97">
        <v>20260</v>
      </c>
      <c r="E11" s="101" t="s">
        <v>545</v>
      </c>
      <c r="F11" s="102">
        <v>223696</v>
      </c>
      <c r="G11" s="102">
        <v>235126</v>
      </c>
      <c r="H11" s="102">
        <v>230376</v>
      </c>
    </row>
    <row r="12" spans="1:8" ht="15">
      <c r="A12" s="104" t="s">
        <v>501</v>
      </c>
      <c r="B12" s="97">
        <v>1698</v>
      </c>
      <c r="C12" s="97"/>
      <c r="D12" s="97"/>
      <c r="E12" s="100" t="s">
        <v>546</v>
      </c>
      <c r="F12" s="102">
        <v>9378</v>
      </c>
      <c r="G12" s="102">
        <v>9378</v>
      </c>
      <c r="H12" s="102">
        <v>9378</v>
      </c>
    </row>
    <row r="13" spans="1:8" ht="15">
      <c r="A13" s="104" t="s">
        <v>442</v>
      </c>
      <c r="B13" s="105">
        <v>190225</v>
      </c>
      <c r="C13" s="105">
        <v>190439</v>
      </c>
      <c r="D13" s="105">
        <v>203939</v>
      </c>
      <c r="E13" s="100" t="s">
        <v>565</v>
      </c>
      <c r="F13" s="102">
        <v>15000</v>
      </c>
      <c r="G13" s="102">
        <v>1289</v>
      </c>
      <c r="H13" s="102">
        <v>1106</v>
      </c>
    </row>
    <row r="14" spans="1:8" ht="15">
      <c r="A14" s="100" t="s">
        <v>88</v>
      </c>
      <c r="B14" s="102">
        <v>5000</v>
      </c>
      <c r="C14" s="102">
        <v>11587</v>
      </c>
      <c r="D14" s="102">
        <v>11587</v>
      </c>
      <c r="E14" s="106" t="s">
        <v>448</v>
      </c>
      <c r="F14" s="102"/>
      <c r="G14" s="102"/>
      <c r="H14" s="102"/>
    </row>
    <row r="15" spans="1:8" ht="15">
      <c r="A15" s="107" t="s">
        <v>485</v>
      </c>
      <c r="B15" s="108">
        <v>150000</v>
      </c>
      <c r="C15" s="108">
        <v>252329</v>
      </c>
      <c r="D15" s="108">
        <v>252329</v>
      </c>
      <c r="E15" s="109" t="s">
        <v>435</v>
      </c>
      <c r="F15" s="108">
        <v>136900</v>
      </c>
      <c r="G15" s="102">
        <v>12000</v>
      </c>
      <c r="H15" s="102">
        <v>45076</v>
      </c>
    </row>
    <row r="16" spans="1:8" ht="15">
      <c r="A16" s="100" t="s">
        <v>227</v>
      </c>
      <c r="B16" s="102">
        <v>144668</v>
      </c>
      <c r="C16" s="102">
        <v>164332</v>
      </c>
      <c r="D16" s="102">
        <v>175477</v>
      </c>
      <c r="E16" s="224" t="s">
        <v>228</v>
      </c>
      <c r="F16" s="102">
        <v>840</v>
      </c>
      <c r="G16" s="102">
        <v>840</v>
      </c>
      <c r="H16" s="102">
        <v>840</v>
      </c>
    </row>
    <row r="17" spans="1:8" ht="15">
      <c r="A17" s="101" t="s">
        <v>53</v>
      </c>
      <c r="B17" s="99"/>
      <c r="C17" s="99">
        <v>75104</v>
      </c>
      <c r="D17" s="99">
        <v>80854</v>
      </c>
      <c r="E17" s="392" t="s">
        <v>89</v>
      </c>
      <c r="F17" s="99"/>
      <c r="G17" s="102"/>
      <c r="H17" s="102"/>
    </row>
    <row r="18" spans="1:8" ht="15">
      <c r="A18" s="101" t="s">
        <v>346</v>
      </c>
      <c r="B18" s="99"/>
      <c r="C18" s="99"/>
      <c r="D18" s="99">
        <v>2654</v>
      </c>
      <c r="E18" s="392" t="s">
        <v>90</v>
      </c>
      <c r="F18" s="99"/>
      <c r="G18" s="102">
        <v>8000</v>
      </c>
      <c r="H18" s="102">
        <v>8000</v>
      </c>
    </row>
    <row r="19" spans="1:8" ht="15">
      <c r="A19" s="100"/>
      <c r="B19" s="102"/>
      <c r="C19" s="102"/>
      <c r="D19" s="102"/>
      <c r="E19" s="224" t="s">
        <v>91</v>
      </c>
      <c r="F19" s="102"/>
      <c r="G19" s="102">
        <v>4587</v>
      </c>
      <c r="H19" s="102">
        <v>4587</v>
      </c>
    </row>
    <row r="20" spans="1:8" ht="15">
      <c r="A20" s="100"/>
      <c r="B20" s="102"/>
      <c r="C20" s="102"/>
      <c r="D20" s="102"/>
      <c r="E20" s="461" t="s">
        <v>92</v>
      </c>
      <c r="F20" s="102"/>
      <c r="G20" s="105">
        <v>15000</v>
      </c>
      <c r="H20" s="105">
        <v>15000</v>
      </c>
    </row>
    <row r="21" spans="1:8" ht="15">
      <c r="A21" s="100"/>
      <c r="B21" s="102"/>
      <c r="C21" s="102"/>
      <c r="D21" s="592"/>
      <c r="E21" s="224" t="s">
        <v>192</v>
      </c>
      <c r="F21" s="102"/>
      <c r="G21" s="102">
        <v>2000</v>
      </c>
      <c r="H21" s="105">
        <v>2000</v>
      </c>
    </row>
    <row r="22" spans="1:8" ht="15.75" thickBot="1">
      <c r="A22" s="591"/>
      <c r="B22" s="307"/>
      <c r="C22" s="307"/>
      <c r="D22" s="307"/>
      <c r="E22" s="101" t="s">
        <v>346</v>
      </c>
      <c r="F22" s="307"/>
      <c r="G22" s="590"/>
      <c r="H22" s="590">
        <v>2654</v>
      </c>
    </row>
    <row r="23" spans="1:256" s="29" customFormat="1" ht="15" thickBot="1">
      <c r="A23" s="110" t="s">
        <v>547</v>
      </c>
      <c r="B23" s="111">
        <f>SUM(B7:B22)</f>
        <v>4198249</v>
      </c>
      <c r="C23" s="111">
        <f>SUM(C7:C22)</f>
        <v>4451966</v>
      </c>
      <c r="D23" s="111">
        <f>SUM(D7:D22)</f>
        <v>4490817</v>
      </c>
      <c r="E23" s="110" t="s">
        <v>547</v>
      </c>
      <c r="F23" s="111">
        <f>SUM(F7:F22)</f>
        <v>4198249</v>
      </c>
      <c r="G23" s="111">
        <f>SUM(G7:G22)</f>
        <v>4408390</v>
      </c>
      <c r="H23" s="111">
        <f>SUM(H7:H22)</f>
        <v>4473146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</row>
    <row r="24" spans="1:6" s="28" customFormat="1" ht="15">
      <c r="A24" s="50"/>
      <c r="B24" s="50"/>
      <c r="C24" s="50"/>
      <c r="D24" s="50"/>
      <c r="E24" s="50"/>
      <c r="F24" s="112"/>
    </row>
    <row r="25" spans="1:6" ht="15">
      <c r="A25" s="253" t="s">
        <v>548</v>
      </c>
      <c r="B25" s="51"/>
      <c r="C25" s="51"/>
      <c r="D25" s="51"/>
      <c r="E25" s="49"/>
      <c r="F25" s="49"/>
    </row>
    <row r="26" spans="1:5" ht="13.5" customHeight="1">
      <c r="A26" s="49"/>
      <c r="B26" s="49"/>
      <c r="C26" s="49"/>
      <c r="D26" s="49"/>
      <c r="E26" s="52"/>
    </row>
    <row r="27" spans="1:7" s="27" customFormat="1" ht="15">
      <c r="A27" s="660" t="s">
        <v>221</v>
      </c>
      <c r="B27" s="661"/>
      <c r="C27" s="661"/>
      <c r="D27" s="661"/>
      <c r="E27" s="661"/>
      <c r="F27" s="646"/>
      <c r="G27" s="646"/>
    </row>
    <row r="28" spans="1:5" ht="14.25" customHeight="1" thickBot="1">
      <c r="A28" s="49"/>
      <c r="B28" s="49"/>
      <c r="C28" s="49"/>
      <c r="D28" s="49"/>
      <c r="E28" s="48"/>
    </row>
    <row r="29" spans="1:8" s="27" customFormat="1" ht="14.25">
      <c r="A29" s="662" t="s">
        <v>518</v>
      </c>
      <c r="B29" s="666"/>
      <c r="C29" s="667"/>
      <c r="D29" s="668"/>
      <c r="E29" s="662" t="s">
        <v>519</v>
      </c>
      <c r="F29" s="663"/>
      <c r="G29" s="664"/>
      <c r="H29" s="665"/>
    </row>
    <row r="30" spans="1:8" s="27" customFormat="1" ht="15" thickBot="1">
      <c r="A30" s="113"/>
      <c r="B30" s="308" t="s">
        <v>491</v>
      </c>
      <c r="C30" s="398" t="s">
        <v>496</v>
      </c>
      <c r="D30" s="398" t="s">
        <v>85</v>
      </c>
      <c r="E30" s="114"/>
      <c r="F30" s="308" t="s">
        <v>491</v>
      </c>
      <c r="G30" s="308" t="s">
        <v>496</v>
      </c>
      <c r="H30" s="308" t="s">
        <v>85</v>
      </c>
    </row>
    <row r="31" spans="1:8" s="27" customFormat="1" ht="15">
      <c r="A31" s="101" t="s">
        <v>573</v>
      </c>
      <c r="B31" s="99">
        <v>45800</v>
      </c>
      <c r="C31" s="99">
        <v>45800</v>
      </c>
      <c r="D31" s="99">
        <v>45800</v>
      </c>
      <c r="E31" s="100" t="s">
        <v>530</v>
      </c>
      <c r="F31" s="99">
        <v>4313681</v>
      </c>
      <c r="G31" s="99">
        <v>4168919</v>
      </c>
      <c r="H31" s="99">
        <v>4170891</v>
      </c>
    </row>
    <row r="32" spans="1:8" ht="15">
      <c r="A32" s="101" t="s">
        <v>531</v>
      </c>
      <c r="B32" s="99">
        <v>148000</v>
      </c>
      <c r="C32" s="99">
        <v>148000</v>
      </c>
      <c r="D32" s="99">
        <v>148000</v>
      </c>
      <c r="E32" s="101" t="s">
        <v>549</v>
      </c>
      <c r="F32" s="102">
        <v>212168</v>
      </c>
      <c r="G32" s="102">
        <v>247362</v>
      </c>
      <c r="H32" s="102">
        <v>221679</v>
      </c>
    </row>
    <row r="33" spans="1:8" ht="15">
      <c r="A33" s="101" t="s">
        <v>460</v>
      </c>
      <c r="B33" s="99">
        <v>72000</v>
      </c>
      <c r="C33" s="99">
        <v>72000</v>
      </c>
      <c r="D33" s="99">
        <v>72000</v>
      </c>
      <c r="E33" s="101" t="s">
        <v>487</v>
      </c>
      <c r="F33" s="102">
        <v>13573</v>
      </c>
      <c r="G33" s="102">
        <v>13573</v>
      </c>
      <c r="H33" s="102">
        <v>13573</v>
      </c>
    </row>
    <row r="34" spans="1:8" ht="15">
      <c r="A34" s="100" t="s">
        <v>492</v>
      </c>
      <c r="B34" s="102">
        <v>18464</v>
      </c>
      <c r="C34" s="99">
        <v>147364</v>
      </c>
      <c r="D34" s="99">
        <v>147364</v>
      </c>
      <c r="E34" s="98" t="s">
        <v>550</v>
      </c>
      <c r="F34" s="102">
        <v>372877</v>
      </c>
      <c r="G34" s="102">
        <v>415921</v>
      </c>
      <c r="H34" s="102">
        <v>414040</v>
      </c>
    </row>
    <row r="35" spans="1:8" ht="15">
      <c r="A35" s="101" t="s">
        <v>461</v>
      </c>
      <c r="B35" s="99">
        <v>6700</v>
      </c>
      <c r="C35" s="307">
        <v>6700</v>
      </c>
      <c r="D35" s="307">
        <v>6700</v>
      </c>
      <c r="E35" s="107" t="s">
        <v>551</v>
      </c>
      <c r="F35" s="102">
        <v>2598</v>
      </c>
      <c r="G35" s="102">
        <v>2598</v>
      </c>
      <c r="H35" s="102">
        <v>2598</v>
      </c>
    </row>
    <row r="36" spans="1:8" ht="15">
      <c r="A36" s="100" t="s">
        <v>443</v>
      </c>
      <c r="B36" s="102">
        <v>15661</v>
      </c>
      <c r="C36" s="102">
        <v>15661</v>
      </c>
      <c r="D36" s="102">
        <v>15661</v>
      </c>
      <c r="E36" s="100" t="s">
        <v>467</v>
      </c>
      <c r="F36" s="102">
        <v>8500</v>
      </c>
      <c r="G36" s="102">
        <v>8600</v>
      </c>
      <c r="H36" s="102">
        <v>8600</v>
      </c>
    </row>
    <row r="37" spans="1:8" ht="15">
      <c r="A37" s="100" t="s">
        <v>486</v>
      </c>
      <c r="B37" s="102">
        <v>2492844</v>
      </c>
      <c r="C37" s="102">
        <v>1873343</v>
      </c>
      <c r="D37" s="102">
        <v>1827085</v>
      </c>
      <c r="E37" s="100" t="s">
        <v>444</v>
      </c>
      <c r="F37" s="102"/>
      <c r="G37" s="102"/>
      <c r="H37" s="102"/>
    </row>
    <row r="38" spans="1:8" ht="15">
      <c r="A38" s="100" t="s">
        <v>552</v>
      </c>
      <c r="B38" s="115">
        <v>9000</v>
      </c>
      <c r="C38" s="115">
        <v>9000</v>
      </c>
      <c r="D38" s="115">
        <v>9000</v>
      </c>
      <c r="E38" s="100" t="s">
        <v>477</v>
      </c>
      <c r="F38" s="102">
        <v>30493</v>
      </c>
      <c r="G38" s="102">
        <v>23</v>
      </c>
      <c r="H38" s="102">
        <v>18</v>
      </c>
    </row>
    <row r="39" spans="1:8" ht="15">
      <c r="A39" s="100" t="s">
        <v>229</v>
      </c>
      <c r="B39" s="115">
        <v>13854</v>
      </c>
      <c r="C39" s="115">
        <v>13854</v>
      </c>
      <c r="D39" s="115">
        <v>13854</v>
      </c>
      <c r="E39" s="100" t="s">
        <v>348</v>
      </c>
      <c r="F39" s="102"/>
      <c r="G39" s="102"/>
      <c r="H39" s="102">
        <v>38494</v>
      </c>
    </row>
    <row r="40" spans="1:8" ht="15">
      <c r="A40" s="100" t="s">
        <v>478</v>
      </c>
      <c r="B40" s="115">
        <v>129000</v>
      </c>
      <c r="C40" s="115">
        <v>129000</v>
      </c>
      <c r="D40" s="115">
        <v>129000</v>
      </c>
      <c r="E40" s="100" t="s">
        <v>556</v>
      </c>
      <c r="F40" s="102">
        <v>18464</v>
      </c>
      <c r="G40" s="102">
        <v>147364</v>
      </c>
      <c r="H40" s="102">
        <v>147364</v>
      </c>
    </row>
    <row r="41" spans="1:8" ht="15">
      <c r="A41" s="100" t="s">
        <v>18</v>
      </c>
      <c r="B41" s="115">
        <v>455000</v>
      </c>
      <c r="C41" s="115">
        <v>455000</v>
      </c>
      <c r="D41" s="115">
        <v>455000</v>
      </c>
      <c r="E41" s="100" t="s">
        <v>494</v>
      </c>
      <c r="F41" s="102">
        <v>128930</v>
      </c>
      <c r="G41" s="102">
        <v>128930</v>
      </c>
      <c r="H41" s="102">
        <v>44825</v>
      </c>
    </row>
    <row r="42" spans="1:8" ht="15">
      <c r="A42" s="100" t="s">
        <v>485</v>
      </c>
      <c r="B42" s="115">
        <v>1700000</v>
      </c>
      <c r="C42" s="115">
        <v>2193878</v>
      </c>
      <c r="D42" s="115">
        <v>2193878</v>
      </c>
      <c r="E42" s="100" t="s">
        <v>648</v>
      </c>
      <c r="F42" s="102">
        <v>5039</v>
      </c>
      <c r="G42" s="102">
        <v>5039</v>
      </c>
      <c r="H42" s="102">
        <v>5039</v>
      </c>
    </row>
    <row r="43" spans="1:8" ht="15">
      <c r="A43" s="100" t="s">
        <v>93</v>
      </c>
      <c r="B43" s="115"/>
      <c r="C43" s="115">
        <v>7319</v>
      </c>
      <c r="D43" s="115">
        <v>7474</v>
      </c>
      <c r="E43" s="100" t="s">
        <v>94</v>
      </c>
      <c r="F43" s="102"/>
      <c r="G43" s="102"/>
      <c r="H43" s="102"/>
    </row>
    <row r="44" spans="1:8" ht="15">
      <c r="A44" s="393" t="s">
        <v>346</v>
      </c>
      <c r="B44" s="394"/>
      <c r="C44" s="394"/>
      <c r="D44" s="394">
        <v>1779</v>
      </c>
      <c r="E44" s="100" t="s">
        <v>193</v>
      </c>
      <c r="F44" s="102"/>
      <c r="G44" s="102">
        <v>22166</v>
      </c>
      <c r="H44" s="102">
        <v>22166</v>
      </c>
    </row>
    <row r="45" spans="1:8" ht="15.75" thickBot="1">
      <c r="A45" s="593" t="s">
        <v>347</v>
      </c>
      <c r="B45" s="594"/>
      <c r="C45" s="594"/>
      <c r="D45" s="594">
        <v>800</v>
      </c>
      <c r="E45" s="393" t="s">
        <v>346</v>
      </c>
      <c r="F45" s="307"/>
      <c r="G45" s="307"/>
      <c r="H45" s="307">
        <v>1779</v>
      </c>
    </row>
    <row r="46" spans="1:8" ht="15" thickBot="1">
      <c r="A46" s="110" t="s">
        <v>547</v>
      </c>
      <c r="B46" s="111">
        <f>SUM(B31:B45)</f>
        <v>5106323</v>
      </c>
      <c r="C46" s="111">
        <f>SUM(C31:C45)</f>
        <v>5116919</v>
      </c>
      <c r="D46" s="111">
        <f>SUM(D31:D45)</f>
        <v>5073395</v>
      </c>
      <c r="E46" s="110" t="s">
        <v>547</v>
      </c>
      <c r="F46" s="111">
        <f>SUM(F31:F45)</f>
        <v>5106323</v>
      </c>
      <c r="G46" s="111">
        <f>SUM(G31:G45)</f>
        <v>5160495</v>
      </c>
      <c r="H46" s="111">
        <f>SUM(H31:H45)</f>
        <v>5091066</v>
      </c>
    </row>
    <row r="47" spans="1:5" ht="12.75">
      <c r="A47" s="27"/>
      <c r="B47" s="30"/>
      <c r="C47" s="30"/>
      <c r="D47" s="30"/>
      <c r="E47" s="30"/>
    </row>
    <row r="48" spans="1:5" ht="12.75">
      <c r="A48" s="12"/>
      <c r="B48" s="15"/>
      <c r="C48" s="15"/>
      <c r="D48" s="15"/>
      <c r="E48" s="14"/>
    </row>
    <row r="49" spans="2:4" ht="12.75">
      <c r="B49" s="12"/>
      <c r="C49" s="12"/>
      <c r="D49" s="12"/>
    </row>
  </sheetData>
  <mergeCells count="6">
    <mergeCell ref="A3:G3"/>
    <mergeCell ref="A27:G27"/>
    <mergeCell ref="E29:H29"/>
    <mergeCell ref="E5:H5"/>
    <mergeCell ref="A5:D5"/>
    <mergeCell ref="A29:D29"/>
  </mergeCells>
  <printOptions horizontalCentered="1"/>
  <pageMargins left="0.15748031496062992" right="0.15748031496062992" top="0.39" bottom="0.36" header="0.15748031496062992" footer="0.1574803149606299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100" workbookViewId="0" topLeftCell="B19">
      <selection activeCell="G37" sqref="G37"/>
    </sheetView>
  </sheetViews>
  <sheetFormatPr defaultColWidth="9.00390625" defaultRowHeight="12.75"/>
  <cols>
    <col min="1" max="1" width="52.00390625" style="0" customWidth="1"/>
    <col min="2" max="2" width="10.75390625" style="0" customWidth="1"/>
    <col min="3" max="4" width="11.75390625" style="0" customWidth="1"/>
    <col min="5" max="5" width="10.75390625" style="0" customWidth="1"/>
    <col min="6" max="7" width="11.75390625" style="0" customWidth="1"/>
    <col min="8" max="8" width="10.875" style="0" customWidth="1"/>
    <col min="9" max="10" width="11.75390625" style="0" customWidth="1"/>
    <col min="11" max="11" width="10.75390625" style="0" customWidth="1"/>
    <col min="12" max="13" width="11.75390625" style="0" customWidth="1"/>
  </cols>
  <sheetData>
    <row r="1" spans="1:11" ht="12.75">
      <c r="A1" s="121" t="s">
        <v>430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3" ht="14.25">
      <c r="A2" s="669" t="s">
        <v>215</v>
      </c>
      <c r="B2" s="669"/>
      <c r="C2" s="669"/>
      <c r="D2" s="669"/>
      <c r="E2" s="669"/>
      <c r="F2" s="669"/>
      <c r="G2" s="669"/>
      <c r="H2" s="669"/>
      <c r="I2" s="669"/>
      <c r="J2" s="669"/>
      <c r="K2" s="646"/>
      <c r="L2" s="646"/>
      <c r="M2" s="646"/>
    </row>
    <row r="3" spans="1:11" ht="15.75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122"/>
    </row>
    <row r="4" spans="1:13" ht="54.75" customHeight="1" thickTop="1">
      <c r="A4" s="123" t="s">
        <v>415</v>
      </c>
      <c r="B4" s="671" t="s">
        <v>580</v>
      </c>
      <c r="C4" s="672"/>
      <c r="D4" s="673"/>
      <c r="E4" s="671" t="s">
        <v>502</v>
      </c>
      <c r="F4" s="672"/>
      <c r="G4" s="673"/>
      <c r="H4" s="671" t="s">
        <v>488</v>
      </c>
      <c r="I4" s="672"/>
      <c r="J4" s="673"/>
      <c r="K4" s="670" t="s">
        <v>506</v>
      </c>
      <c r="L4" s="658"/>
      <c r="M4" s="659"/>
    </row>
    <row r="5" spans="1:13" ht="12.75" customHeight="1">
      <c r="A5" s="124"/>
      <c r="B5" s="125" t="s">
        <v>384</v>
      </c>
      <c r="C5" s="309" t="s">
        <v>496</v>
      </c>
      <c r="D5" s="309" t="s">
        <v>85</v>
      </c>
      <c r="E5" s="125" t="s">
        <v>384</v>
      </c>
      <c r="F5" s="309" t="s">
        <v>496</v>
      </c>
      <c r="G5" s="309" t="s">
        <v>85</v>
      </c>
      <c r="H5" s="125" t="s">
        <v>384</v>
      </c>
      <c r="I5" s="309" t="s">
        <v>496</v>
      </c>
      <c r="J5" s="309" t="s">
        <v>85</v>
      </c>
      <c r="K5" s="309" t="s">
        <v>491</v>
      </c>
      <c r="L5" s="354" t="s">
        <v>496</v>
      </c>
      <c r="M5" s="399" t="s">
        <v>85</v>
      </c>
    </row>
    <row r="6" spans="1:13" ht="12.75">
      <c r="A6" s="126" t="s">
        <v>383</v>
      </c>
      <c r="B6" s="127">
        <v>27500</v>
      </c>
      <c r="C6" s="128">
        <v>40305</v>
      </c>
      <c r="D6" s="128">
        <v>40305</v>
      </c>
      <c r="E6" s="128">
        <v>107829</v>
      </c>
      <c r="F6" s="128">
        <v>113048</v>
      </c>
      <c r="G6" s="128">
        <v>113231</v>
      </c>
      <c r="H6" s="128">
        <v>6400</v>
      </c>
      <c r="I6" s="128">
        <v>11130</v>
      </c>
      <c r="J6" s="128">
        <v>12130</v>
      </c>
      <c r="K6" s="131">
        <f>SUM(B6+E6+H6)</f>
        <v>141729</v>
      </c>
      <c r="L6" s="131">
        <f>SUM(C6+F6+I6)</f>
        <v>164483</v>
      </c>
      <c r="M6" s="409">
        <f>SUM(D6+G6+J6)</f>
        <v>165666</v>
      </c>
    </row>
    <row r="7" spans="1:13" ht="12.75">
      <c r="A7" s="129" t="s">
        <v>387</v>
      </c>
      <c r="B7" s="130">
        <v>33488</v>
      </c>
      <c r="C7" s="131">
        <v>164800</v>
      </c>
      <c r="D7" s="131">
        <v>164800</v>
      </c>
      <c r="E7" s="131">
        <v>25621</v>
      </c>
      <c r="F7" s="131">
        <v>24954</v>
      </c>
      <c r="G7" s="131">
        <v>28686</v>
      </c>
      <c r="H7" s="131">
        <v>50</v>
      </c>
      <c r="I7" s="131">
        <v>50</v>
      </c>
      <c r="J7" s="131">
        <v>550</v>
      </c>
      <c r="K7" s="131">
        <f aca="true" t="shared" si="0" ref="K7:K49">SUM(B7+E7+H7)</f>
        <v>59159</v>
      </c>
      <c r="L7" s="131">
        <f aca="true" t="shared" si="1" ref="L7:L49">SUM(C7+F7+I7)</f>
        <v>189804</v>
      </c>
      <c r="M7" s="409">
        <f aca="true" t="shared" si="2" ref="M7:M49">SUM(D7+G7+J7)</f>
        <v>194036</v>
      </c>
    </row>
    <row r="8" spans="1:13" ht="12.75">
      <c r="A8" s="129" t="s">
        <v>388</v>
      </c>
      <c r="B8" s="130">
        <v>133000</v>
      </c>
      <c r="C8" s="131">
        <v>133013</v>
      </c>
      <c r="D8" s="131">
        <v>133013</v>
      </c>
      <c r="E8" s="131"/>
      <c r="F8" s="131"/>
      <c r="G8" s="131"/>
      <c r="H8" s="131">
        <v>500</v>
      </c>
      <c r="I8" s="131">
        <v>1000</v>
      </c>
      <c r="J8" s="131">
        <v>1200</v>
      </c>
      <c r="K8" s="131">
        <f t="shared" si="0"/>
        <v>133500</v>
      </c>
      <c r="L8" s="131">
        <f t="shared" si="1"/>
        <v>134013</v>
      </c>
      <c r="M8" s="409">
        <f t="shared" si="2"/>
        <v>134213</v>
      </c>
    </row>
    <row r="9" spans="1:13" ht="12.75">
      <c r="A9" s="129" t="s">
        <v>622</v>
      </c>
      <c r="B9" s="130">
        <v>129000</v>
      </c>
      <c r="C9" s="131">
        <v>129000</v>
      </c>
      <c r="D9" s="131">
        <v>129000</v>
      </c>
      <c r="E9" s="131"/>
      <c r="F9" s="131"/>
      <c r="G9" s="131"/>
      <c r="H9" s="131"/>
      <c r="I9" s="131"/>
      <c r="J9" s="131"/>
      <c r="K9" s="131">
        <f t="shared" si="0"/>
        <v>129000</v>
      </c>
      <c r="L9" s="131">
        <f t="shared" si="1"/>
        <v>129000</v>
      </c>
      <c r="M9" s="409">
        <f t="shared" si="2"/>
        <v>129000</v>
      </c>
    </row>
    <row r="10" spans="1:13" ht="12.75">
      <c r="A10" s="129" t="s">
        <v>381</v>
      </c>
      <c r="B10" s="130">
        <v>2700</v>
      </c>
      <c r="C10" s="131">
        <v>12050</v>
      </c>
      <c r="D10" s="131">
        <v>12050</v>
      </c>
      <c r="E10" s="131"/>
      <c r="F10" s="131">
        <v>8023</v>
      </c>
      <c r="G10" s="131">
        <v>8210</v>
      </c>
      <c r="H10" s="131"/>
      <c r="I10" s="131"/>
      <c r="J10" s="131"/>
      <c r="K10" s="131">
        <f t="shared" si="0"/>
        <v>2700</v>
      </c>
      <c r="L10" s="131">
        <f t="shared" si="1"/>
        <v>20073</v>
      </c>
      <c r="M10" s="409">
        <f t="shared" si="2"/>
        <v>20260</v>
      </c>
    </row>
    <row r="11" spans="1:13" ht="12.75">
      <c r="A11" s="132" t="s">
        <v>389</v>
      </c>
      <c r="B11" s="133">
        <f aca="true" t="shared" si="3" ref="B11:J11">SUM(B6+B7+B8+B10)</f>
        <v>196688</v>
      </c>
      <c r="C11" s="133">
        <f t="shared" si="3"/>
        <v>350168</v>
      </c>
      <c r="D11" s="133">
        <f t="shared" si="3"/>
        <v>350168</v>
      </c>
      <c r="E11" s="133">
        <f t="shared" si="3"/>
        <v>133450</v>
      </c>
      <c r="F11" s="133">
        <f t="shared" si="3"/>
        <v>146025</v>
      </c>
      <c r="G11" s="133">
        <f t="shared" si="3"/>
        <v>150127</v>
      </c>
      <c r="H11" s="133">
        <f t="shared" si="3"/>
        <v>6950</v>
      </c>
      <c r="I11" s="133">
        <f t="shared" si="3"/>
        <v>12180</v>
      </c>
      <c r="J11" s="133">
        <f t="shared" si="3"/>
        <v>13880</v>
      </c>
      <c r="K11" s="303">
        <f t="shared" si="0"/>
        <v>337088</v>
      </c>
      <c r="L11" s="303">
        <f t="shared" si="1"/>
        <v>508373</v>
      </c>
      <c r="M11" s="416">
        <f t="shared" si="2"/>
        <v>514175</v>
      </c>
    </row>
    <row r="12" spans="1:13" ht="12.75">
      <c r="A12" s="129" t="s">
        <v>606</v>
      </c>
      <c r="B12" s="130">
        <f>SUM(B14:B19)</f>
        <v>1140400</v>
      </c>
      <c r="C12" s="131">
        <v>1140400</v>
      </c>
      <c r="D12" s="131">
        <v>1140400</v>
      </c>
      <c r="E12" s="131"/>
      <c r="F12" s="131"/>
      <c r="G12" s="131"/>
      <c r="H12" s="131"/>
      <c r="I12" s="131"/>
      <c r="J12" s="131"/>
      <c r="K12" s="131">
        <f t="shared" si="0"/>
        <v>1140400</v>
      </c>
      <c r="L12" s="131">
        <f t="shared" si="1"/>
        <v>1140400</v>
      </c>
      <c r="M12" s="409">
        <f t="shared" si="2"/>
        <v>1140400</v>
      </c>
    </row>
    <row r="13" spans="1:13" ht="12.75">
      <c r="A13" s="129" t="s">
        <v>599</v>
      </c>
      <c r="B13" s="130"/>
      <c r="C13" s="131"/>
      <c r="D13" s="131"/>
      <c r="E13" s="131"/>
      <c r="F13" s="131"/>
      <c r="G13" s="131"/>
      <c r="H13" s="131"/>
      <c r="I13" s="131"/>
      <c r="J13" s="131"/>
      <c r="K13" s="131">
        <f t="shared" si="0"/>
        <v>0</v>
      </c>
      <c r="L13" s="131">
        <f t="shared" si="1"/>
        <v>0</v>
      </c>
      <c r="M13" s="409">
        <f t="shared" si="2"/>
        <v>0</v>
      </c>
    </row>
    <row r="14" spans="1:13" ht="12.75">
      <c r="A14" s="129" t="s">
        <v>600</v>
      </c>
      <c r="B14" s="130">
        <v>190000</v>
      </c>
      <c r="C14" s="131">
        <v>190000</v>
      </c>
      <c r="D14" s="131">
        <v>190000</v>
      </c>
      <c r="E14" s="131"/>
      <c r="F14" s="131"/>
      <c r="G14" s="131"/>
      <c r="H14" s="131"/>
      <c r="I14" s="131"/>
      <c r="J14" s="131"/>
      <c r="K14" s="131">
        <f t="shared" si="0"/>
        <v>190000</v>
      </c>
      <c r="L14" s="131">
        <f t="shared" si="1"/>
        <v>190000</v>
      </c>
      <c r="M14" s="409">
        <f t="shared" si="2"/>
        <v>190000</v>
      </c>
    </row>
    <row r="15" spans="1:13" ht="12.75">
      <c r="A15" s="129" t="s">
        <v>601</v>
      </c>
      <c r="B15" s="130">
        <v>70000</v>
      </c>
      <c r="C15" s="131">
        <v>70000</v>
      </c>
      <c r="D15" s="131">
        <v>70000</v>
      </c>
      <c r="E15" s="131"/>
      <c r="F15" s="131"/>
      <c r="G15" s="131"/>
      <c r="H15" s="131"/>
      <c r="I15" s="131"/>
      <c r="J15" s="131"/>
      <c r="K15" s="131">
        <f t="shared" si="0"/>
        <v>70000</v>
      </c>
      <c r="L15" s="131">
        <f t="shared" si="1"/>
        <v>70000</v>
      </c>
      <c r="M15" s="409">
        <f t="shared" si="2"/>
        <v>70000</v>
      </c>
    </row>
    <row r="16" spans="1:13" ht="12.75">
      <c r="A16" s="129" t="s">
        <v>602</v>
      </c>
      <c r="B16" s="130">
        <v>15000</v>
      </c>
      <c r="C16" s="131">
        <v>15000</v>
      </c>
      <c r="D16" s="131">
        <v>15000</v>
      </c>
      <c r="E16" s="131"/>
      <c r="F16" s="131"/>
      <c r="G16" s="131"/>
      <c r="H16" s="131"/>
      <c r="I16" s="131"/>
      <c r="J16" s="131"/>
      <c r="K16" s="131">
        <f t="shared" si="0"/>
        <v>15000</v>
      </c>
      <c r="L16" s="131">
        <f t="shared" si="1"/>
        <v>15000</v>
      </c>
      <c r="M16" s="409">
        <f t="shared" si="2"/>
        <v>15000</v>
      </c>
    </row>
    <row r="17" spans="1:13" ht="12.75">
      <c r="A17" s="129" t="s">
        <v>603</v>
      </c>
      <c r="B17" s="130">
        <v>850000</v>
      </c>
      <c r="C17" s="131">
        <v>850000</v>
      </c>
      <c r="D17" s="131">
        <v>850000</v>
      </c>
      <c r="E17" s="131"/>
      <c r="F17" s="131"/>
      <c r="G17" s="131"/>
      <c r="H17" s="131"/>
      <c r="I17" s="131"/>
      <c r="J17" s="131"/>
      <c r="K17" s="131">
        <f t="shared" si="0"/>
        <v>850000</v>
      </c>
      <c r="L17" s="131">
        <f t="shared" si="1"/>
        <v>850000</v>
      </c>
      <c r="M17" s="409">
        <f t="shared" si="2"/>
        <v>850000</v>
      </c>
    </row>
    <row r="18" spans="1:13" ht="12.75">
      <c r="A18" s="129" t="s">
        <v>382</v>
      </c>
      <c r="B18" s="130">
        <v>12000</v>
      </c>
      <c r="C18" s="131">
        <v>12000</v>
      </c>
      <c r="D18" s="131">
        <v>12000</v>
      </c>
      <c r="E18" s="131"/>
      <c r="F18" s="131"/>
      <c r="G18" s="131"/>
      <c r="H18" s="131"/>
      <c r="I18" s="131"/>
      <c r="J18" s="131"/>
      <c r="K18" s="131">
        <f t="shared" si="0"/>
        <v>12000</v>
      </c>
      <c r="L18" s="131">
        <f t="shared" si="1"/>
        <v>12000</v>
      </c>
      <c r="M18" s="409">
        <f t="shared" si="2"/>
        <v>12000</v>
      </c>
    </row>
    <row r="19" spans="1:13" ht="12.75">
      <c r="A19" s="129" t="s">
        <v>604</v>
      </c>
      <c r="B19" s="130">
        <v>3400</v>
      </c>
      <c r="C19" s="131">
        <v>3400</v>
      </c>
      <c r="D19" s="131">
        <v>3400</v>
      </c>
      <c r="E19" s="131"/>
      <c r="F19" s="131"/>
      <c r="G19" s="131"/>
      <c r="H19" s="131"/>
      <c r="I19" s="131"/>
      <c r="J19" s="131"/>
      <c r="K19" s="131">
        <f t="shared" si="0"/>
        <v>3400</v>
      </c>
      <c r="L19" s="131">
        <f t="shared" si="1"/>
        <v>3400</v>
      </c>
      <c r="M19" s="409">
        <f t="shared" si="2"/>
        <v>3400</v>
      </c>
    </row>
    <row r="20" spans="1:13" ht="12.75">
      <c r="A20" s="129" t="s">
        <v>390</v>
      </c>
      <c r="B20" s="130">
        <v>426859</v>
      </c>
      <c r="C20" s="131">
        <v>426859</v>
      </c>
      <c r="D20" s="131">
        <v>426859</v>
      </c>
      <c r="E20" s="131"/>
      <c r="F20" s="131"/>
      <c r="G20" s="131"/>
      <c r="H20" s="131"/>
      <c r="I20" s="131"/>
      <c r="J20" s="131"/>
      <c r="K20" s="131">
        <f t="shared" si="0"/>
        <v>426859</v>
      </c>
      <c r="L20" s="131">
        <f t="shared" si="1"/>
        <v>426859</v>
      </c>
      <c r="M20" s="409">
        <f t="shared" si="2"/>
        <v>426859</v>
      </c>
    </row>
    <row r="21" spans="1:13" ht="12.75">
      <c r="A21" s="129" t="s">
        <v>391</v>
      </c>
      <c r="B21" s="130">
        <v>240000</v>
      </c>
      <c r="C21" s="131">
        <v>240000</v>
      </c>
      <c r="D21" s="131">
        <v>240000</v>
      </c>
      <c r="E21" s="131"/>
      <c r="F21" s="131"/>
      <c r="G21" s="131"/>
      <c r="H21" s="131"/>
      <c r="I21" s="131"/>
      <c r="J21" s="131"/>
      <c r="K21" s="131">
        <f t="shared" si="0"/>
        <v>240000</v>
      </c>
      <c r="L21" s="131">
        <f t="shared" si="1"/>
        <v>240000</v>
      </c>
      <c r="M21" s="409">
        <f t="shared" si="2"/>
        <v>240000</v>
      </c>
    </row>
    <row r="22" spans="1:13" ht="12.75">
      <c r="A22" s="129" t="s">
        <v>392</v>
      </c>
      <c r="B22" s="130">
        <v>100</v>
      </c>
      <c r="C22" s="131">
        <v>100</v>
      </c>
      <c r="D22" s="131">
        <v>100</v>
      </c>
      <c r="E22" s="131"/>
      <c r="F22" s="131"/>
      <c r="G22" s="131"/>
      <c r="H22" s="131"/>
      <c r="I22" s="131"/>
      <c r="J22" s="131"/>
      <c r="K22" s="131">
        <f t="shared" si="0"/>
        <v>100</v>
      </c>
      <c r="L22" s="131">
        <f t="shared" si="1"/>
        <v>100</v>
      </c>
      <c r="M22" s="409">
        <f t="shared" si="2"/>
        <v>100</v>
      </c>
    </row>
    <row r="23" spans="1:13" ht="12.75">
      <c r="A23" s="129" t="s">
        <v>427</v>
      </c>
      <c r="B23" s="130">
        <v>2500</v>
      </c>
      <c r="C23" s="131">
        <v>2500</v>
      </c>
      <c r="D23" s="131">
        <v>2500</v>
      </c>
      <c r="E23" s="131"/>
      <c r="F23" s="131"/>
      <c r="G23" s="131"/>
      <c r="H23" s="131"/>
      <c r="I23" s="131"/>
      <c r="J23" s="131"/>
      <c r="K23" s="131">
        <f t="shared" si="0"/>
        <v>2500</v>
      </c>
      <c r="L23" s="131">
        <f t="shared" si="1"/>
        <v>2500</v>
      </c>
      <c r="M23" s="409">
        <f t="shared" si="2"/>
        <v>2500</v>
      </c>
    </row>
    <row r="24" spans="1:13" ht="12.75">
      <c r="A24" s="129" t="s">
        <v>26</v>
      </c>
      <c r="B24" s="130">
        <v>5000</v>
      </c>
      <c r="C24" s="131">
        <v>5000</v>
      </c>
      <c r="D24" s="131">
        <v>5000</v>
      </c>
      <c r="E24" s="131"/>
      <c r="F24" s="131"/>
      <c r="G24" s="131"/>
      <c r="H24" s="131"/>
      <c r="I24" s="131"/>
      <c r="J24" s="131"/>
      <c r="K24" s="131">
        <f t="shared" si="0"/>
        <v>5000</v>
      </c>
      <c r="L24" s="131">
        <f t="shared" si="1"/>
        <v>5000</v>
      </c>
      <c r="M24" s="409">
        <f t="shared" si="2"/>
        <v>5000</v>
      </c>
    </row>
    <row r="25" spans="1:13" ht="12.75">
      <c r="A25" s="129" t="s">
        <v>216</v>
      </c>
      <c r="B25" s="130">
        <v>39094</v>
      </c>
      <c r="C25" s="131">
        <v>38139</v>
      </c>
      <c r="D25" s="131">
        <v>38139</v>
      </c>
      <c r="E25" s="131"/>
      <c r="F25" s="131"/>
      <c r="G25" s="131"/>
      <c r="H25" s="131"/>
      <c r="I25" s="131"/>
      <c r="J25" s="131"/>
      <c r="K25" s="131">
        <f t="shared" si="0"/>
        <v>39094</v>
      </c>
      <c r="L25" s="131">
        <f t="shared" si="1"/>
        <v>38139</v>
      </c>
      <c r="M25" s="409">
        <f t="shared" si="2"/>
        <v>38139</v>
      </c>
    </row>
    <row r="26" spans="1:13" ht="12.75">
      <c r="A26" s="129" t="s">
        <v>371</v>
      </c>
      <c r="B26" s="130">
        <v>54500</v>
      </c>
      <c r="C26" s="131">
        <v>54500</v>
      </c>
      <c r="D26" s="131">
        <v>54500</v>
      </c>
      <c r="E26" s="131"/>
      <c r="F26" s="131"/>
      <c r="G26" s="131"/>
      <c r="H26" s="131"/>
      <c r="I26" s="131"/>
      <c r="J26" s="131"/>
      <c r="K26" s="131">
        <f t="shared" si="0"/>
        <v>54500</v>
      </c>
      <c r="L26" s="131">
        <f t="shared" si="1"/>
        <v>54500</v>
      </c>
      <c r="M26" s="409">
        <f t="shared" si="2"/>
        <v>54500</v>
      </c>
    </row>
    <row r="27" spans="1:13" ht="12.75">
      <c r="A27" s="132" t="s">
        <v>428</v>
      </c>
      <c r="B27" s="133">
        <f aca="true" t="shared" si="4" ref="B27:J27">SUM(B12+B20+B21+B22+B23+B24+B25+B26)</f>
        <v>1908453</v>
      </c>
      <c r="C27" s="133">
        <f t="shared" si="4"/>
        <v>1907498</v>
      </c>
      <c r="D27" s="133">
        <f t="shared" si="4"/>
        <v>1907498</v>
      </c>
      <c r="E27" s="133">
        <f t="shared" si="4"/>
        <v>0</v>
      </c>
      <c r="F27" s="133"/>
      <c r="G27" s="133"/>
      <c r="H27" s="133">
        <f t="shared" si="4"/>
        <v>0</v>
      </c>
      <c r="I27" s="133">
        <f t="shared" si="4"/>
        <v>0</v>
      </c>
      <c r="J27" s="133">
        <f t="shared" si="4"/>
        <v>0</v>
      </c>
      <c r="K27" s="303">
        <f t="shared" si="0"/>
        <v>1908453</v>
      </c>
      <c r="L27" s="303">
        <f t="shared" si="1"/>
        <v>1907498</v>
      </c>
      <c r="M27" s="416">
        <f t="shared" si="2"/>
        <v>1907498</v>
      </c>
    </row>
    <row r="28" spans="1:13" ht="12.75">
      <c r="A28" s="134" t="s">
        <v>393</v>
      </c>
      <c r="B28" s="135">
        <f aca="true" t="shared" si="5" ref="B28:J28">SUM(B11+B27)</f>
        <v>2105141</v>
      </c>
      <c r="C28" s="135">
        <f t="shared" si="5"/>
        <v>2257666</v>
      </c>
      <c r="D28" s="135">
        <f t="shared" si="5"/>
        <v>2257666</v>
      </c>
      <c r="E28" s="135">
        <f t="shared" si="5"/>
        <v>133450</v>
      </c>
      <c r="F28" s="135">
        <f t="shared" si="5"/>
        <v>146025</v>
      </c>
      <c r="G28" s="135">
        <f t="shared" si="5"/>
        <v>150127</v>
      </c>
      <c r="H28" s="135">
        <f t="shared" si="5"/>
        <v>6950</v>
      </c>
      <c r="I28" s="135">
        <f t="shared" si="5"/>
        <v>12180</v>
      </c>
      <c r="J28" s="135">
        <f t="shared" si="5"/>
        <v>13880</v>
      </c>
      <c r="K28" s="43">
        <f t="shared" si="0"/>
        <v>2245541</v>
      </c>
      <c r="L28" s="43">
        <f t="shared" si="1"/>
        <v>2415871</v>
      </c>
      <c r="M28" s="410">
        <f t="shared" si="2"/>
        <v>2421673</v>
      </c>
    </row>
    <row r="29" spans="1:13" ht="12.75">
      <c r="A29" s="129" t="s">
        <v>616</v>
      </c>
      <c r="B29" s="135"/>
      <c r="C29" s="43"/>
      <c r="D29" s="43"/>
      <c r="E29" s="43"/>
      <c r="F29" s="43"/>
      <c r="G29" s="43"/>
      <c r="H29" s="43"/>
      <c r="I29" s="43"/>
      <c r="J29" s="131">
        <v>800</v>
      </c>
      <c r="K29" s="43"/>
      <c r="L29" s="43"/>
      <c r="M29" s="409">
        <f t="shared" si="2"/>
        <v>800</v>
      </c>
    </row>
    <row r="30" spans="1:13" ht="12.75">
      <c r="A30" s="129" t="s">
        <v>394</v>
      </c>
      <c r="B30" s="130">
        <v>148000</v>
      </c>
      <c r="C30" s="131">
        <v>148000</v>
      </c>
      <c r="D30" s="131">
        <v>148000</v>
      </c>
      <c r="E30" s="131"/>
      <c r="F30" s="131"/>
      <c r="G30" s="131"/>
      <c r="H30" s="131"/>
      <c r="I30" s="131"/>
      <c r="J30" s="131"/>
      <c r="K30" s="131">
        <f t="shared" si="0"/>
        <v>148000</v>
      </c>
      <c r="L30" s="131">
        <f t="shared" si="1"/>
        <v>148000</v>
      </c>
      <c r="M30" s="409">
        <f t="shared" si="2"/>
        <v>148000</v>
      </c>
    </row>
    <row r="31" spans="1:13" ht="12.75">
      <c r="A31" s="129" t="s">
        <v>639</v>
      </c>
      <c r="B31" s="130">
        <v>45800</v>
      </c>
      <c r="C31" s="131">
        <v>45800</v>
      </c>
      <c r="D31" s="131">
        <v>45800</v>
      </c>
      <c r="E31" s="131"/>
      <c r="F31" s="131"/>
      <c r="G31" s="131"/>
      <c r="H31" s="131"/>
      <c r="I31" s="131"/>
      <c r="J31" s="131"/>
      <c r="K31" s="131">
        <f t="shared" si="0"/>
        <v>45800</v>
      </c>
      <c r="L31" s="131">
        <f t="shared" si="1"/>
        <v>45800</v>
      </c>
      <c r="M31" s="409">
        <f t="shared" si="2"/>
        <v>45800</v>
      </c>
    </row>
    <row r="32" spans="1:13" ht="12.75">
      <c r="A32" s="129" t="s">
        <v>422</v>
      </c>
      <c r="B32" s="130">
        <v>72000</v>
      </c>
      <c r="C32" s="131">
        <v>72000</v>
      </c>
      <c r="D32" s="131">
        <v>72000</v>
      </c>
      <c r="E32" s="131"/>
      <c r="F32" s="131"/>
      <c r="G32" s="131"/>
      <c r="H32" s="131"/>
      <c r="I32" s="131"/>
      <c r="J32" s="131"/>
      <c r="K32" s="131">
        <f t="shared" si="0"/>
        <v>72000</v>
      </c>
      <c r="L32" s="131">
        <f t="shared" si="1"/>
        <v>72000</v>
      </c>
      <c r="M32" s="409">
        <f t="shared" si="2"/>
        <v>72000</v>
      </c>
    </row>
    <row r="33" spans="1:13" ht="12.75">
      <c r="A33" s="129" t="s">
        <v>19</v>
      </c>
      <c r="B33" s="130">
        <v>455000</v>
      </c>
      <c r="C33" s="131">
        <v>455000</v>
      </c>
      <c r="D33" s="131">
        <v>455000</v>
      </c>
      <c r="E33" s="131"/>
      <c r="F33" s="131"/>
      <c r="G33" s="131"/>
      <c r="H33" s="131"/>
      <c r="I33" s="131"/>
      <c r="J33" s="131"/>
      <c r="K33" s="131">
        <f t="shared" si="0"/>
        <v>455000</v>
      </c>
      <c r="L33" s="131">
        <f t="shared" si="1"/>
        <v>455000</v>
      </c>
      <c r="M33" s="409">
        <f t="shared" si="2"/>
        <v>455000</v>
      </c>
    </row>
    <row r="34" spans="1:13" ht="12.75">
      <c r="A34" s="129" t="s">
        <v>597</v>
      </c>
      <c r="B34" s="130">
        <v>13854</v>
      </c>
      <c r="C34" s="131">
        <v>13854</v>
      </c>
      <c r="D34" s="131">
        <v>13854</v>
      </c>
      <c r="E34" s="131"/>
      <c r="F34" s="131"/>
      <c r="G34" s="131"/>
      <c r="H34" s="131"/>
      <c r="I34" s="131"/>
      <c r="J34" s="131"/>
      <c r="K34" s="131">
        <f t="shared" si="0"/>
        <v>13854</v>
      </c>
      <c r="L34" s="131">
        <f t="shared" si="1"/>
        <v>13854</v>
      </c>
      <c r="M34" s="409">
        <f t="shared" si="2"/>
        <v>13854</v>
      </c>
    </row>
    <row r="35" spans="1:13" ht="12.75">
      <c r="A35" s="129" t="s">
        <v>640</v>
      </c>
      <c r="B35" s="130">
        <v>6700</v>
      </c>
      <c r="C35" s="131">
        <v>6700</v>
      </c>
      <c r="D35" s="131">
        <v>6700</v>
      </c>
      <c r="E35" s="131"/>
      <c r="F35" s="131"/>
      <c r="G35" s="131"/>
      <c r="H35" s="131"/>
      <c r="I35" s="131"/>
      <c r="J35" s="131"/>
      <c r="K35" s="131">
        <f t="shared" si="0"/>
        <v>6700</v>
      </c>
      <c r="L35" s="131">
        <f t="shared" si="1"/>
        <v>6700</v>
      </c>
      <c r="M35" s="409">
        <f t="shared" si="2"/>
        <v>6700</v>
      </c>
    </row>
    <row r="36" spans="1:13" ht="12.75">
      <c r="A36" s="136" t="s">
        <v>414</v>
      </c>
      <c r="B36" s="135">
        <f>SUM(B29:B35)</f>
        <v>741354</v>
      </c>
      <c r="C36" s="135">
        <f aca="true" t="shared" si="6" ref="C36:M36">SUM(C29:C35)</f>
        <v>741354</v>
      </c>
      <c r="D36" s="135">
        <f t="shared" si="6"/>
        <v>741354</v>
      </c>
      <c r="E36" s="135">
        <f t="shared" si="6"/>
        <v>0</v>
      </c>
      <c r="F36" s="135">
        <f t="shared" si="6"/>
        <v>0</v>
      </c>
      <c r="G36" s="135">
        <f t="shared" si="6"/>
        <v>0</v>
      </c>
      <c r="H36" s="135">
        <f t="shared" si="6"/>
        <v>0</v>
      </c>
      <c r="I36" s="135">
        <f t="shared" si="6"/>
        <v>0</v>
      </c>
      <c r="J36" s="135">
        <f t="shared" si="6"/>
        <v>800</v>
      </c>
      <c r="K36" s="135">
        <f t="shared" si="6"/>
        <v>741354</v>
      </c>
      <c r="L36" s="135">
        <f t="shared" si="6"/>
        <v>741354</v>
      </c>
      <c r="M36" s="417">
        <f t="shared" si="6"/>
        <v>742154</v>
      </c>
    </row>
    <row r="37" spans="1:13" ht="12.75">
      <c r="A37" s="129" t="s">
        <v>395</v>
      </c>
      <c r="B37" s="130">
        <v>862671</v>
      </c>
      <c r="C37" s="131">
        <v>852035</v>
      </c>
      <c r="D37" s="131">
        <v>852035</v>
      </c>
      <c r="E37" s="131"/>
      <c r="F37" s="131"/>
      <c r="G37" s="131"/>
      <c r="H37" s="131"/>
      <c r="I37" s="131"/>
      <c r="J37" s="131"/>
      <c r="K37" s="131">
        <f t="shared" si="0"/>
        <v>862671</v>
      </c>
      <c r="L37" s="131">
        <f t="shared" si="1"/>
        <v>852035</v>
      </c>
      <c r="M37" s="409">
        <f t="shared" si="2"/>
        <v>852035</v>
      </c>
    </row>
    <row r="38" spans="1:13" ht="12.75">
      <c r="A38" s="129" t="s">
        <v>28</v>
      </c>
      <c r="B38" s="130">
        <v>190225</v>
      </c>
      <c r="C38" s="131">
        <v>190439</v>
      </c>
      <c r="D38" s="131">
        <v>203939</v>
      </c>
      <c r="E38" s="131"/>
      <c r="F38" s="131"/>
      <c r="G38" s="131"/>
      <c r="H38" s="131"/>
      <c r="I38" s="131"/>
      <c r="J38" s="131"/>
      <c r="K38" s="131">
        <f t="shared" si="0"/>
        <v>190225</v>
      </c>
      <c r="L38" s="131">
        <f t="shared" si="1"/>
        <v>190439</v>
      </c>
      <c r="M38" s="409">
        <f t="shared" si="2"/>
        <v>203939</v>
      </c>
    </row>
    <row r="39" spans="1:13" ht="12.75">
      <c r="A39" s="129" t="s">
        <v>29</v>
      </c>
      <c r="B39" s="130"/>
      <c r="C39" s="131">
        <v>82423</v>
      </c>
      <c r="D39" s="131">
        <v>88328</v>
      </c>
      <c r="E39" s="131"/>
      <c r="F39" s="131"/>
      <c r="G39" s="131"/>
      <c r="H39" s="131"/>
      <c r="I39" s="131"/>
      <c r="J39" s="131"/>
      <c r="K39" s="131">
        <f t="shared" si="0"/>
        <v>0</v>
      </c>
      <c r="L39" s="131">
        <f t="shared" si="1"/>
        <v>82423</v>
      </c>
      <c r="M39" s="409">
        <f t="shared" si="2"/>
        <v>88328</v>
      </c>
    </row>
    <row r="40" spans="1:13" ht="12.75">
      <c r="A40" s="129" t="s">
        <v>385</v>
      </c>
      <c r="B40" s="130">
        <v>1698</v>
      </c>
      <c r="C40" s="131"/>
      <c r="D40" s="131"/>
      <c r="E40" s="131"/>
      <c r="F40" s="131"/>
      <c r="G40" s="131"/>
      <c r="H40" s="131"/>
      <c r="I40" s="131"/>
      <c r="J40" s="131"/>
      <c r="K40" s="131">
        <f t="shared" si="0"/>
        <v>1698</v>
      </c>
      <c r="L40" s="131">
        <f t="shared" si="1"/>
        <v>0</v>
      </c>
      <c r="M40" s="409">
        <f t="shared" si="2"/>
        <v>0</v>
      </c>
    </row>
    <row r="41" spans="1:13" ht="12.75">
      <c r="A41" s="129" t="s">
        <v>634</v>
      </c>
      <c r="B41" s="130">
        <v>15661</v>
      </c>
      <c r="C41" s="131">
        <v>15661</v>
      </c>
      <c r="D41" s="131">
        <v>15661</v>
      </c>
      <c r="E41" s="131"/>
      <c r="F41" s="131"/>
      <c r="G41" s="131"/>
      <c r="H41" s="131"/>
      <c r="I41" s="131"/>
      <c r="J41" s="131"/>
      <c r="K41" s="131">
        <f t="shared" si="0"/>
        <v>15661</v>
      </c>
      <c r="L41" s="131">
        <f t="shared" si="1"/>
        <v>15661</v>
      </c>
      <c r="M41" s="409">
        <f t="shared" si="2"/>
        <v>15661</v>
      </c>
    </row>
    <row r="42" spans="1:13" ht="12.75">
      <c r="A42" s="134" t="s">
        <v>429</v>
      </c>
      <c r="B42" s="135">
        <f>SUM(B37:B41)</f>
        <v>1070255</v>
      </c>
      <c r="C42" s="135">
        <f>SUM(C37:C41)</f>
        <v>1140558</v>
      </c>
      <c r="D42" s="135">
        <f>SUM(D37:D41)</f>
        <v>1159963</v>
      </c>
      <c r="E42" s="135">
        <f aca="true" t="shared" si="7" ref="E42:J42">SUM(E37:E40)</f>
        <v>0</v>
      </c>
      <c r="F42" s="135">
        <f>SUM(F37:F40)</f>
        <v>0</v>
      </c>
      <c r="G42" s="135">
        <f t="shared" si="7"/>
        <v>0</v>
      </c>
      <c r="H42" s="135">
        <f t="shared" si="7"/>
        <v>0</v>
      </c>
      <c r="I42" s="135">
        <f>SUM(I37:I40)</f>
        <v>0</v>
      </c>
      <c r="J42" s="135">
        <f t="shared" si="7"/>
        <v>0</v>
      </c>
      <c r="K42" s="43">
        <f t="shared" si="0"/>
        <v>1070255</v>
      </c>
      <c r="L42" s="43">
        <f t="shared" si="1"/>
        <v>1140558</v>
      </c>
      <c r="M42" s="410">
        <f t="shared" si="2"/>
        <v>1159963</v>
      </c>
    </row>
    <row r="43" spans="1:13" ht="12.75">
      <c r="A43" s="129" t="s">
        <v>372</v>
      </c>
      <c r="B43" s="130">
        <v>139868</v>
      </c>
      <c r="C43" s="131">
        <v>149686</v>
      </c>
      <c r="D43" s="131">
        <v>164344</v>
      </c>
      <c r="E43" s="131"/>
      <c r="F43" s="131">
        <v>7146</v>
      </c>
      <c r="G43" s="131">
        <v>3633</v>
      </c>
      <c r="H43" s="131">
        <v>4800</v>
      </c>
      <c r="I43" s="131">
        <v>7500</v>
      </c>
      <c r="J43" s="131">
        <v>7500</v>
      </c>
      <c r="K43" s="131">
        <f t="shared" si="0"/>
        <v>144668</v>
      </c>
      <c r="L43" s="131">
        <f t="shared" si="1"/>
        <v>164332</v>
      </c>
      <c r="M43" s="409">
        <f t="shared" si="2"/>
        <v>175477</v>
      </c>
    </row>
    <row r="44" spans="1:13" ht="12.75">
      <c r="A44" s="129" t="s">
        <v>641</v>
      </c>
      <c r="B44" s="130"/>
      <c r="C44" s="131"/>
      <c r="D44" s="131"/>
      <c r="E44" s="131"/>
      <c r="F44" s="131"/>
      <c r="G44" s="131"/>
      <c r="H44" s="131">
        <v>745910</v>
      </c>
      <c r="I44" s="131">
        <v>766633</v>
      </c>
      <c r="J44" s="131">
        <v>766633</v>
      </c>
      <c r="K44" s="131">
        <f t="shared" si="0"/>
        <v>745910</v>
      </c>
      <c r="L44" s="131">
        <f t="shared" si="1"/>
        <v>766633</v>
      </c>
      <c r="M44" s="409">
        <f t="shared" si="2"/>
        <v>766633</v>
      </c>
    </row>
    <row r="45" spans="1:13" ht="12.75">
      <c r="A45" s="129" t="s">
        <v>373</v>
      </c>
      <c r="B45" s="130">
        <v>2492844</v>
      </c>
      <c r="C45" s="131">
        <v>1871743</v>
      </c>
      <c r="D45" s="131">
        <v>1827085</v>
      </c>
      <c r="E45" s="131"/>
      <c r="F45" s="131">
        <v>1600</v>
      </c>
      <c r="G45" s="131"/>
      <c r="H45" s="131"/>
      <c r="I45" s="131"/>
      <c r="J45" s="131"/>
      <c r="K45" s="131">
        <f t="shared" si="0"/>
        <v>2492844</v>
      </c>
      <c r="L45" s="131">
        <f t="shared" si="1"/>
        <v>1873343</v>
      </c>
      <c r="M45" s="409">
        <f t="shared" si="2"/>
        <v>1827085</v>
      </c>
    </row>
    <row r="46" spans="1:13" ht="12.75">
      <c r="A46" s="136" t="s">
        <v>642</v>
      </c>
      <c r="B46" s="135">
        <f aca="true" t="shared" si="8" ref="B46:J46">SUM(B43:B45)</f>
        <v>2632712</v>
      </c>
      <c r="C46" s="135">
        <f t="shared" si="8"/>
        <v>2021429</v>
      </c>
      <c r="D46" s="135">
        <f t="shared" si="8"/>
        <v>1991429</v>
      </c>
      <c r="E46" s="135">
        <f t="shared" si="8"/>
        <v>0</v>
      </c>
      <c r="F46" s="135">
        <f t="shared" si="8"/>
        <v>8746</v>
      </c>
      <c r="G46" s="135">
        <f t="shared" si="8"/>
        <v>3633</v>
      </c>
      <c r="H46" s="135">
        <f t="shared" si="8"/>
        <v>750710</v>
      </c>
      <c r="I46" s="135">
        <f t="shared" si="8"/>
        <v>774133</v>
      </c>
      <c r="J46" s="135">
        <f t="shared" si="8"/>
        <v>774133</v>
      </c>
      <c r="K46" s="43">
        <f t="shared" si="0"/>
        <v>3383422</v>
      </c>
      <c r="L46" s="43">
        <f t="shared" si="1"/>
        <v>2804308</v>
      </c>
      <c r="M46" s="410">
        <f t="shared" si="2"/>
        <v>2769195</v>
      </c>
    </row>
    <row r="47" spans="1:13" ht="12.75">
      <c r="A47" s="136" t="s">
        <v>617</v>
      </c>
      <c r="B47" s="135">
        <v>14000</v>
      </c>
      <c r="C47" s="43">
        <v>20587</v>
      </c>
      <c r="D47" s="43">
        <v>20587</v>
      </c>
      <c r="E47" s="43"/>
      <c r="F47" s="43"/>
      <c r="G47" s="43">
        <v>4433</v>
      </c>
      <c r="H47" s="43"/>
      <c r="I47" s="43"/>
      <c r="J47" s="43"/>
      <c r="K47" s="43">
        <f t="shared" si="0"/>
        <v>14000</v>
      </c>
      <c r="L47" s="43">
        <f t="shared" si="1"/>
        <v>20587</v>
      </c>
      <c r="M47" s="410">
        <f t="shared" si="2"/>
        <v>25020</v>
      </c>
    </row>
    <row r="48" spans="1:13" ht="12.75">
      <c r="A48" s="136" t="s">
        <v>538</v>
      </c>
      <c r="B48" s="135">
        <v>1850000</v>
      </c>
      <c r="C48" s="43">
        <v>2433375</v>
      </c>
      <c r="D48" s="43">
        <v>2433375</v>
      </c>
      <c r="E48" s="43"/>
      <c r="F48" s="43">
        <v>12069</v>
      </c>
      <c r="G48" s="43">
        <v>12069</v>
      </c>
      <c r="H48" s="43"/>
      <c r="I48" s="43">
        <v>763</v>
      </c>
      <c r="J48" s="43">
        <v>763</v>
      </c>
      <c r="K48" s="43">
        <f t="shared" si="0"/>
        <v>1850000</v>
      </c>
      <c r="L48" s="43">
        <f t="shared" si="1"/>
        <v>2446207</v>
      </c>
      <c r="M48" s="410">
        <f t="shared" si="2"/>
        <v>2446207</v>
      </c>
    </row>
    <row r="49" spans="1:13" ht="13.5" thickBot="1">
      <c r="A49" s="137" t="s">
        <v>396</v>
      </c>
      <c r="B49" s="138">
        <f aca="true" t="shared" si="9" ref="B49:J49">SUM(B28+B36+B42+B46+B47+B48)</f>
        <v>8413462</v>
      </c>
      <c r="C49" s="138">
        <f t="shared" si="9"/>
        <v>8614969</v>
      </c>
      <c r="D49" s="138">
        <f t="shared" si="9"/>
        <v>8604374</v>
      </c>
      <c r="E49" s="138">
        <f t="shared" si="9"/>
        <v>133450</v>
      </c>
      <c r="F49" s="138">
        <f t="shared" si="9"/>
        <v>166840</v>
      </c>
      <c r="G49" s="138">
        <f t="shared" si="9"/>
        <v>170262</v>
      </c>
      <c r="H49" s="138">
        <f t="shared" si="9"/>
        <v>757660</v>
      </c>
      <c r="I49" s="138">
        <f t="shared" si="9"/>
        <v>787076</v>
      </c>
      <c r="J49" s="138">
        <f t="shared" si="9"/>
        <v>789576</v>
      </c>
      <c r="K49" s="138">
        <f t="shared" si="0"/>
        <v>9304572</v>
      </c>
      <c r="L49" s="310">
        <f t="shared" si="1"/>
        <v>9568885</v>
      </c>
      <c r="M49" s="415">
        <f t="shared" si="2"/>
        <v>9564212</v>
      </c>
    </row>
    <row r="50" spans="1:11" ht="13.5" thickTop="1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</row>
  </sheetData>
  <mergeCells count="5">
    <mergeCell ref="A2:M2"/>
    <mergeCell ref="K4:M4"/>
    <mergeCell ref="H4:J4"/>
    <mergeCell ref="B4:D4"/>
    <mergeCell ref="E4:G4"/>
  </mergeCells>
  <printOptions horizontalCentered="1"/>
  <pageMargins left="0.2" right="0.19" top="0.47" bottom="0.2362204724409449" header="0.15748031496062992" footer="0.1574803149606299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63"/>
  <sheetViews>
    <sheetView zoomScaleSheetLayoutView="100" workbookViewId="0" topLeftCell="I19">
      <selection activeCell="F29" sqref="F29"/>
    </sheetView>
  </sheetViews>
  <sheetFormatPr defaultColWidth="9.00390625" defaultRowHeight="25.5" customHeight="1"/>
  <cols>
    <col min="1" max="1" width="0.12890625" style="4" hidden="1" customWidth="1"/>
    <col min="2" max="2" width="0" style="4" hidden="1" customWidth="1"/>
    <col min="3" max="3" width="35.75390625" style="4" customWidth="1"/>
    <col min="4" max="4" width="10.75390625" style="4" customWidth="1"/>
    <col min="5" max="6" width="11.75390625" style="4" customWidth="1"/>
    <col min="7" max="7" width="10.75390625" style="4" customWidth="1"/>
    <col min="8" max="9" width="11.75390625" style="4" customWidth="1"/>
    <col min="10" max="10" width="10.75390625" style="4" customWidth="1"/>
    <col min="11" max="12" width="11.75390625" style="4" customWidth="1"/>
    <col min="13" max="13" width="10.75390625" style="4" customWidth="1"/>
    <col min="14" max="15" width="11.75390625" style="4" customWidth="1"/>
    <col min="16" max="16384" width="9.125" style="4" customWidth="1"/>
  </cols>
  <sheetData>
    <row r="1" spans="3:6" s="1" customFormat="1" ht="13.5" customHeight="1">
      <c r="C1" s="2" t="s">
        <v>504</v>
      </c>
      <c r="D1" s="3"/>
      <c r="E1" s="3"/>
      <c r="F1" s="3"/>
    </row>
    <row r="2" s="1" customFormat="1" ht="12.75"/>
    <row r="3" spans="3:15" s="1" customFormat="1" ht="18" customHeight="1">
      <c r="C3" s="674" t="s">
        <v>222</v>
      </c>
      <c r="D3" s="661"/>
      <c r="E3" s="661"/>
      <c r="F3" s="661"/>
      <c r="G3" s="661"/>
      <c r="H3" s="661"/>
      <c r="I3" s="661"/>
      <c r="J3" s="661"/>
      <c r="K3" s="661"/>
      <c r="L3" s="661"/>
      <c r="M3" s="646"/>
      <c r="N3" s="646"/>
      <c r="O3" s="646"/>
    </row>
    <row r="4" spans="3:15" s="1" customFormat="1" ht="18" customHeight="1">
      <c r="C4" s="675" t="s">
        <v>463</v>
      </c>
      <c r="D4" s="675"/>
      <c r="E4" s="675"/>
      <c r="F4" s="675"/>
      <c r="G4" s="675"/>
      <c r="H4" s="675"/>
      <c r="I4" s="675"/>
      <c r="J4" s="675"/>
      <c r="K4" s="675"/>
      <c r="L4" s="675"/>
      <c r="M4" s="646"/>
      <c r="N4" s="646"/>
      <c r="O4" s="646"/>
    </row>
    <row r="5" spans="3:13" s="1" customFormat="1" ht="18" customHeight="1">
      <c r="C5" s="677"/>
      <c r="D5" s="678"/>
      <c r="E5" s="678"/>
      <c r="F5" s="678"/>
      <c r="G5" s="678"/>
      <c r="H5" s="678"/>
      <c r="I5" s="678"/>
      <c r="J5" s="678"/>
      <c r="K5" s="678"/>
      <c r="L5" s="678"/>
      <c r="M5" s="678"/>
    </row>
    <row r="6" spans="3:12" s="1" customFormat="1" ht="18" customHeight="1" thickBot="1"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25" ht="56.25" customHeight="1" thickTop="1">
      <c r="A7" s="17"/>
      <c r="B7" s="16"/>
      <c r="C7" s="41" t="s">
        <v>505</v>
      </c>
      <c r="D7" s="671" t="s">
        <v>580</v>
      </c>
      <c r="E7" s="672"/>
      <c r="F7" s="673"/>
      <c r="G7" s="671" t="s">
        <v>502</v>
      </c>
      <c r="H7" s="672"/>
      <c r="I7" s="673"/>
      <c r="J7" s="671" t="s">
        <v>488</v>
      </c>
      <c r="K7" s="676"/>
      <c r="L7" s="673"/>
      <c r="M7" s="670" t="s">
        <v>506</v>
      </c>
      <c r="N7" s="658"/>
      <c r="O7" s="659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s="6" customFormat="1" ht="15" customHeight="1">
      <c r="A8" s="18"/>
      <c r="B8" s="19"/>
      <c r="C8" s="42"/>
      <c r="D8" s="54" t="s">
        <v>490</v>
      </c>
      <c r="E8" s="312" t="s">
        <v>496</v>
      </c>
      <c r="F8" s="312" t="s">
        <v>85</v>
      </c>
      <c r="G8" s="54" t="s">
        <v>490</v>
      </c>
      <c r="H8" s="312" t="s">
        <v>496</v>
      </c>
      <c r="I8" s="312" t="s">
        <v>85</v>
      </c>
      <c r="J8" s="54" t="s">
        <v>490</v>
      </c>
      <c r="K8" s="312" t="s">
        <v>496</v>
      </c>
      <c r="L8" s="312" t="s">
        <v>85</v>
      </c>
      <c r="M8" s="312" t="s">
        <v>491</v>
      </c>
      <c r="N8" s="312" t="s">
        <v>496</v>
      </c>
      <c r="O8" s="396" t="s">
        <v>85</v>
      </c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s="8" customFormat="1" ht="15" customHeight="1">
      <c r="A9" s="20"/>
      <c r="B9" s="21"/>
      <c r="C9" s="47" t="s">
        <v>507</v>
      </c>
      <c r="D9" s="55">
        <v>499755</v>
      </c>
      <c r="E9" s="56">
        <v>527365</v>
      </c>
      <c r="F9" s="56">
        <v>552442</v>
      </c>
      <c r="G9" s="56">
        <v>880615</v>
      </c>
      <c r="H9" s="56">
        <v>940768</v>
      </c>
      <c r="I9" s="56">
        <v>940052</v>
      </c>
      <c r="J9" s="56">
        <v>401233</v>
      </c>
      <c r="K9" s="56">
        <v>420134</v>
      </c>
      <c r="L9" s="56">
        <v>420134</v>
      </c>
      <c r="M9" s="43">
        <f aca="true" t="shared" si="0" ref="M9:M30">SUM(D9+G9+J9)</f>
        <v>1781603</v>
      </c>
      <c r="N9" s="43">
        <f>SUM(E9+H9+K9)</f>
        <v>1888267</v>
      </c>
      <c r="O9" s="417">
        <f>SUM(F9+I9+L9)</f>
        <v>1912628</v>
      </c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8" customFormat="1" ht="15" customHeight="1">
      <c r="A10" s="20"/>
      <c r="B10" s="21"/>
      <c r="C10" s="25" t="s">
        <v>508</v>
      </c>
      <c r="D10" s="46">
        <v>137334</v>
      </c>
      <c r="E10" s="45">
        <v>144718</v>
      </c>
      <c r="F10" s="45">
        <v>140223</v>
      </c>
      <c r="G10" s="45">
        <v>227281</v>
      </c>
      <c r="H10" s="45">
        <v>245372</v>
      </c>
      <c r="I10" s="45">
        <v>245515</v>
      </c>
      <c r="J10" s="45">
        <v>110196</v>
      </c>
      <c r="K10" s="45">
        <v>114910</v>
      </c>
      <c r="L10" s="45">
        <v>114910</v>
      </c>
      <c r="M10" s="43">
        <f t="shared" si="0"/>
        <v>474811</v>
      </c>
      <c r="N10" s="43">
        <f aca="true" t="shared" si="1" ref="N10:N30">SUM(E10+H10+K10)</f>
        <v>505000</v>
      </c>
      <c r="O10" s="417">
        <f aca="true" t="shared" si="2" ref="O10:O30">SUM(F10+I10+L10)</f>
        <v>500648</v>
      </c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5" customHeight="1">
      <c r="A11" s="17"/>
      <c r="B11" s="16"/>
      <c r="C11" s="10" t="s">
        <v>509</v>
      </c>
      <c r="D11" s="58">
        <v>687239</v>
      </c>
      <c r="E11" s="59">
        <v>885733</v>
      </c>
      <c r="F11" s="59">
        <v>892025</v>
      </c>
      <c r="G11" s="59">
        <v>390034</v>
      </c>
      <c r="H11" s="59">
        <v>426857</v>
      </c>
      <c r="I11" s="59">
        <v>426615</v>
      </c>
      <c r="J11" s="59">
        <v>244756</v>
      </c>
      <c r="K11" s="59">
        <v>244756</v>
      </c>
      <c r="L11" s="59">
        <v>247156</v>
      </c>
      <c r="M11" s="131">
        <f t="shared" si="0"/>
        <v>1322029</v>
      </c>
      <c r="N11" s="131">
        <f t="shared" si="1"/>
        <v>1557346</v>
      </c>
      <c r="O11" s="418">
        <f t="shared" si="2"/>
        <v>1565796</v>
      </c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>
      <c r="A12" s="17"/>
      <c r="B12" s="16"/>
      <c r="C12" s="10" t="s">
        <v>510</v>
      </c>
      <c r="D12" s="58">
        <v>131528</v>
      </c>
      <c r="E12" s="59">
        <v>131528</v>
      </c>
      <c r="F12" s="59">
        <v>47423</v>
      </c>
      <c r="G12" s="59"/>
      <c r="H12" s="59"/>
      <c r="I12" s="59"/>
      <c r="J12" s="59"/>
      <c r="K12" s="59"/>
      <c r="L12" s="59"/>
      <c r="M12" s="131">
        <f t="shared" si="0"/>
        <v>131528</v>
      </c>
      <c r="N12" s="131">
        <f t="shared" si="1"/>
        <v>131528</v>
      </c>
      <c r="O12" s="418">
        <f t="shared" si="2"/>
        <v>47423</v>
      </c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s="8" customFormat="1" ht="15" customHeight="1">
      <c r="A13" s="20"/>
      <c r="B13" s="21"/>
      <c r="C13" s="60" t="s">
        <v>578</v>
      </c>
      <c r="D13" s="57">
        <f>SUM(D11:D12)</f>
        <v>818767</v>
      </c>
      <c r="E13" s="57">
        <f>SUM(E11:E12)</f>
        <v>1017261</v>
      </c>
      <c r="F13" s="57">
        <f>SUM(F11:F12)</f>
        <v>939448</v>
      </c>
      <c r="G13" s="46">
        <f aca="true" t="shared" si="3" ref="G13:L13">SUM(G11+G12)</f>
        <v>390034</v>
      </c>
      <c r="H13" s="46">
        <f t="shared" si="3"/>
        <v>426857</v>
      </c>
      <c r="I13" s="46">
        <f t="shared" si="3"/>
        <v>426615</v>
      </c>
      <c r="J13" s="46">
        <f t="shared" si="3"/>
        <v>244756</v>
      </c>
      <c r="K13" s="46">
        <f t="shared" si="3"/>
        <v>244756</v>
      </c>
      <c r="L13" s="46">
        <f t="shared" si="3"/>
        <v>247156</v>
      </c>
      <c r="M13" s="43">
        <f t="shared" si="0"/>
        <v>1453557</v>
      </c>
      <c r="N13" s="43">
        <f t="shared" si="1"/>
        <v>1688874</v>
      </c>
      <c r="O13" s="417">
        <f t="shared" si="2"/>
        <v>1613219</v>
      </c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8" customFormat="1" ht="15" customHeight="1">
      <c r="A14" s="20"/>
      <c r="B14" s="21"/>
      <c r="C14" s="61" t="s">
        <v>480</v>
      </c>
      <c r="D14" s="57">
        <f>SUM(D15:D16)</f>
        <v>623858</v>
      </c>
      <c r="E14" s="57">
        <f>SUM(E15:E16)</f>
        <v>731367</v>
      </c>
      <c r="F14" s="57">
        <f>SUM(F15:F16)</f>
        <v>734986</v>
      </c>
      <c r="G14" s="57">
        <f>SUM(G15:G16)</f>
        <v>0</v>
      </c>
      <c r="H14" s="57"/>
      <c r="I14" s="57"/>
      <c r="J14" s="57">
        <f>SUM(J15:J16)</f>
        <v>1475</v>
      </c>
      <c r="K14" s="57">
        <f>SUM(K15:K16)</f>
        <v>1475</v>
      </c>
      <c r="L14" s="57">
        <f>SUM(L15:L16)</f>
        <v>1475</v>
      </c>
      <c r="M14" s="43">
        <f t="shared" si="0"/>
        <v>625333</v>
      </c>
      <c r="N14" s="43">
        <f t="shared" si="1"/>
        <v>732842</v>
      </c>
      <c r="O14" s="417">
        <f t="shared" si="2"/>
        <v>736461</v>
      </c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5" customHeight="1">
      <c r="A15" s="17"/>
      <c r="B15" s="16"/>
      <c r="C15" s="62" t="s">
        <v>511</v>
      </c>
      <c r="D15" s="58">
        <v>250981</v>
      </c>
      <c r="E15" s="59">
        <v>315446</v>
      </c>
      <c r="F15" s="59">
        <v>320946</v>
      </c>
      <c r="G15" s="59"/>
      <c r="H15" s="59"/>
      <c r="I15" s="59"/>
      <c r="J15" s="59">
        <v>1475</v>
      </c>
      <c r="K15" s="59">
        <v>1475</v>
      </c>
      <c r="L15" s="59">
        <v>1475</v>
      </c>
      <c r="M15" s="131">
        <f t="shared" si="0"/>
        <v>252456</v>
      </c>
      <c r="N15" s="131">
        <f t="shared" si="1"/>
        <v>316921</v>
      </c>
      <c r="O15" s="418">
        <f t="shared" si="2"/>
        <v>322421</v>
      </c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 customHeight="1">
      <c r="A16" s="17"/>
      <c r="B16" s="16"/>
      <c r="C16" s="63" t="s">
        <v>512</v>
      </c>
      <c r="D16" s="58">
        <v>372877</v>
      </c>
      <c r="E16" s="59">
        <v>415921</v>
      </c>
      <c r="F16" s="59">
        <v>414040</v>
      </c>
      <c r="G16" s="59"/>
      <c r="H16" s="59"/>
      <c r="I16" s="59"/>
      <c r="J16" s="59"/>
      <c r="K16" s="59"/>
      <c r="L16" s="59"/>
      <c r="M16" s="131">
        <f t="shared" si="0"/>
        <v>372877</v>
      </c>
      <c r="N16" s="131">
        <f t="shared" si="1"/>
        <v>415921</v>
      </c>
      <c r="O16" s="418">
        <f t="shared" si="2"/>
        <v>414040</v>
      </c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8" customFormat="1" ht="15" customHeight="1">
      <c r="A17" s="20"/>
      <c r="B17" s="21"/>
      <c r="C17" s="25" t="s">
        <v>513</v>
      </c>
      <c r="D17" s="46">
        <v>223696</v>
      </c>
      <c r="E17" s="45">
        <v>235126</v>
      </c>
      <c r="F17" s="45">
        <v>230376</v>
      </c>
      <c r="G17" s="45"/>
      <c r="H17" s="45"/>
      <c r="I17" s="45"/>
      <c r="J17" s="45"/>
      <c r="K17" s="45"/>
      <c r="L17" s="45"/>
      <c r="M17" s="43">
        <f t="shared" si="0"/>
        <v>223696</v>
      </c>
      <c r="N17" s="43">
        <f t="shared" si="1"/>
        <v>235126</v>
      </c>
      <c r="O17" s="417">
        <f t="shared" si="2"/>
        <v>230376</v>
      </c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8" customFormat="1" ht="15" customHeight="1">
      <c r="A18" s="20"/>
      <c r="B18" s="21"/>
      <c r="C18" s="25" t="s">
        <v>514</v>
      </c>
      <c r="D18" s="46"/>
      <c r="E18" s="45"/>
      <c r="F18" s="45"/>
      <c r="G18" s="45">
        <v>9378</v>
      </c>
      <c r="H18" s="45">
        <v>9378</v>
      </c>
      <c r="I18" s="45">
        <v>9378</v>
      </c>
      <c r="J18" s="45"/>
      <c r="K18" s="45"/>
      <c r="L18" s="45"/>
      <c r="M18" s="43">
        <f t="shared" si="0"/>
        <v>9378</v>
      </c>
      <c r="N18" s="43">
        <f t="shared" si="1"/>
        <v>9378</v>
      </c>
      <c r="O18" s="417">
        <f t="shared" si="2"/>
        <v>9378</v>
      </c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8" customFormat="1" ht="15" customHeight="1">
      <c r="A19" s="20"/>
      <c r="B19" s="21"/>
      <c r="C19" s="25" t="s">
        <v>462</v>
      </c>
      <c r="D19" s="46">
        <v>195168</v>
      </c>
      <c r="E19" s="45">
        <v>213836</v>
      </c>
      <c r="F19" s="45">
        <v>187646</v>
      </c>
      <c r="G19" s="45">
        <v>17000</v>
      </c>
      <c r="H19" s="45">
        <v>31201</v>
      </c>
      <c r="I19" s="45">
        <v>31708</v>
      </c>
      <c r="J19" s="45">
        <v>0</v>
      </c>
      <c r="K19" s="45">
        <v>2325</v>
      </c>
      <c r="L19" s="45">
        <v>2325</v>
      </c>
      <c r="M19" s="43">
        <f t="shared" si="0"/>
        <v>212168</v>
      </c>
      <c r="N19" s="43">
        <f t="shared" si="1"/>
        <v>247362</v>
      </c>
      <c r="O19" s="417">
        <f t="shared" si="2"/>
        <v>221679</v>
      </c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8" customFormat="1" ht="15" customHeight="1" thickBot="1">
      <c r="A20" s="22"/>
      <c r="B20" s="23"/>
      <c r="C20" s="25" t="s">
        <v>515</v>
      </c>
      <c r="D20" s="46">
        <v>4311281</v>
      </c>
      <c r="E20" s="45">
        <v>4148482</v>
      </c>
      <c r="F20" s="45">
        <v>4148817</v>
      </c>
      <c r="G20" s="45">
        <v>2400</v>
      </c>
      <c r="H20" s="45">
        <v>14212</v>
      </c>
      <c r="I20" s="45">
        <v>15749</v>
      </c>
      <c r="J20" s="45">
        <v>0</v>
      </c>
      <c r="K20" s="45">
        <v>6225</v>
      </c>
      <c r="L20" s="45">
        <v>6325</v>
      </c>
      <c r="M20" s="43">
        <f t="shared" si="0"/>
        <v>4313681</v>
      </c>
      <c r="N20" s="43">
        <f t="shared" si="1"/>
        <v>4168919</v>
      </c>
      <c r="O20" s="417">
        <f t="shared" si="2"/>
        <v>4170891</v>
      </c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s="8" customFormat="1" ht="15" customHeight="1">
      <c r="A21" s="24"/>
      <c r="B21" s="24"/>
      <c r="C21" s="25" t="s">
        <v>651</v>
      </c>
      <c r="D21" s="57">
        <f>SUM(D22:D23)</f>
        <v>8500</v>
      </c>
      <c r="E21" s="57">
        <f>SUM(E22:E23)</f>
        <v>8600</v>
      </c>
      <c r="F21" s="57">
        <f>SUM(F22:F23)</f>
        <v>8600</v>
      </c>
      <c r="G21" s="46"/>
      <c r="H21" s="46"/>
      <c r="I21" s="46"/>
      <c r="J21" s="46"/>
      <c r="K21" s="45"/>
      <c r="L21" s="45"/>
      <c r="M21" s="43">
        <f t="shared" si="0"/>
        <v>8500</v>
      </c>
      <c r="N21" s="43">
        <f t="shared" si="1"/>
        <v>8600</v>
      </c>
      <c r="O21" s="417">
        <f t="shared" si="2"/>
        <v>8600</v>
      </c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s="8" customFormat="1" ht="15" customHeight="1">
      <c r="A22" s="24"/>
      <c r="B22" s="24"/>
      <c r="C22" s="10" t="s">
        <v>449</v>
      </c>
      <c r="D22" s="58">
        <v>7000</v>
      </c>
      <c r="E22" s="59">
        <v>7000</v>
      </c>
      <c r="F22" s="59">
        <v>7000</v>
      </c>
      <c r="G22" s="59"/>
      <c r="H22" s="59"/>
      <c r="I22" s="59"/>
      <c r="J22" s="59"/>
      <c r="K22" s="59"/>
      <c r="L22" s="59"/>
      <c r="M22" s="131">
        <f t="shared" si="0"/>
        <v>7000</v>
      </c>
      <c r="N22" s="131">
        <f t="shared" si="1"/>
        <v>7000</v>
      </c>
      <c r="O22" s="418">
        <f t="shared" si="2"/>
        <v>7000</v>
      </c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8" customFormat="1" ht="15" customHeight="1">
      <c r="A23" s="24"/>
      <c r="B23" s="24"/>
      <c r="C23" s="10" t="s">
        <v>450</v>
      </c>
      <c r="D23" s="58">
        <v>1500</v>
      </c>
      <c r="E23" s="59">
        <v>1600</v>
      </c>
      <c r="F23" s="59">
        <v>1600</v>
      </c>
      <c r="G23" s="59"/>
      <c r="H23" s="59"/>
      <c r="I23" s="59"/>
      <c r="J23" s="59"/>
      <c r="K23" s="59"/>
      <c r="L23" s="59"/>
      <c r="M23" s="131">
        <f t="shared" si="0"/>
        <v>1500</v>
      </c>
      <c r="N23" s="131">
        <f t="shared" si="1"/>
        <v>1600</v>
      </c>
      <c r="O23" s="418">
        <f t="shared" si="2"/>
        <v>1600</v>
      </c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s="8" customFormat="1" ht="15" customHeight="1">
      <c r="A24" s="24"/>
      <c r="B24" s="24"/>
      <c r="C24" s="25" t="s">
        <v>27</v>
      </c>
      <c r="D24" s="46"/>
      <c r="E24" s="45">
        <v>51753</v>
      </c>
      <c r="F24" s="45">
        <v>56186</v>
      </c>
      <c r="G24" s="59"/>
      <c r="H24" s="59"/>
      <c r="I24" s="59"/>
      <c r="J24" s="59"/>
      <c r="K24" s="59"/>
      <c r="L24" s="59"/>
      <c r="M24" s="43"/>
      <c r="N24" s="43">
        <f t="shared" si="1"/>
        <v>51753</v>
      </c>
      <c r="O24" s="417">
        <f t="shared" si="2"/>
        <v>56186</v>
      </c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8" customFormat="1" ht="15" customHeight="1">
      <c r="A25" s="24"/>
      <c r="B25" s="24"/>
      <c r="C25" s="25" t="s">
        <v>479</v>
      </c>
      <c r="D25" s="46">
        <v>13573</v>
      </c>
      <c r="E25" s="45">
        <v>13573</v>
      </c>
      <c r="F25" s="45">
        <v>13573</v>
      </c>
      <c r="G25" s="45"/>
      <c r="H25" s="45"/>
      <c r="I25" s="45"/>
      <c r="J25" s="45"/>
      <c r="K25" s="45"/>
      <c r="L25" s="45"/>
      <c r="M25" s="43">
        <f t="shared" si="0"/>
        <v>13573</v>
      </c>
      <c r="N25" s="43">
        <f t="shared" si="1"/>
        <v>13573</v>
      </c>
      <c r="O25" s="417">
        <f t="shared" si="2"/>
        <v>13573</v>
      </c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s="8" customFormat="1" ht="15" customHeight="1">
      <c r="A26" s="24"/>
      <c r="B26" s="24"/>
      <c r="C26" s="64" t="s">
        <v>539</v>
      </c>
      <c r="D26" s="57">
        <f>SUM(D27:D29)</f>
        <v>182393</v>
      </c>
      <c r="E26" s="57">
        <f>SUM(E27:E29)</f>
        <v>13312</v>
      </c>
      <c r="F26" s="57">
        <f>SUM(F27:F29)</f>
        <v>84694</v>
      </c>
      <c r="G26" s="57"/>
      <c r="H26" s="57"/>
      <c r="I26" s="57"/>
      <c r="J26" s="57"/>
      <c r="K26" s="313"/>
      <c r="L26" s="313"/>
      <c r="M26" s="43">
        <f t="shared" si="0"/>
        <v>182393</v>
      </c>
      <c r="N26" s="43">
        <f t="shared" si="1"/>
        <v>13312</v>
      </c>
      <c r="O26" s="417">
        <f t="shared" si="2"/>
        <v>84694</v>
      </c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s="8" customFormat="1" ht="15.75" customHeight="1">
      <c r="A27" s="24"/>
      <c r="B27" s="24"/>
      <c r="C27" s="10" t="s">
        <v>565</v>
      </c>
      <c r="D27" s="58">
        <v>15000</v>
      </c>
      <c r="E27" s="59">
        <v>1289</v>
      </c>
      <c r="F27" s="59">
        <v>1106</v>
      </c>
      <c r="G27" s="45"/>
      <c r="H27" s="45"/>
      <c r="I27" s="45"/>
      <c r="J27" s="45"/>
      <c r="K27" s="45"/>
      <c r="L27" s="45"/>
      <c r="M27" s="131">
        <f t="shared" si="0"/>
        <v>15000</v>
      </c>
      <c r="N27" s="131">
        <f t="shared" si="1"/>
        <v>1289</v>
      </c>
      <c r="O27" s="418">
        <f t="shared" si="2"/>
        <v>1106</v>
      </c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s="8" customFormat="1" ht="15" customHeight="1">
      <c r="A28" s="24"/>
      <c r="B28" s="24"/>
      <c r="C28" s="10" t="s">
        <v>500</v>
      </c>
      <c r="D28" s="58">
        <v>136900</v>
      </c>
      <c r="E28" s="59">
        <v>12000</v>
      </c>
      <c r="F28" s="59">
        <v>45076</v>
      </c>
      <c r="G28" s="45"/>
      <c r="H28" s="45"/>
      <c r="I28" s="45"/>
      <c r="J28" s="45"/>
      <c r="K28" s="45"/>
      <c r="L28" s="45"/>
      <c r="M28" s="131">
        <f t="shared" si="0"/>
        <v>136900</v>
      </c>
      <c r="N28" s="131">
        <f t="shared" si="1"/>
        <v>12000</v>
      </c>
      <c r="O28" s="418">
        <f t="shared" si="2"/>
        <v>45076</v>
      </c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s="8" customFormat="1" ht="15" customHeight="1">
      <c r="A29" s="24"/>
      <c r="B29" s="24"/>
      <c r="C29" s="79" t="s">
        <v>671</v>
      </c>
      <c r="D29" s="44">
        <v>30493</v>
      </c>
      <c r="E29" s="311">
        <v>23</v>
      </c>
      <c r="F29" s="311">
        <v>38512</v>
      </c>
      <c r="G29" s="65"/>
      <c r="H29" s="65"/>
      <c r="I29" s="65"/>
      <c r="J29" s="65"/>
      <c r="K29" s="65"/>
      <c r="L29" s="65"/>
      <c r="M29" s="131">
        <f t="shared" si="0"/>
        <v>30493</v>
      </c>
      <c r="N29" s="131">
        <f t="shared" si="1"/>
        <v>23</v>
      </c>
      <c r="O29" s="418">
        <f t="shared" si="2"/>
        <v>38512</v>
      </c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s="8" customFormat="1" ht="15" customHeight="1">
      <c r="A30" s="24"/>
      <c r="B30" s="24"/>
      <c r="C30" s="61" t="s">
        <v>650</v>
      </c>
      <c r="D30" s="155">
        <v>5879</v>
      </c>
      <c r="E30" s="65">
        <v>5879</v>
      </c>
      <c r="F30" s="65">
        <v>5879</v>
      </c>
      <c r="G30" s="65"/>
      <c r="H30" s="65"/>
      <c r="I30" s="65"/>
      <c r="J30" s="65"/>
      <c r="K30" s="65"/>
      <c r="L30" s="65"/>
      <c r="M30" s="43">
        <f t="shared" si="0"/>
        <v>5879</v>
      </c>
      <c r="N30" s="43">
        <f t="shared" si="1"/>
        <v>5879</v>
      </c>
      <c r="O30" s="417">
        <f t="shared" si="2"/>
        <v>5879</v>
      </c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s="8" customFormat="1" ht="15" customHeight="1">
      <c r="A31" s="24"/>
      <c r="B31" s="24"/>
      <c r="C31" s="60"/>
      <c r="D31" s="46"/>
      <c r="E31" s="46"/>
      <c r="F31" s="46"/>
      <c r="G31" s="46"/>
      <c r="H31" s="46"/>
      <c r="I31" s="46"/>
      <c r="J31" s="46"/>
      <c r="K31" s="45"/>
      <c r="L31" s="45"/>
      <c r="M31" s="43"/>
      <c r="N31" s="43"/>
      <c r="O31" s="41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s="8" customFormat="1" ht="15" customHeight="1" thickBot="1">
      <c r="A32" s="24"/>
      <c r="B32" s="24"/>
      <c r="C32" s="184" t="s">
        <v>358</v>
      </c>
      <c r="D32" s="66">
        <f>SUM(D9+D10+D13+D14+D17+D18+D19+D20+D21+D24+D25+D26+D30)</f>
        <v>7020204</v>
      </c>
      <c r="E32" s="66">
        <f>SUM(E9+E10+E13+E14+E17+E18+E19+E20+E21+E24+E25+E26+E30)</f>
        <v>7111272</v>
      </c>
      <c r="F32" s="66">
        <f>SUM(F9+F10+F13+F14+F17+F18+F19+F20+F21+F24+F25+F26+F30)</f>
        <v>7102870</v>
      </c>
      <c r="G32" s="66">
        <f aca="true" t="shared" si="4" ref="G32:O32">SUM(G9+G10+G13+G14+G17+G18+G19+G20+G21+G24+G25+G26+G30)</f>
        <v>1526708</v>
      </c>
      <c r="H32" s="66">
        <f>SUM(H9+H10+H13+H14+H17+H18+H19+H20+H21+H24+H25+H26+H30)</f>
        <v>1667788</v>
      </c>
      <c r="I32" s="66">
        <f t="shared" si="4"/>
        <v>1669017</v>
      </c>
      <c r="J32" s="66">
        <f t="shared" si="4"/>
        <v>757660</v>
      </c>
      <c r="K32" s="66">
        <f>SUM(K9+K10+K13+K14+K17+K18+K19+K20+K21+K24+K25+K26+K30)</f>
        <v>789825</v>
      </c>
      <c r="L32" s="66">
        <f t="shared" si="4"/>
        <v>792325</v>
      </c>
      <c r="M32" s="66">
        <f>SUM(M9+M10+M13+M14+M17+M18+M19+M20+M21+M24+M25+M26+M30)</f>
        <v>9304572</v>
      </c>
      <c r="N32" s="400">
        <f t="shared" si="4"/>
        <v>9568885</v>
      </c>
      <c r="O32" s="419">
        <f t="shared" si="4"/>
        <v>9564212</v>
      </c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="1" customFormat="1" ht="25.5" customHeight="1" thickTop="1"/>
    <row r="34" s="1" customFormat="1" ht="25.5" customHeight="1"/>
    <row r="35" spans="3:25" ht="25.5" customHeight="1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3:25" ht="25.5" customHeight="1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3:25" ht="25.5" customHeight="1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3:25" ht="25.5" customHeight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3:25" ht="25.5" customHeight="1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3:25" ht="25.5" customHeight="1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3:25" ht="25.5" customHeight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3:25" ht="25.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3:25" ht="25.5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3:25" ht="25.5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3:25" ht="25.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3:25" ht="25.5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3:25" ht="25.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3:25" ht="25.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3:25" ht="25.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3:25" ht="25.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3:25" ht="25.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3:25" ht="25.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3:25" ht="25.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3:25" ht="25.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3:25" ht="25.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3:25" ht="25.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3:25" ht="25.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3:25" ht="25.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3:12" ht="25.5" customHeight="1"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3:12" ht="25.5" customHeight="1"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3:12" ht="25.5" customHeight="1"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3:12" ht="25.5" customHeight="1"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3:12" ht="25.5" customHeight="1"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3:12" ht="25.5" customHeight="1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ht="25.5" customHeight="1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ht="25.5" customHeight="1"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3:12" ht="25.5" customHeight="1"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3:12" ht="25.5" customHeight="1"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3:12" ht="25.5" customHeight="1"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3:12" ht="25.5" customHeight="1"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3:12" ht="25.5" customHeight="1"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3:12" ht="25.5" customHeight="1"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3:12" ht="25.5" customHeight="1"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3:12" ht="25.5" customHeight="1"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3:12" ht="25.5" customHeight="1"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3:12" ht="25.5" customHeight="1"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3:12" ht="25.5" customHeight="1"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3:12" ht="25.5" customHeight="1"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3:12" ht="25.5" customHeight="1"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3:12" ht="25.5" customHeight="1"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3:12" ht="25.5" customHeight="1"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3:12" ht="25.5" customHeight="1"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3:12" ht="25.5" customHeight="1"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3:12" ht="25.5" customHeight="1"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3:12" ht="25.5" customHeight="1"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3:12" ht="25.5" customHeight="1"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3:12" ht="25.5" customHeight="1"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3:12" ht="25.5" customHeight="1"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3:12" ht="25.5" customHeight="1"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3:12" ht="25.5" customHeight="1"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3:12" ht="25.5" customHeight="1"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3:12" ht="25.5" customHeight="1"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3:12" ht="25.5" customHeight="1"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3:12" ht="25.5" customHeight="1"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3:12" ht="25.5" customHeight="1"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3:12" ht="25.5" customHeight="1"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3:12" ht="25.5" customHeight="1"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3:12" ht="25.5" customHeight="1"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3:12" ht="25.5" customHeight="1"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3:12" ht="25.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3:12" ht="25.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3:12" ht="25.5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3:12" ht="25.5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3:12" ht="25.5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3:12" ht="25.5" customHeight="1"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3:12" ht="25.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3:12" ht="25.5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3:12" ht="25.5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3:12" ht="25.5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3:12" ht="25.5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3:12" ht="25.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3:12" ht="25.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3:12" ht="25.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3:12" ht="25.5" customHeight="1"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3:12" ht="25.5" customHeight="1"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3:12" ht="25.5" customHeight="1"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3:12" ht="25.5" customHeight="1"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3:12" ht="25.5" customHeight="1"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3:12" ht="25.5" customHeight="1"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3:12" ht="25.5" customHeight="1"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3:12" ht="25.5" customHeight="1"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3:12" ht="25.5" customHeight="1"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3:12" ht="25.5" customHeight="1"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3:12" ht="25.5" customHeight="1"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3:12" ht="25.5" customHeight="1"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3:12" ht="25.5" customHeight="1"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3:12" ht="25.5" customHeight="1"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3:12" ht="25.5" customHeight="1"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3:12" ht="25.5" customHeight="1"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3:12" ht="25.5" customHeight="1"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3:12" ht="25.5" customHeight="1"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3:12" ht="25.5" customHeight="1"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3:12" ht="25.5" customHeight="1"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3:12" ht="25.5" customHeight="1"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3:12" ht="25.5" customHeight="1"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3:12" ht="25.5" customHeight="1"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3:12" ht="25.5" customHeight="1"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3:12" ht="25.5" customHeight="1"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3:12" ht="25.5" customHeight="1"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3:12" ht="25.5" customHeight="1"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3:12" ht="25.5" customHeight="1"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3:12" ht="25.5" customHeight="1"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3:12" ht="25.5" customHeight="1"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3:12" ht="25.5" customHeight="1"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3:12" ht="25.5" customHeight="1"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3:12" ht="25.5" customHeight="1"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3:12" ht="25.5" customHeight="1"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3:12" ht="25.5" customHeight="1"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3:12" ht="25.5" customHeight="1"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3:12" ht="25.5" customHeight="1"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3:12" ht="25.5" customHeight="1"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3:12" ht="25.5" customHeight="1"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3:12" ht="25.5" customHeight="1"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3:12" ht="25.5" customHeight="1"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3:12" ht="25.5" customHeight="1"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3:12" ht="25.5" customHeight="1"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3:12" ht="25.5" customHeight="1"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3:12" ht="25.5" customHeight="1"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3:12" ht="25.5" customHeight="1"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3:12" ht="25.5" customHeight="1"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3:12" ht="25.5" customHeight="1"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3:12" ht="25.5" customHeight="1"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3:12" ht="25.5" customHeight="1"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3:12" ht="25.5" customHeight="1"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3:12" ht="25.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3:12" ht="25.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3:12" ht="25.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3:12" ht="25.5" customHeight="1"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3:12" ht="25.5" customHeight="1"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3:12" ht="25.5" customHeight="1"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3:12" ht="25.5" customHeight="1"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3:12" ht="25.5" customHeight="1"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3:12" ht="25.5" customHeight="1"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3:12" ht="25.5" customHeight="1"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3:12" ht="25.5" customHeight="1"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3:12" ht="25.5" customHeight="1"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3:12" ht="25.5" customHeight="1"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3:12" ht="25.5" customHeight="1"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3:12" ht="25.5" customHeight="1"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3:12" ht="25.5" customHeight="1"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3:12" ht="25.5" customHeight="1"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3:12" ht="25.5" customHeight="1"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3:12" ht="25.5" customHeight="1"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3:12" ht="25.5" customHeight="1"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3:12" ht="25.5" customHeight="1"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3:12" ht="25.5" customHeight="1"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3:12" ht="25.5" customHeight="1"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3:12" ht="25.5" customHeight="1"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3:12" ht="25.5" customHeight="1"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3:12" ht="25.5" customHeight="1"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3:12" ht="25.5" customHeight="1"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3:12" ht="25.5" customHeight="1"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3:12" ht="25.5" customHeight="1"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3:12" ht="25.5" customHeight="1"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3:12" ht="25.5" customHeight="1"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3:12" ht="25.5" customHeight="1"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3:12" ht="25.5" customHeight="1"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3:12" ht="25.5" customHeight="1"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3:12" ht="25.5" customHeight="1"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3:12" ht="25.5" customHeight="1"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3:12" ht="25.5" customHeight="1"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3:12" ht="25.5" customHeight="1"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3:12" ht="25.5" customHeight="1"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3:12" ht="25.5" customHeight="1"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3:12" ht="25.5" customHeight="1"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3:12" ht="25.5" customHeight="1"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3:12" ht="25.5" customHeight="1"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3:12" ht="25.5" customHeight="1"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3:12" ht="25.5" customHeight="1"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3:12" ht="25.5" customHeight="1"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3:12" ht="25.5" customHeight="1"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3:12" ht="25.5" customHeight="1"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3:12" ht="25.5" customHeight="1"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3:12" ht="25.5" customHeight="1"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3:12" ht="25.5" customHeight="1"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3:12" ht="25.5" customHeight="1"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3:12" ht="25.5" customHeight="1"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3:12" ht="25.5" customHeight="1"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3:12" ht="25.5" customHeight="1"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3:12" ht="25.5" customHeight="1"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3:12" ht="25.5" customHeight="1"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3:12" ht="25.5" customHeight="1"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3:12" ht="25.5" customHeight="1"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3:12" ht="25.5" customHeight="1"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3:12" ht="25.5" customHeight="1"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3:12" ht="25.5" customHeight="1"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3:12" ht="25.5" customHeight="1"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3:12" ht="25.5" customHeight="1"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3:12" ht="25.5" customHeight="1"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3:12" ht="25.5" customHeight="1"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3:12" ht="25.5" customHeight="1"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3:12" ht="25.5" customHeight="1"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3:12" ht="25.5" customHeight="1"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3:12" ht="25.5" customHeight="1"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3:12" ht="25.5" customHeight="1"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3:12" ht="25.5" customHeight="1"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3:12" ht="25.5" customHeight="1"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3:12" ht="25.5" customHeight="1"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3:12" ht="25.5" customHeight="1"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3:12" ht="25.5" customHeight="1"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3:12" ht="25.5" customHeight="1"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3:12" ht="25.5" customHeight="1"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3:12" ht="25.5" customHeight="1"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3:12" ht="25.5" customHeight="1"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3:12" ht="25.5" customHeight="1"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3:12" ht="25.5" customHeight="1"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3:12" ht="25.5" customHeight="1"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3:12" ht="25.5" customHeight="1"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3:12" ht="25.5" customHeight="1"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3:12" ht="25.5" customHeight="1"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3:12" ht="25.5" customHeight="1"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3:12" ht="25.5" customHeight="1"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3:12" ht="25.5" customHeight="1"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3:12" ht="25.5" customHeight="1"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3:12" ht="25.5" customHeight="1"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3:12" ht="25.5" customHeight="1"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3:12" ht="25.5" customHeight="1"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3:12" ht="25.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3:12" ht="25.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3:12" ht="25.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3:12" ht="25.5" customHeight="1"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3:12" ht="25.5" customHeight="1"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3:12" ht="25.5" customHeight="1">
      <c r="C263" s="1"/>
      <c r="D263" s="1"/>
      <c r="E263" s="1"/>
      <c r="F263" s="1"/>
      <c r="G263" s="1"/>
      <c r="H263" s="1"/>
      <c r="I263" s="1"/>
      <c r="J263" s="1"/>
      <c r="K263" s="1"/>
      <c r="L263" s="1"/>
    </row>
  </sheetData>
  <mergeCells count="7">
    <mergeCell ref="C3:O3"/>
    <mergeCell ref="C4:O4"/>
    <mergeCell ref="J7:L7"/>
    <mergeCell ref="C5:M5"/>
    <mergeCell ref="M7:O7"/>
    <mergeCell ref="D7:F7"/>
    <mergeCell ref="G7:I7"/>
  </mergeCells>
  <printOptions horizontalCentered="1"/>
  <pageMargins left="0.2" right="0.2" top="0.35433070866141736" bottom="0.35433070866141736" header="0.2755905511811024" footer="0.2362204724409449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6"/>
  <sheetViews>
    <sheetView workbookViewId="0" topLeftCell="C316">
      <selection activeCell="M156" sqref="M156"/>
    </sheetView>
  </sheetViews>
  <sheetFormatPr defaultColWidth="9.00390625" defaultRowHeight="12.75"/>
  <cols>
    <col min="1" max="1" width="8.00390625" style="35" customWidth="1"/>
    <col min="2" max="2" width="74.75390625" style="32" customWidth="1"/>
    <col min="3" max="3" width="10.625" style="80" customWidth="1"/>
    <col min="4" max="4" width="9.25390625" style="33" customWidth="1"/>
    <col min="5" max="5" width="9.875" style="32" customWidth="1"/>
    <col min="6" max="7" width="8.75390625" style="32" customWidth="1"/>
    <col min="8" max="8" width="9.625" style="32" customWidth="1"/>
    <col min="9" max="9" width="9.375" style="32" customWidth="1"/>
    <col min="10" max="10" width="10.125" style="32" customWidth="1"/>
    <col min="11" max="11" width="9.375" style="32" customWidth="1"/>
    <col min="12" max="12" width="9.125" style="32" customWidth="1"/>
    <col min="13" max="13" width="8.875" style="34" customWidth="1"/>
    <col min="14" max="14" width="9.625" style="32" customWidth="1"/>
    <col min="15" max="16384" width="9.125" style="32" customWidth="1"/>
  </cols>
  <sheetData>
    <row r="1" ht="12.75">
      <c r="A1" s="254" t="s">
        <v>451</v>
      </c>
    </row>
    <row r="2" ht="10.5" customHeight="1"/>
    <row r="3" spans="1:14" ht="15.75" customHeight="1">
      <c r="A3" s="709" t="s">
        <v>349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</row>
    <row r="4" spans="1:14" ht="12.75" customHeight="1">
      <c r="A4" s="711"/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</row>
    <row r="5" spans="12:14" ht="11.25" customHeight="1" thickBot="1">
      <c r="L5" s="36"/>
      <c r="M5" s="37"/>
      <c r="N5" s="37" t="s">
        <v>452</v>
      </c>
    </row>
    <row r="6" spans="1:14" s="38" customFormat="1" ht="13.5" thickTop="1">
      <c r="A6" s="686" t="s">
        <v>553</v>
      </c>
      <c r="B6" s="687"/>
      <c r="C6" s="687"/>
      <c r="D6" s="692" t="s">
        <v>458</v>
      </c>
      <c r="E6" s="695" t="s">
        <v>554</v>
      </c>
      <c r="F6" s="68" t="s">
        <v>555</v>
      </c>
      <c r="G6" s="68"/>
      <c r="H6" s="68"/>
      <c r="I6" s="266"/>
      <c r="J6" s="266"/>
      <c r="K6" s="68" t="s">
        <v>489</v>
      </c>
      <c r="L6" s="68"/>
      <c r="M6" s="698" t="s">
        <v>633</v>
      </c>
      <c r="N6" s="679" t="s">
        <v>534</v>
      </c>
    </row>
    <row r="7" spans="1:14" s="38" customFormat="1" ht="12">
      <c r="A7" s="688"/>
      <c r="B7" s="689"/>
      <c r="C7" s="689"/>
      <c r="D7" s="693"/>
      <c r="E7" s="696"/>
      <c r="F7" s="682" t="s">
        <v>627</v>
      </c>
      <c r="G7" s="682" t="s">
        <v>628</v>
      </c>
      <c r="H7" s="682" t="s">
        <v>629</v>
      </c>
      <c r="I7" s="682" t="s">
        <v>630</v>
      </c>
      <c r="J7" s="682" t="s">
        <v>632</v>
      </c>
      <c r="K7" s="684" t="s">
        <v>549</v>
      </c>
      <c r="L7" s="684" t="s">
        <v>530</v>
      </c>
      <c r="M7" s="699"/>
      <c r="N7" s="680"/>
    </row>
    <row r="8" spans="1:14" s="38" customFormat="1" ht="39" customHeight="1" thickBot="1">
      <c r="A8" s="690"/>
      <c r="B8" s="691"/>
      <c r="C8" s="691"/>
      <c r="D8" s="694"/>
      <c r="E8" s="697"/>
      <c r="F8" s="683"/>
      <c r="G8" s="683"/>
      <c r="H8" s="683"/>
      <c r="I8" s="683"/>
      <c r="J8" s="683"/>
      <c r="K8" s="685"/>
      <c r="L8" s="685"/>
      <c r="M8" s="683"/>
      <c r="N8" s="681"/>
    </row>
    <row r="9" spans="1:14" s="38" customFormat="1" ht="12" customHeight="1" thickTop="1">
      <c r="A9" s="72" t="s">
        <v>726</v>
      </c>
      <c r="B9" s="240" t="s">
        <v>727</v>
      </c>
      <c r="C9" s="82" t="s">
        <v>491</v>
      </c>
      <c r="D9" s="70">
        <v>0</v>
      </c>
      <c r="E9" s="70">
        <f aca="true" t="shared" si="0" ref="E9:E56">SUM(F9:N9)</f>
        <v>9420</v>
      </c>
      <c r="F9" s="70"/>
      <c r="G9" s="70"/>
      <c r="H9" s="70">
        <v>9420</v>
      </c>
      <c r="I9" s="70"/>
      <c r="J9" s="70"/>
      <c r="K9" s="70"/>
      <c r="L9" s="70"/>
      <c r="M9" s="70"/>
      <c r="N9" s="71"/>
    </row>
    <row r="10" spans="1:14" s="38" customFormat="1" ht="12" customHeight="1">
      <c r="A10" s="72"/>
      <c r="B10" s="240"/>
      <c r="C10" s="82" t="s">
        <v>496</v>
      </c>
      <c r="D10" s="70"/>
      <c r="E10" s="70">
        <f>SUM(F10:N10)</f>
        <v>10220</v>
      </c>
      <c r="F10" s="70"/>
      <c r="G10" s="70"/>
      <c r="H10" s="70">
        <v>10220</v>
      </c>
      <c r="I10" s="70"/>
      <c r="J10" s="70"/>
      <c r="K10" s="70"/>
      <c r="L10" s="70"/>
      <c r="M10" s="70"/>
      <c r="N10" s="71"/>
    </row>
    <row r="11" spans="1:14" s="38" customFormat="1" ht="12" customHeight="1">
      <c r="A11" s="72"/>
      <c r="B11" s="240"/>
      <c r="C11" s="82" t="s">
        <v>85</v>
      </c>
      <c r="D11" s="70"/>
      <c r="E11" s="70">
        <f>SUM(F11:N11)</f>
        <v>10220</v>
      </c>
      <c r="F11" s="70"/>
      <c r="G11" s="70"/>
      <c r="H11" s="70">
        <v>10220</v>
      </c>
      <c r="I11" s="70"/>
      <c r="J11" s="70"/>
      <c r="K11" s="70"/>
      <c r="L11" s="70"/>
      <c r="M11" s="70"/>
      <c r="N11" s="71"/>
    </row>
    <row r="12" spans="1:14" s="38" customFormat="1" ht="12" customHeight="1">
      <c r="A12" s="264">
        <v>360000</v>
      </c>
      <c r="B12" s="267" t="s">
        <v>735</v>
      </c>
      <c r="C12" s="81" t="s">
        <v>491</v>
      </c>
      <c r="D12" s="69">
        <v>100357</v>
      </c>
      <c r="E12" s="70">
        <f>SUM(F12:N12)</f>
        <v>140111</v>
      </c>
      <c r="F12" s="69"/>
      <c r="G12" s="69"/>
      <c r="H12" s="69">
        <v>300</v>
      </c>
      <c r="I12" s="69">
        <v>4600</v>
      </c>
      <c r="J12" s="69"/>
      <c r="K12" s="69">
        <v>10000</v>
      </c>
      <c r="L12" s="69">
        <v>125211</v>
      </c>
      <c r="M12" s="69"/>
      <c r="N12" s="73"/>
    </row>
    <row r="13" spans="1:14" s="38" customFormat="1" ht="12" customHeight="1">
      <c r="A13" s="264"/>
      <c r="B13" s="267"/>
      <c r="C13" s="82" t="s">
        <v>496</v>
      </c>
      <c r="D13" s="69">
        <v>100357</v>
      </c>
      <c r="E13" s="70">
        <f>SUM(F13:N13)</f>
        <v>153912</v>
      </c>
      <c r="F13" s="69"/>
      <c r="G13" s="69"/>
      <c r="H13" s="69">
        <v>300</v>
      </c>
      <c r="I13" s="69">
        <v>4600</v>
      </c>
      <c r="J13" s="69"/>
      <c r="K13" s="69">
        <v>10413</v>
      </c>
      <c r="L13" s="69">
        <v>138599</v>
      </c>
      <c r="M13" s="69"/>
      <c r="N13" s="73"/>
    </row>
    <row r="14" spans="1:14" s="38" customFormat="1" ht="12" customHeight="1">
      <c r="A14" s="264"/>
      <c r="B14" s="267"/>
      <c r="C14" s="82" t="s">
        <v>85</v>
      </c>
      <c r="D14" s="69">
        <v>100357</v>
      </c>
      <c r="E14" s="70">
        <f>SUM(F14:N14)</f>
        <v>153912</v>
      </c>
      <c r="F14" s="69"/>
      <c r="G14" s="69"/>
      <c r="H14" s="69">
        <v>300</v>
      </c>
      <c r="I14" s="69">
        <v>4600</v>
      </c>
      <c r="J14" s="69"/>
      <c r="K14" s="69">
        <v>10413</v>
      </c>
      <c r="L14" s="69">
        <v>138599</v>
      </c>
      <c r="M14" s="69"/>
      <c r="N14" s="73"/>
    </row>
    <row r="15" spans="1:14" s="38" customFormat="1" ht="12" customHeight="1">
      <c r="A15" s="264">
        <v>370000</v>
      </c>
      <c r="B15" s="262" t="s">
        <v>747</v>
      </c>
      <c r="C15" s="81" t="s">
        <v>491</v>
      </c>
      <c r="D15" s="69">
        <v>16155</v>
      </c>
      <c r="E15" s="69">
        <f t="shared" si="0"/>
        <v>20575</v>
      </c>
      <c r="F15" s="69"/>
      <c r="G15" s="69"/>
      <c r="H15" s="69">
        <v>3000</v>
      </c>
      <c r="I15" s="69"/>
      <c r="J15" s="69"/>
      <c r="K15" s="69">
        <v>2000</v>
      </c>
      <c r="L15" s="69">
        <v>15575</v>
      </c>
      <c r="M15" s="69"/>
      <c r="N15" s="73"/>
    </row>
    <row r="16" spans="1:14" s="38" customFormat="1" ht="12" customHeight="1">
      <c r="A16" s="264"/>
      <c r="B16" s="262"/>
      <c r="C16" s="82" t="s">
        <v>496</v>
      </c>
      <c r="D16" s="69">
        <v>16474</v>
      </c>
      <c r="E16" s="69">
        <f t="shared" si="0"/>
        <v>28934</v>
      </c>
      <c r="F16" s="69"/>
      <c r="G16" s="69"/>
      <c r="H16" s="69">
        <v>4000</v>
      </c>
      <c r="I16" s="69">
        <v>319</v>
      </c>
      <c r="J16" s="69">
        <v>236</v>
      </c>
      <c r="K16" s="69">
        <v>2138</v>
      </c>
      <c r="L16" s="69">
        <v>22241</v>
      </c>
      <c r="M16" s="69"/>
      <c r="N16" s="73"/>
    </row>
    <row r="17" spans="1:14" s="38" customFormat="1" ht="12" customHeight="1">
      <c r="A17" s="264"/>
      <c r="B17" s="262"/>
      <c r="C17" s="82" t="s">
        <v>85</v>
      </c>
      <c r="D17" s="69">
        <v>16629</v>
      </c>
      <c r="E17" s="69">
        <f t="shared" si="0"/>
        <v>29089</v>
      </c>
      <c r="F17" s="69"/>
      <c r="G17" s="69"/>
      <c r="H17" s="69">
        <v>4000</v>
      </c>
      <c r="I17" s="69">
        <v>474</v>
      </c>
      <c r="J17" s="69">
        <v>236</v>
      </c>
      <c r="K17" s="69">
        <v>2138</v>
      </c>
      <c r="L17" s="69">
        <v>22241</v>
      </c>
      <c r="M17" s="69"/>
      <c r="N17" s="73"/>
    </row>
    <row r="18" spans="1:14" s="38" customFormat="1" ht="12" customHeight="1">
      <c r="A18" s="264">
        <v>381103</v>
      </c>
      <c r="B18" s="262" t="s">
        <v>746</v>
      </c>
      <c r="C18" s="81" t="s">
        <v>491</v>
      </c>
      <c r="D18" s="69"/>
      <c r="E18" s="69">
        <f t="shared" si="0"/>
        <v>49725</v>
      </c>
      <c r="F18" s="69"/>
      <c r="G18" s="69"/>
      <c r="H18" s="69">
        <v>29225</v>
      </c>
      <c r="I18" s="69">
        <v>20500</v>
      </c>
      <c r="J18" s="69"/>
      <c r="K18" s="69"/>
      <c r="L18" s="69"/>
      <c r="M18" s="69"/>
      <c r="N18" s="73"/>
    </row>
    <row r="19" spans="1:14" s="38" customFormat="1" ht="12" customHeight="1">
      <c r="A19" s="264"/>
      <c r="B19" s="262"/>
      <c r="C19" s="82" t="s">
        <v>496</v>
      </c>
      <c r="D19" s="69"/>
      <c r="E19" s="69">
        <f t="shared" si="0"/>
        <v>49857</v>
      </c>
      <c r="F19" s="69"/>
      <c r="G19" s="69"/>
      <c r="H19" s="69">
        <v>29225</v>
      </c>
      <c r="I19" s="69">
        <v>20500</v>
      </c>
      <c r="J19" s="69"/>
      <c r="K19" s="69"/>
      <c r="L19" s="69">
        <v>132</v>
      </c>
      <c r="M19" s="69"/>
      <c r="N19" s="73"/>
    </row>
    <row r="20" spans="1:14" s="38" customFormat="1" ht="12" customHeight="1">
      <c r="A20" s="264"/>
      <c r="B20" s="262"/>
      <c r="C20" s="82" t="s">
        <v>85</v>
      </c>
      <c r="D20" s="69"/>
      <c r="E20" s="69">
        <f t="shared" si="0"/>
        <v>49857</v>
      </c>
      <c r="F20" s="69"/>
      <c r="G20" s="69"/>
      <c r="H20" s="69">
        <v>29225</v>
      </c>
      <c r="I20" s="69">
        <v>20500</v>
      </c>
      <c r="J20" s="69"/>
      <c r="K20" s="69"/>
      <c r="L20" s="69">
        <v>132</v>
      </c>
      <c r="M20" s="69"/>
      <c r="N20" s="73"/>
    </row>
    <row r="21" spans="1:14" s="38" customFormat="1" ht="12" customHeight="1">
      <c r="A21" s="264">
        <v>412000</v>
      </c>
      <c r="B21" s="262" t="s">
        <v>733</v>
      </c>
      <c r="C21" s="81" t="s">
        <v>491</v>
      </c>
      <c r="D21" s="69">
        <v>1689754</v>
      </c>
      <c r="E21" s="69">
        <f t="shared" si="0"/>
        <v>2968176</v>
      </c>
      <c r="F21" s="69"/>
      <c r="G21" s="69"/>
      <c r="H21" s="69"/>
      <c r="I21" s="69">
        <v>184812</v>
      </c>
      <c r="J21" s="69"/>
      <c r="K21" s="69">
        <v>84077</v>
      </c>
      <c r="L21" s="69">
        <v>2699287</v>
      </c>
      <c r="M21" s="69"/>
      <c r="N21" s="73"/>
    </row>
    <row r="22" spans="1:14" s="38" customFormat="1" ht="12" customHeight="1">
      <c r="A22" s="264"/>
      <c r="B22" s="262"/>
      <c r="C22" s="82" t="s">
        <v>496</v>
      </c>
      <c r="D22" s="69">
        <v>1517892</v>
      </c>
      <c r="E22" s="69">
        <f t="shared" si="0"/>
        <v>3162089</v>
      </c>
      <c r="F22" s="69">
        <v>10800</v>
      </c>
      <c r="G22" s="69">
        <v>2655</v>
      </c>
      <c r="H22" s="69">
        <v>139652</v>
      </c>
      <c r="I22" s="69">
        <v>178312</v>
      </c>
      <c r="J22" s="69"/>
      <c r="K22" s="69">
        <v>78257</v>
      </c>
      <c r="L22" s="69">
        <v>2752413</v>
      </c>
      <c r="M22" s="69"/>
      <c r="N22" s="73"/>
    </row>
    <row r="23" spans="1:14" s="38" customFormat="1" ht="12" customHeight="1">
      <c r="A23" s="264"/>
      <c r="B23" s="262"/>
      <c r="C23" s="82" t="s">
        <v>85</v>
      </c>
      <c r="D23" s="69">
        <v>1487892</v>
      </c>
      <c r="E23" s="69">
        <f t="shared" si="0"/>
        <v>3134356</v>
      </c>
      <c r="F23" s="69">
        <v>11476</v>
      </c>
      <c r="G23" s="69">
        <v>2819</v>
      </c>
      <c r="H23" s="69">
        <v>139769</v>
      </c>
      <c r="I23" s="69">
        <v>178312</v>
      </c>
      <c r="J23" s="69"/>
      <c r="K23" s="69">
        <v>46504</v>
      </c>
      <c r="L23" s="69">
        <v>2755476</v>
      </c>
      <c r="M23" s="69"/>
      <c r="N23" s="73"/>
    </row>
    <row r="24" spans="1:14" s="38" customFormat="1" ht="12" customHeight="1">
      <c r="A24" s="264">
        <v>421100</v>
      </c>
      <c r="B24" s="262" t="s">
        <v>729</v>
      </c>
      <c r="C24" s="81" t="s">
        <v>491</v>
      </c>
      <c r="D24" s="69">
        <v>566273</v>
      </c>
      <c r="E24" s="69">
        <f t="shared" si="0"/>
        <v>1122735</v>
      </c>
      <c r="F24" s="69"/>
      <c r="G24" s="69"/>
      <c r="H24" s="69"/>
      <c r="I24" s="69">
        <v>82529</v>
      </c>
      <c r="J24" s="69"/>
      <c r="K24" s="69">
        <v>97291</v>
      </c>
      <c r="L24" s="69">
        <v>942915</v>
      </c>
      <c r="M24" s="69"/>
      <c r="N24" s="73"/>
    </row>
    <row r="25" spans="1:14" s="38" customFormat="1" ht="12" customHeight="1">
      <c r="A25" s="264"/>
      <c r="B25" s="262"/>
      <c r="C25" s="82" t="s">
        <v>496</v>
      </c>
      <c r="D25" s="69">
        <v>258573</v>
      </c>
      <c r="E25" s="69">
        <f t="shared" si="0"/>
        <v>808015</v>
      </c>
      <c r="F25" s="69"/>
      <c r="G25" s="69"/>
      <c r="H25" s="69">
        <v>8918</v>
      </c>
      <c r="I25" s="69">
        <v>88124</v>
      </c>
      <c r="J25" s="69"/>
      <c r="K25" s="69">
        <v>120928</v>
      </c>
      <c r="L25" s="69">
        <v>590045</v>
      </c>
      <c r="M25" s="69"/>
      <c r="N25" s="73"/>
    </row>
    <row r="26" spans="1:14" s="38" customFormat="1" ht="12" customHeight="1">
      <c r="A26" s="264"/>
      <c r="B26" s="262"/>
      <c r="C26" s="82" t="s">
        <v>85</v>
      </c>
      <c r="D26" s="69">
        <v>258573</v>
      </c>
      <c r="E26" s="69">
        <f t="shared" si="0"/>
        <v>808578</v>
      </c>
      <c r="F26" s="69">
        <v>1200</v>
      </c>
      <c r="G26" s="69">
        <v>292</v>
      </c>
      <c r="H26" s="69">
        <v>8918</v>
      </c>
      <c r="I26" s="69">
        <v>88124</v>
      </c>
      <c r="J26" s="69"/>
      <c r="K26" s="69">
        <v>121491</v>
      </c>
      <c r="L26" s="69">
        <v>588553</v>
      </c>
      <c r="M26" s="69"/>
      <c r="N26" s="73"/>
    </row>
    <row r="27" spans="1:14" s="38" customFormat="1" ht="12" customHeight="1">
      <c r="A27" s="264">
        <v>493909</v>
      </c>
      <c r="B27" s="262" t="s">
        <v>142</v>
      </c>
      <c r="C27" s="81" t="s">
        <v>491</v>
      </c>
      <c r="D27" s="69"/>
      <c r="E27" s="69">
        <f t="shared" si="0"/>
        <v>0</v>
      </c>
      <c r="F27" s="69"/>
      <c r="G27" s="69"/>
      <c r="H27" s="69"/>
      <c r="I27" s="69"/>
      <c r="J27" s="69"/>
      <c r="K27" s="69"/>
      <c r="L27" s="69"/>
      <c r="M27" s="69"/>
      <c r="N27" s="73"/>
    </row>
    <row r="28" spans="1:14" s="38" customFormat="1" ht="12" customHeight="1">
      <c r="A28" s="264"/>
      <c r="B28" s="262"/>
      <c r="C28" s="82" t="s">
        <v>496</v>
      </c>
      <c r="D28" s="69"/>
      <c r="E28" s="69">
        <f t="shared" si="0"/>
        <v>9100</v>
      </c>
      <c r="F28" s="69"/>
      <c r="G28" s="69"/>
      <c r="H28" s="69"/>
      <c r="I28" s="69">
        <v>9100</v>
      </c>
      <c r="J28" s="69"/>
      <c r="K28" s="69"/>
      <c r="L28" s="69"/>
      <c r="M28" s="69"/>
      <c r="N28" s="73"/>
    </row>
    <row r="29" spans="1:14" s="38" customFormat="1" ht="12" customHeight="1">
      <c r="A29" s="264"/>
      <c r="B29" s="262"/>
      <c r="C29" s="82" t="s">
        <v>85</v>
      </c>
      <c r="D29" s="69">
        <v>5750</v>
      </c>
      <c r="E29" s="69">
        <f t="shared" si="0"/>
        <v>14850</v>
      </c>
      <c r="F29" s="69"/>
      <c r="G29" s="69"/>
      <c r="H29" s="69"/>
      <c r="I29" s="69">
        <v>14850</v>
      </c>
      <c r="J29" s="69"/>
      <c r="K29" s="69"/>
      <c r="L29" s="69"/>
      <c r="M29" s="69"/>
      <c r="N29" s="73"/>
    </row>
    <row r="30" spans="1:14" s="38" customFormat="1" ht="12" customHeight="1">
      <c r="A30" s="264">
        <v>522110</v>
      </c>
      <c r="B30" s="262" t="s">
        <v>731</v>
      </c>
      <c r="C30" s="81" t="s">
        <v>491</v>
      </c>
      <c r="D30" s="69"/>
      <c r="E30" s="69">
        <f t="shared" si="0"/>
        <v>36600</v>
      </c>
      <c r="F30" s="69"/>
      <c r="G30" s="69"/>
      <c r="H30" s="69">
        <v>20000</v>
      </c>
      <c r="I30" s="69">
        <v>16600</v>
      </c>
      <c r="J30" s="77"/>
      <c r="K30" s="77"/>
      <c r="L30" s="69"/>
      <c r="M30" s="69"/>
      <c r="N30" s="73"/>
    </row>
    <row r="31" spans="1:14" s="38" customFormat="1" ht="12" customHeight="1">
      <c r="A31" s="264"/>
      <c r="B31" s="262"/>
      <c r="C31" s="82" t="s">
        <v>496</v>
      </c>
      <c r="D31" s="69"/>
      <c r="E31" s="69">
        <f t="shared" si="0"/>
        <v>36489</v>
      </c>
      <c r="F31" s="69"/>
      <c r="G31" s="69"/>
      <c r="H31" s="69">
        <v>19889</v>
      </c>
      <c r="I31" s="69">
        <v>16600</v>
      </c>
      <c r="J31" s="77"/>
      <c r="K31" s="77"/>
      <c r="L31" s="69"/>
      <c r="M31" s="69"/>
      <c r="N31" s="73"/>
    </row>
    <row r="32" spans="1:14" s="38" customFormat="1" ht="12" customHeight="1">
      <c r="A32" s="264"/>
      <c r="B32" s="262"/>
      <c r="C32" s="82" t="s">
        <v>85</v>
      </c>
      <c r="D32" s="69"/>
      <c r="E32" s="69">
        <f t="shared" si="0"/>
        <v>36489</v>
      </c>
      <c r="F32" s="69"/>
      <c r="G32" s="69"/>
      <c r="H32" s="69">
        <v>19889</v>
      </c>
      <c r="I32" s="69">
        <v>16600</v>
      </c>
      <c r="J32" s="77"/>
      <c r="K32" s="77"/>
      <c r="L32" s="69"/>
      <c r="M32" s="69"/>
      <c r="N32" s="73"/>
    </row>
    <row r="33" spans="1:14" s="38" customFormat="1" ht="12" customHeight="1">
      <c r="A33" s="264">
        <v>552001</v>
      </c>
      <c r="B33" s="262" t="s">
        <v>730</v>
      </c>
      <c r="C33" s="81" t="s">
        <v>491</v>
      </c>
      <c r="D33" s="69">
        <v>2750</v>
      </c>
      <c r="E33" s="69">
        <f t="shared" si="0"/>
        <v>4517</v>
      </c>
      <c r="F33" s="69"/>
      <c r="G33" s="69"/>
      <c r="H33" s="69">
        <v>3617</v>
      </c>
      <c r="I33" s="69">
        <v>900</v>
      </c>
      <c r="J33" s="77"/>
      <c r="K33" s="77"/>
      <c r="L33" s="69"/>
      <c r="M33" s="69"/>
      <c r="N33" s="73"/>
    </row>
    <row r="34" spans="1:14" s="38" customFormat="1" ht="12" customHeight="1">
      <c r="A34" s="264"/>
      <c r="B34" s="262"/>
      <c r="C34" s="82" t="s">
        <v>496</v>
      </c>
      <c r="D34" s="69">
        <v>2750</v>
      </c>
      <c r="E34" s="69">
        <f t="shared" si="0"/>
        <v>11517</v>
      </c>
      <c r="F34" s="69"/>
      <c r="G34" s="69"/>
      <c r="H34" s="69">
        <v>3617</v>
      </c>
      <c r="I34" s="69">
        <v>900</v>
      </c>
      <c r="J34" s="77"/>
      <c r="K34" s="77"/>
      <c r="L34" s="69">
        <v>7000</v>
      </c>
      <c r="M34" s="69"/>
      <c r="N34" s="73"/>
    </row>
    <row r="35" spans="1:14" s="38" customFormat="1" ht="12" customHeight="1">
      <c r="A35" s="264"/>
      <c r="B35" s="262"/>
      <c r="C35" s="82" t="s">
        <v>85</v>
      </c>
      <c r="D35" s="69">
        <v>2750</v>
      </c>
      <c r="E35" s="69">
        <f t="shared" si="0"/>
        <v>11517</v>
      </c>
      <c r="F35" s="69"/>
      <c r="G35" s="69"/>
      <c r="H35" s="69">
        <v>3617</v>
      </c>
      <c r="I35" s="69">
        <v>900</v>
      </c>
      <c r="J35" s="77"/>
      <c r="K35" s="77"/>
      <c r="L35" s="69">
        <v>7000</v>
      </c>
      <c r="M35" s="69"/>
      <c r="N35" s="73"/>
    </row>
    <row r="36" spans="1:14" s="38" customFormat="1" ht="12" customHeight="1">
      <c r="A36" s="265">
        <v>581100</v>
      </c>
      <c r="B36" s="268" t="s">
        <v>785</v>
      </c>
      <c r="C36" s="81" t="s">
        <v>491</v>
      </c>
      <c r="D36" s="69"/>
      <c r="E36" s="69">
        <f t="shared" si="0"/>
        <v>2250</v>
      </c>
      <c r="F36" s="75"/>
      <c r="G36" s="75"/>
      <c r="H36" s="75">
        <v>2250</v>
      </c>
      <c r="I36" s="75"/>
      <c r="J36" s="75"/>
      <c r="K36" s="75"/>
      <c r="L36" s="75"/>
      <c r="M36" s="75"/>
      <c r="N36" s="76"/>
    </row>
    <row r="37" spans="1:14" s="38" customFormat="1" ht="12" customHeight="1">
      <c r="A37" s="265"/>
      <c r="B37" s="268"/>
      <c r="C37" s="82" t="s">
        <v>496</v>
      </c>
      <c r="D37" s="69"/>
      <c r="E37" s="69">
        <f t="shared" si="0"/>
        <v>6302</v>
      </c>
      <c r="F37" s="75"/>
      <c r="G37" s="75"/>
      <c r="H37" s="75">
        <v>6302</v>
      </c>
      <c r="I37" s="75"/>
      <c r="J37" s="75"/>
      <c r="K37" s="75"/>
      <c r="L37" s="75"/>
      <c r="M37" s="75"/>
      <c r="N37" s="76"/>
    </row>
    <row r="38" spans="1:14" s="38" customFormat="1" ht="12" customHeight="1">
      <c r="A38" s="265"/>
      <c r="B38" s="268"/>
      <c r="C38" s="82" t="s">
        <v>85</v>
      </c>
      <c r="D38" s="69"/>
      <c r="E38" s="69">
        <f t="shared" si="0"/>
        <v>6552</v>
      </c>
      <c r="F38" s="75"/>
      <c r="G38" s="75"/>
      <c r="H38" s="75">
        <v>6552</v>
      </c>
      <c r="I38" s="75"/>
      <c r="J38" s="75"/>
      <c r="K38" s="75"/>
      <c r="L38" s="75"/>
      <c r="M38" s="75"/>
      <c r="N38" s="76"/>
    </row>
    <row r="39" spans="1:14" s="38" customFormat="1" ht="12" customHeight="1">
      <c r="A39" s="264">
        <v>581900</v>
      </c>
      <c r="B39" s="262" t="s">
        <v>728</v>
      </c>
      <c r="C39" s="81" t="s">
        <v>491</v>
      </c>
      <c r="D39" s="69">
        <v>0</v>
      </c>
      <c r="E39" s="69">
        <f t="shared" si="0"/>
        <v>15000</v>
      </c>
      <c r="F39" s="69"/>
      <c r="G39" s="69"/>
      <c r="H39" s="69">
        <v>15000</v>
      </c>
      <c r="I39" s="69"/>
      <c r="J39" s="69"/>
      <c r="K39" s="69"/>
      <c r="L39" s="69"/>
      <c r="M39" s="69"/>
      <c r="N39" s="73"/>
    </row>
    <row r="40" spans="1:14" s="38" customFormat="1" ht="12" customHeight="1">
      <c r="A40" s="264"/>
      <c r="B40" s="262"/>
      <c r="C40" s="82" t="s">
        <v>496</v>
      </c>
      <c r="D40" s="69"/>
      <c r="E40" s="69">
        <f t="shared" si="0"/>
        <v>23338</v>
      </c>
      <c r="F40" s="69"/>
      <c r="G40" s="69"/>
      <c r="H40" s="69">
        <v>22838</v>
      </c>
      <c r="I40" s="69">
        <v>500</v>
      </c>
      <c r="J40" s="69"/>
      <c r="K40" s="69"/>
      <c r="L40" s="69"/>
      <c r="M40" s="69"/>
      <c r="N40" s="73"/>
    </row>
    <row r="41" spans="1:14" s="38" customFormat="1" ht="12" customHeight="1">
      <c r="A41" s="264"/>
      <c r="B41" s="262"/>
      <c r="C41" s="82" t="s">
        <v>85</v>
      </c>
      <c r="D41" s="69"/>
      <c r="E41" s="69">
        <f t="shared" si="0"/>
        <v>23588</v>
      </c>
      <c r="F41" s="69">
        <v>201</v>
      </c>
      <c r="G41" s="69">
        <v>49</v>
      </c>
      <c r="H41" s="69">
        <v>22838</v>
      </c>
      <c r="I41" s="69">
        <v>500</v>
      </c>
      <c r="J41" s="69"/>
      <c r="K41" s="69"/>
      <c r="L41" s="69"/>
      <c r="M41" s="69"/>
      <c r="N41" s="73"/>
    </row>
    <row r="42" spans="1:14" s="38" customFormat="1" ht="12" customHeight="1">
      <c r="A42" s="264">
        <v>681000</v>
      </c>
      <c r="B42" s="262" t="s">
        <v>736</v>
      </c>
      <c r="C42" s="81" t="s">
        <v>491</v>
      </c>
      <c r="D42" s="69">
        <v>735800</v>
      </c>
      <c r="E42" s="69">
        <f t="shared" si="0"/>
        <v>235000</v>
      </c>
      <c r="F42" s="69"/>
      <c r="G42" s="69"/>
      <c r="H42" s="69"/>
      <c r="I42" s="69"/>
      <c r="J42" s="69"/>
      <c r="K42" s="69"/>
      <c r="L42" s="69">
        <v>235000</v>
      </c>
      <c r="M42" s="69"/>
      <c r="N42" s="73"/>
    </row>
    <row r="43" spans="1:14" s="38" customFormat="1" ht="12" customHeight="1">
      <c r="A43" s="264"/>
      <c r="B43" s="262"/>
      <c r="C43" s="82" t="s">
        <v>496</v>
      </c>
      <c r="D43" s="69">
        <v>741756</v>
      </c>
      <c r="E43" s="69">
        <f t="shared" si="0"/>
        <v>269891</v>
      </c>
      <c r="F43" s="69"/>
      <c r="G43" s="69"/>
      <c r="H43" s="69">
        <v>19891</v>
      </c>
      <c r="I43" s="69"/>
      <c r="J43" s="69"/>
      <c r="K43" s="69"/>
      <c r="L43" s="69">
        <v>250000</v>
      </c>
      <c r="M43" s="69"/>
      <c r="N43" s="73"/>
    </row>
    <row r="44" spans="1:14" s="38" customFormat="1" ht="12" customHeight="1">
      <c r="A44" s="264"/>
      <c r="B44" s="262"/>
      <c r="C44" s="82" t="s">
        <v>85</v>
      </c>
      <c r="D44" s="69">
        <v>741756</v>
      </c>
      <c r="E44" s="69">
        <f t="shared" si="0"/>
        <v>271932</v>
      </c>
      <c r="F44" s="69"/>
      <c r="G44" s="69"/>
      <c r="H44" s="69">
        <v>19891</v>
      </c>
      <c r="I44" s="69"/>
      <c r="J44" s="69"/>
      <c r="K44" s="69"/>
      <c r="L44" s="69">
        <v>252041</v>
      </c>
      <c r="M44" s="69"/>
      <c r="N44" s="73"/>
    </row>
    <row r="45" spans="1:14" s="38" customFormat="1" ht="12" customHeight="1">
      <c r="A45" s="264">
        <v>682001</v>
      </c>
      <c r="B45" s="262" t="s">
        <v>737</v>
      </c>
      <c r="C45" s="81" t="s">
        <v>491</v>
      </c>
      <c r="D45" s="69">
        <v>54500</v>
      </c>
      <c r="E45" s="69">
        <f t="shared" si="0"/>
        <v>90562</v>
      </c>
      <c r="F45" s="69"/>
      <c r="G45" s="69"/>
      <c r="H45" s="69">
        <v>72687</v>
      </c>
      <c r="I45" s="69"/>
      <c r="J45" s="69"/>
      <c r="K45" s="69"/>
      <c r="L45" s="69">
        <v>17875</v>
      </c>
      <c r="M45" s="69"/>
      <c r="N45" s="73"/>
    </row>
    <row r="46" spans="1:14" s="38" customFormat="1" ht="12" customHeight="1">
      <c r="A46" s="264"/>
      <c r="B46" s="262"/>
      <c r="C46" s="82" t="s">
        <v>496</v>
      </c>
      <c r="D46" s="69">
        <v>54500</v>
      </c>
      <c r="E46" s="69">
        <f t="shared" si="0"/>
        <v>52062</v>
      </c>
      <c r="F46" s="69"/>
      <c r="G46" s="69"/>
      <c r="H46" s="69">
        <v>39687</v>
      </c>
      <c r="I46" s="69"/>
      <c r="J46" s="69"/>
      <c r="K46" s="69"/>
      <c r="L46" s="69">
        <v>12375</v>
      </c>
      <c r="M46" s="69"/>
      <c r="N46" s="73"/>
    </row>
    <row r="47" spans="1:14" s="38" customFormat="1" ht="12" customHeight="1">
      <c r="A47" s="264"/>
      <c r="B47" s="262"/>
      <c r="C47" s="82" t="s">
        <v>85</v>
      </c>
      <c r="D47" s="69">
        <v>54500</v>
      </c>
      <c r="E47" s="69">
        <f t="shared" si="0"/>
        <v>52062</v>
      </c>
      <c r="F47" s="69"/>
      <c r="G47" s="69"/>
      <c r="H47" s="69">
        <v>39687</v>
      </c>
      <c r="I47" s="69"/>
      <c r="J47" s="69"/>
      <c r="K47" s="69"/>
      <c r="L47" s="69">
        <v>12375</v>
      </c>
      <c r="M47" s="69"/>
      <c r="N47" s="73"/>
    </row>
    <row r="48" spans="1:14" s="38" customFormat="1" ht="12" customHeight="1">
      <c r="A48" s="264">
        <v>682002</v>
      </c>
      <c r="B48" s="262" t="s">
        <v>738</v>
      </c>
      <c r="C48" s="81" t="s">
        <v>491</v>
      </c>
      <c r="D48" s="69">
        <v>56368</v>
      </c>
      <c r="E48" s="69">
        <f t="shared" si="0"/>
        <v>54786</v>
      </c>
      <c r="F48" s="69"/>
      <c r="G48" s="69"/>
      <c r="H48" s="69">
        <v>4000</v>
      </c>
      <c r="I48" s="69">
        <v>2036</v>
      </c>
      <c r="J48" s="69"/>
      <c r="K48" s="69"/>
      <c r="L48" s="69">
        <v>48750</v>
      </c>
      <c r="M48" s="69"/>
      <c r="N48" s="73"/>
    </row>
    <row r="49" spans="1:14" s="38" customFormat="1" ht="12" customHeight="1">
      <c r="A49" s="264"/>
      <c r="B49" s="262"/>
      <c r="C49" s="82" t="s">
        <v>496</v>
      </c>
      <c r="D49" s="69">
        <v>55174</v>
      </c>
      <c r="E49" s="69">
        <f t="shared" si="0"/>
        <v>44876</v>
      </c>
      <c r="F49" s="69"/>
      <c r="G49" s="69"/>
      <c r="H49" s="69">
        <v>3741</v>
      </c>
      <c r="I49" s="69">
        <v>2036</v>
      </c>
      <c r="J49" s="69"/>
      <c r="K49" s="69"/>
      <c r="L49" s="69">
        <v>39099</v>
      </c>
      <c r="M49" s="69"/>
      <c r="N49" s="73"/>
    </row>
    <row r="50" spans="1:14" s="38" customFormat="1" ht="12" customHeight="1">
      <c r="A50" s="264"/>
      <c r="B50" s="262"/>
      <c r="C50" s="82" t="s">
        <v>85</v>
      </c>
      <c r="D50" s="69">
        <v>55174</v>
      </c>
      <c r="E50" s="69">
        <f t="shared" si="0"/>
        <v>43790</v>
      </c>
      <c r="F50" s="69"/>
      <c r="G50" s="69"/>
      <c r="H50" s="69">
        <v>4691</v>
      </c>
      <c r="I50" s="69"/>
      <c r="J50" s="69"/>
      <c r="K50" s="69"/>
      <c r="L50" s="69">
        <v>39099</v>
      </c>
      <c r="M50" s="69"/>
      <c r="N50" s="73"/>
    </row>
    <row r="51" spans="1:14" s="38" customFormat="1" ht="12" customHeight="1">
      <c r="A51" s="264">
        <v>682002</v>
      </c>
      <c r="B51" s="262" t="s">
        <v>738</v>
      </c>
      <c r="C51" s="81" t="s">
        <v>491</v>
      </c>
      <c r="D51" s="69"/>
      <c r="E51" s="69">
        <f t="shared" si="0"/>
        <v>11620</v>
      </c>
      <c r="F51" s="75"/>
      <c r="G51" s="75"/>
      <c r="H51" s="75">
        <v>11620</v>
      </c>
      <c r="I51" s="75"/>
      <c r="J51" s="75"/>
      <c r="K51" s="75"/>
      <c r="L51" s="75"/>
      <c r="M51" s="75"/>
      <c r="N51" s="76"/>
    </row>
    <row r="52" spans="1:14" s="38" customFormat="1" ht="12" customHeight="1">
      <c r="A52" s="264"/>
      <c r="B52" s="262"/>
      <c r="C52" s="82" t="s">
        <v>496</v>
      </c>
      <c r="D52" s="69"/>
      <c r="E52" s="69">
        <f t="shared" si="0"/>
        <v>13083</v>
      </c>
      <c r="F52" s="75"/>
      <c r="G52" s="75"/>
      <c r="H52" s="75">
        <v>13083</v>
      </c>
      <c r="I52" s="75"/>
      <c r="J52" s="75"/>
      <c r="K52" s="75"/>
      <c r="L52" s="75"/>
      <c r="M52" s="75"/>
      <c r="N52" s="76"/>
    </row>
    <row r="53" spans="1:14" s="38" customFormat="1" ht="12" customHeight="1">
      <c r="A53" s="264"/>
      <c r="B53" s="262"/>
      <c r="C53" s="82" t="s">
        <v>85</v>
      </c>
      <c r="D53" s="69"/>
      <c r="E53" s="69">
        <f t="shared" si="0"/>
        <v>13083</v>
      </c>
      <c r="F53" s="75"/>
      <c r="G53" s="75"/>
      <c r="H53" s="75">
        <v>13083</v>
      </c>
      <c r="I53" s="75"/>
      <c r="J53" s="75"/>
      <c r="K53" s="75"/>
      <c r="L53" s="75"/>
      <c r="M53" s="75"/>
      <c r="N53" s="76"/>
    </row>
    <row r="54" spans="1:14" s="38" customFormat="1" ht="12" customHeight="1">
      <c r="A54" s="264">
        <v>683200</v>
      </c>
      <c r="B54" s="262" t="s">
        <v>739</v>
      </c>
      <c r="C54" s="81" t="s">
        <v>491</v>
      </c>
      <c r="D54" s="69"/>
      <c r="E54" s="69">
        <f t="shared" si="0"/>
        <v>15688</v>
      </c>
      <c r="F54" s="69"/>
      <c r="G54" s="69"/>
      <c r="H54" s="69">
        <v>15688</v>
      </c>
      <c r="I54" s="69"/>
      <c r="J54" s="69"/>
      <c r="K54" s="69"/>
      <c r="L54" s="69"/>
      <c r="M54" s="69"/>
      <c r="N54" s="73"/>
    </row>
    <row r="55" spans="1:14" s="38" customFormat="1" ht="12" customHeight="1">
      <c r="A55" s="264"/>
      <c r="B55" s="262"/>
      <c r="C55" s="82" t="s">
        <v>496</v>
      </c>
      <c r="D55" s="69"/>
      <c r="E55" s="69">
        <f t="shared" si="0"/>
        <v>4688</v>
      </c>
      <c r="F55" s="69"/>
      <c r="G55" s="69"/>
      <c r="H55" s="69">
        <v>4688</v>
      </c>
      <c r="I55" s="69"/>
      <c r="J55" s="69"/>
      <c r="K55" s="69"/>
      <c r="L55" s="69"/>
      <c r="M55" s="69"/>
      <c r="N55" s="73"/>
    </row>
    <row r="56" spans="1:14" s="38" customFormat="1" ht="12" customHeight="1">
      <c r="A56" s="264"/>
      <c r="B56" s="262"/>
      <c r="C56" s="82" t="s">
        <v>85</v>
      </c>
      <c r="D56" s="69"/>
      <c r="E56" s="69">
        <f t="shared" si="0"/>
        <v>4688</v>
      </c>
      <c r="F56" s="69"/>
      <c r="G56" s="69"/>
      <c r="H56" s="69">
        <v>4688</v>
      </c>
      <c r="I56" s="69"/>
      <c r="J56" s="69"/>
      <c r="K56" s="69"/>
      <c r="L56" s="69"/>
      <c r="M56" s="69"/>
      <c r="N56" s="73"/>
    </row>
    <row r="57" spans="1:14" s="38" customFormat="1" ht="12" customHeight="1">
      <c r="A57" s="264">
        <v>750000</v>
      </c>
      <c r="B57" s="262" t="s">
        <v>740</v>
      </c>
      <c r="C57" s="81" t="s">
        <v>491</v>
      </c>
      <c r="D57" s="69"/>
      <c r="E57" s="69">
        <f aca="true" t="shared" si="1" ref="E57:E104">SUM(F57:N57)</f>
        <v>3300</v>
      </c>
      <c r="F57" s="69"/>
      <c r="G57" s="69"/>
      <c r="H57" s="69">
        <v>3000</v>
      </c>
      <c r="I57" s="69">
        <v>300</v>
      </c>
      <c r="J57" s="69"/>
      <c r="K57" s="69"/>
      <c r="L57" s="69"/>
      <c r="M57" s="69"/>
      <c r="N57" s="73"/>
    </row>
    <row r="58" spans="1:14" s="38" customFormat="1" ht="12" customHeight="1">
      <c r="A58" s="264"/>
      <c r="B58" s="262"/>
      <c r="C58" s="82" t="s">
        <v>496</v>
      </c>
      <c r="D58" s="69"/>
      <c r="E58" s="69">
        <f t="shared" si="1"/>
        <v>3300</v>
      </c>
      <c r="F58" s="69"/>
      <c r="G58" s="69"/>
      <c r="H58" s="69">
        <v>3000</v>
      </c>
      <c r="I58" s="69">
        <v>300</v>
      </c>
      <c r="J58" s="69"/>
      <c r="K58" s="69"/>
      <c r="L58" s="69"/>
      <c r="M58" s="69"/>
      <c r="N58" s="73"/>
    </row>
    <row r="59" spans="1:14" s="38" customFormat="1" ht="12" customHeight="1">
      <c r="A59" s="264"/>
      <c r="B59" s="262"/>
      <c r="C59" s="82" t="s">
        <v>85</v>
      </c>
      <c r="D59" s="69"/>
      <c r="E59" s="69">
        <f t="shared" si="1"/>
        <v>3300</v>
      </c>
      <c r="F59" s="69"/>
      <c r="G59" s="69"/>
      <c r="H59" s="69">
        <v>3000</v>
      </c>
      <c r="I59" s="69">
        <v>300</v>
      </c>
      <c r="J59" s="69"/>
      <c r="K59" s="69"/>
      <c r="L59" s="69"/>
      <c r="M59" s="69"/>
      <c r="N59" s="73"/>
    </row>
    <row r="60" spans="1:14" s="38" customFormat="1" ht="12" customHeight="1">
      <c r="A60" s="264">
        <v>771100</v>
      </c>
      <c r="B60" s="262" t="s">
        <v>801</v>
      </c>
      <c r="C60" s="81" t="s">
        <v>491</v>
      </c>
      <c r="D60" s="69"/>
      <c r="E60" s="69">
        <f t="shared" si="1"/>
        <v>0</v>
      </c>
      <c r="F60" s="75"/>
      <c r="G60" s="75"/>
      <c r="H60" s="75">
        <v>0</v>
      </c>
      <c r="I60" s="75"/>
      <c r="J60" s="75"/>
      <c r="K60" s="75"/>
      <c r="L60" s="75"/>
      <c r="M60" s="75"/>
      <c r="N60" s="76"/>
    </row>
    <row r="61" spans="1:14" s="38" customFormat="1" ht="12" customHeight="1">
      <c r="A61" s="314"/>
      <c r="B61" s="315"/>
      <c r="C61" s="485" t="s">
        <v>496</v>
      </c>
      <c r="D61" s="316"/>
      <c r="E61" s="316">
        <f t="shared" si="1"/>
        <v>0</v>
      </c>
      <c r="F61" s="317"/>
      <c r="G61" s="317"/>
      <c r="H61" s="317">
        <v>0</v>
      </c>
      <c r="I61" s="317"/>
      <c r="J61" s="317"/>
      <c r="K61" s="317"/>
      <c r="L61" s="317"/>
      <c r="M61" s="317"/>
      <c r="N61" s="318"/>
    </row>
    <row r="62" spans="1:14" s="38" customFormat="1" ht="12" customHeight="1" thickBot="1">
      <c r="A62" s="269"/>
      <c r="B62" s="270"/>
      <c r="C62" s="233" t="s">
        <v>85</v>
      </c>
      <c r="D62" s="93"/>
      <c r="E62" s="93">
        <f>SUM(F62:N62)</f>
        <v>0</v>
      </c>
      <c r="F62" s="331"/>
      <c r="G62" s="331"/>
      <c r="H62" s="331"/>
      <c r="I62" s="331"/>
      <c r="J62" s="331"/>
      <c r="K62" s="331"/>
      <c r="L62" s="331"/>
      <c r="M62" s="331"/>
      <c r="N62" s="335"/>
    </row>
    <row r="63" spans="1:14" s="38" customFormat="1" ht="12" customHeight="1" thickTop="1">
      <c r="A63" s="686" t="s">
        <v>553</v>
      </c>
      <c r="B63" s="687"/>
      <c r="C63" s="687"/>
      <c r="D63" s="692" t="s">
        <v>458</v>
      </c>
      <c r="E63" s="695" t="s">
        <v>554</v>
      </c>
      <c r="F63" s="68" t="s">
        <v>555</v>
      </c>
      <c r="G63" s="68"/>
      <c r="H63" s="68"/>
      <c r="I63" s="266"/>
      <c r="J63" s="266"/>
      <c r="K63" s="68" t="s">
        <v>489</v>
      </c>
      <c r="L63" s="68"/>
      <c r="M63" s="698" t="s">
        <v>633</v>
      </c>
      <c r="N63" s="679" t="s">
        <v>534</v>
      </c>
    </row>
    <row r="64" spans="1:14" s="38" customFormat="1" ht="12" customHeight="1">
      <c r="A64" s="688"/>
      <c r="B64" s="689"/>
      <c r="C64" s="689"/>
      <c r="D64" s="693"/>
      <c r="E64" s="696"/>
      <c r="F64" s="682" t="s">
        <v>627</v>
      </c>
      <c r="G64" s="682" t="s">
        <v>628</v>
      </c>
      <c r="H64" s="682" t="s">
        <v>629</v>
      </c>
      <c r="I64" s="682" t="s">
        <v>630</v>
      </c>
      <c r="J64" s="682" t="s">
        <v>632</v>
      </c>
      <c r="K64" s="684" t="s">
        <v>549</v>
      </c>
      <c r="L64" s="684" t="s">
        <v>530</v>
      </c>
      <c r="M64" s="699"/>
      <c r="N64" s="680"/>
    </row>
    <row r="65" spans="1:14" s="38" customFormat="1" ht="39.75" customHeight="1" thickBot="1">
      <c r="A65" s="690"/>
      <c r="B65" s="691"/>
      <c r="C65" s="691"/>
      <c r="D65" s="694"/>
      <c r="E65" s="697"/>
      <c r="F65" s="683"/>
      <c r="G65" s="683"/>
      <c r="H65" s="683"/>
      <c r="I65" s="683"/>
      <c r="J65" s="683"/>
      <c r="K65" s="685"/>
      <c r="L65" s="685"/>
      <c r="M65" s="683"/>
      <c r="N65" s="681"/>
    </row>
    <row r="66" spans="1:14" s="38" customFormat="1" ht="12" customHeight="1" thickTop="1">
      <c r="A66" s="264">
        <v>773000</v>
      </c>
      <c r="B66" s="262" t="s">
        <v>800</v>
      </c>
      <c r="C66" s="81" t="s">
        <v>491</v>
      </c>
      <c r="D66" s="69"/>
      <c r="E66" s="69">
        <f t="shared" si="1"/>
        <v>3640</v>
      </c>
      <c r="F66" s="75"/>
      <c r="G66" s="75"/>
      <c r="H66" s="75">
        <v>3640</v>
      </c>
      <c r="I66" s="75"/>
      <c r="J66" s="75"/>
      <c r="K66" s="75"/>
      <c r="L66" s="75"/>
      <c r="M66" s="75"/>
      <c r="N66" s="76"/>
    </row>
    <row r="67" spans="1:14" s="38" customFormat="1" ht="12" customHeight="1">
      <c r="A67" s="264"/>
      <c r="B67" s="262"/>
      <c r="C67" s="82" t="s">
        <v>496</v>
      </c>
      <c r="D67" s="69"/>
      <c r="E67" s="69">
        <f t="shared" si="1"/>
        <v>4140</v>
      </c>
      <c r="F67" s="75"/>
      <c r="G67" s="75"/>
      <c r="H67" s="75">
        <v>4140</v>
      </c>
      <c r="I67" s="75"/>
      <c r="J67" s="75"/>
      <c r="K67" s="75"/>
      <c r="L67" s="75"/>
      <c r="M67" s="75"/>
      <c r="N67" s="76"/>
    </row>
    <row r="68" spans="1:14" s="38" customFormat="1" ht="12" customHeight="1">
      <c r="A68" s="264"/>
      <c r="B68" s="262"/>
      <c r="C68" s="82" t="s">
        <v>85</v>
      </c>
      <c r="D68" s="69"/>
      <c r="E68" s="69">
        <f t="shared" si="1"/>
        <v>4140</v>
      </c>
      <c r="F68" s="75"/>
      <c r="G68" s="75"/>
      <c r="H68" s="75">
        <v>4140</v>
      </c>
      <c r="I68" s="75"/>
      <c r="J68" s="75"/>
      <c r="K68" s="75"/>
      <c r="L68" s="75"/>
      <c r="M68" s="75"/>
      <c r="N68" s="76"/>
    </row>
    <row r="69" spans="1:14" s="38" customFormat="1" ht="12" customHeight="1">
      <c r="A69" s="264">
        <v>813000</v>
      </c>
      <c r="B69" s="262" t="s">
        <v>724</v>
      </c>
      <c r="C69" s="81" t="s">
        <v>491</v>
      </c>
      <c r="D69" s="69">
        <v>1100</v>
      </c>
      <c r="E69" s="69">
        <f t="shared" si="1"/>
        <v>63000</v>
      </c>
      <c r="F69" s="69"/>
      <c r="G69" s="69"/>
      <c r="H69" s="69">
        <v>46000</v>
      </c>
      <c r="I69" s="69">
        <v>17000</v>
      </c>
      <c r="J69" s="69"/>
      <c r="K69" s="69"/>
      <c r="L69" s="69"/>
      <c r="M69" s="69"/>
      <c r="N69" s="73"/>
    </row>
    <row r="70" spans="1:14" s="38" customFormat="1" ht="12" customHeight="1">
      <c r="A70" s="264"/>
      <c r="B70" s="262"/>
      <c r="C70" s="82" t="s">
        <v>496</v>
      </c>
      <c r="D70" s="69">
        <v>1100</v>
      </c>
      <c r="E70" s="69">
        <f t="shared" si="1"/>
        <v>72689</v>
      </c>
      <c r="F70" s="69"/>
      <c r="G70" s="69"/>
      <c r="H70" s="69">
        <v>55689</v>
      </c>
      <c r="I70" s="69">
        <v>17000</v>
      </c>
      <c r="J70" s="69"/>
      <c r="K70" s="69"/>
      <c r="L70" s="69"/>
      <c r="M70" s="69"/>
      <c r="N70" s="73"/>
    </row>
    <row r="71" spans="1:14" s="38" customFormat="1" ht="12" customHeight="1">
      <c r="A71" s="264"/>
      <c r="B71" s="262"/>
      <c r="C71" s="82" t="s">
        <v>85</v>
      </c>
      <c r="D71" s="69">
        <v>1100</v>
      </c>
      <c r="E71" s="69">
        <f t="shared" si="1"/>
        <v>72689</v>
      </c>
      <c r="F71" s="69"/>
      <c r="G71" s="69"/>
      <c r="H71" s="69">
        <v>55689</v>
      </c>
      <c r="I71" s="69">
        <v>17000</v>
      </c>
      <c r="J71" s="69"/>
      <c r="K71" s="69"/>
      <c r="L71" s="69"/>
      <c r="M71" s="69"/>
      <c r="N71" s="73"/>
    </row>
    <row r="72" spans="1:14" s="38" customFormat="1" ht="12" customHeight="1">
      <c r="A72" s="264">
        <v>813000</v>
      </c>
      <c r="B72" s="262" t="s">
        <v>725</v>
      </c>
      <c r="C72" s="81" t="s">
        <v>491</v>
      </c>
      <c r="D72" s="69"/>
      <c r="E72" s="69">
        <f t="shared" si="1"/>
        <v>5000</v>
      </c>
      <c r="F72" s="69"/>
      <c r="G72" s="69"/>
      <c r="H72" s="69">
        <v>5000</v>
      </c>
      <c r="I72" s="69"/>
      <c r="J72" s="69"/>
      <c r="K72" s="69"/>
      <c r="L72" s="69"/>
      <c r="M72" s="69"/>
      <c r="N72" s="73"/>
    </row>
    <row r="73" spans="1:14" s="38" customFormat="1" ht="12" customHeight="1">
      <c r="A73" s="264"/>
      <c r="B73" s="262"/>
      <c r="C73" s="82" t="s">
        <v>496</v>
      </c>
      <c r="D73" s="69"/>
      <c r="E73" s="69">
        <f t="shared" si="1"/>
        <v>15000</v>
      </c>
      <c r="F73" s="69"/>
      <c r="G73" s="69"/>
      <c r="H73" s="69">
        <v>4700</v>
      </c>
      <c r="I73" s="69"/>
      <c r="J73" s="69"/>
      <c r="K73" s="69">
        <v>300</v>
      </c>
      <c r="L73" s="69">
        <v>10000</v>
      </c>
      <c r="M73" s="69"/>
      <c r="N73" s="73"/>
    </row>
    <row r="74" spans="1:14" s="38" customFormat="1" ht="12" customHeight="1">
      <c r="A74" s="264"/>
      <c r="B74" s="262"/>
      <c r="C74" s="82" t="s">
        <v>85</v>
      </c>
      <c r="D74" s="69"/>
      <c r="E74" s="69">
        <f t="shared" si="1"/>
        <v>15000</v>
      </c>
      <c r="F74" s="69"/>
      <c r="G74" s="69"/>
      <c r="H74" s="69">
        <v>4700</v>
      </c>
      <c r="I74" s="69"/>
      <c r="J74" s="69"/>
      <c r="K74" s="69">
        <v>300</v>
      </c>
      <c r="L74" s="69">
        <v>10000</v>
      </c>
      <c r="M74" s="69"/>
      <c r="N74" s="73"/>
    </row>
    <row r="75" spans="1:14" s="38" customFormat="1" ht="12" customHeight="1">
      <c r="A75" s="264">
        <v>821900</v>
      </c>
      <c r="B75" s="262" t="s">
        <v>799</v>
      </c>
      <c r="C75" s="81" t="s">
        <v>491</v>
      </c>
      <c r="D75" s="69"/>
      <c r="E75" s="69">
        <f t="shared" si="1"/>
        <v>2500</v>
      </c>
      <c r="F75" s="75"/>
      <c r="G75" s="75"/>
      <c r="H75" s="75">
        <v>2500</v>
      </c>
      <c r="I75" s="75"/>
      <c r="J75" s="75"/>
      <c r="K75" s="75"/>
      <c r="L75" s="75"/>
      <c r="M75" s="75"/>
      <c r="N75" s="76"/>
    </row>
    <row r="76" spans="1:14" s="38" customFormat="1" ht="12" customHeight="1">
      <c r="A76" s="264"/>
      <c r="B76" s="262"/>
      <c r="C76" s="82" t="s">
        <v>496</v>
      </c>
      <c r="D76" s="69"/>
      <c r="E76" s="69">
        <f t="shared" si="1"/>
        <v>3500</v>
      </c>
      <c r="F76" s="75"/>
      <c r="G76" s="75"/>
      <c r="H76" s="75">
        <v>3500</v>
      </c>
      <c r="I76" s="75"/>
      <c r="J76" s="75"/>
      <c r="K76" s="75"/>
      <c r="L76" s="75"/>
      <c r="M76" s="75"/>
      <c r="N76" s="76"/>
    </row>
    <row r="77" spans="1:14" s="38" customFormat="1" ht="12" customHeight="1">
      <c r="A77" s="264"/>
      <c r="B77" s="262"/>
      <c r="C77" s="82" t="s">
        <v>85</v>
      </c>
      <c r="D77" s="69"/>
      <c r="E77" s="69">
        <f t="shared" si="1"/>
        <v>3500</v>
      </c>
      <c r="F77" s="75"/>
      <c r="G77" s="75"/>
      <c r="H77" s="75">
        <v>3500</v>
      </c>
      <c r="I77" s="75"/>
      <c r="J77" s="75"/>
      <c r="K77" s="75"/>
      <c r="L77" s="75"/>
      <c r="M77" s="75"/>
      <c r="N77" s="76"/>
    </row>
    <row r="78" spans="1:14" s="38" customFormat="1" ht="12" customHeight="1">
      <c r="A78" s="264">
        <v>841112</v>
      </c>
      <c r="B78" s="262" t="s">
        <v>810</v>
      </c>
      <c r="C78" s="81" t="s">
        <v>491</v>
      </c>
      <c r="D78" s="69"/>
      <c r="E78" s="69">
        <f t="shared" si="1"/>
        <v>72554</v>
      </c>
      <c r="F78" s="75">
        <v>57968</v>
      </c>
      <c r="G78" s="75">
        <v>14470</v>
      </c>
      <c r="H78" s="75">
        <v>116</v>
      </c>
      <c r="I78" s="75"/>
      <c r="J78" s="75"/>
      <c r="K78" s="75"/>
      <c r="L78" s="75"/>
      <c r="M78" s="75"/>
      <c r="N78" s="76"/>
    </row>
    <row r="79" spans="1:14" s="38" customFormat="1" ht="12" customHeight="1">
      <c r="A79" s="264"/>
      <c r="B79" s="262"/>
      <c r="C79" s="82" t="s">
        <v>496</v>
      </c>
      <c r="D79" s="69"/>
      <c r="E79" s="69">
        <f t="shared" si="1"/>
        <v>71302</v>
      </c>
      <c r="F79" s="75">
        <v>56716</v>
      </c>
      <c r="G79" s="75">
        <v>14470</v>
      </c>
      <c r="H79" s="75">
        <v>116</v>
      </c>
      <c r="I79" s="75"/>
      <c r="J79" s="75"/>
      <c r="K79" s="75"/>
      <c r="L79" s="75"/>
      <c r="M79" s="75"/>
      <c r="N79" s="76"/>
    </row>
    <row r="80" spans="1:14" s="38" customFormat="1" ht="12" customHeight="1">
      <c r="A80" s="264"/>
      <c r="B80" s="262"/>
      <c r="C80" s="82" t="s">
        <v>85</v>
      </c>
      <c r="D80" s="69"/>
      <c r="E80" s="69">
        <f t="shared" si="1"/>
        <v>71302</v>
      </c>
      <c r="F80" s="75">
        <v>56716</v>
      </c>
      <c r="G80" s="75">
        <v>14470</v>
      </c>
      <c r="H80" s="75">
        <v>116</v>
      </c>
      <c r="I80" s="75"/>
      <c r="J80" s="75"/>
      <c r="K80" s="75"/>
      <c r="L80" s="75"/>
      <c r="M80" s="75"/>
      <c r="N80" s="76"/>
    </row>
    <row r="81" spans="1:14" s="38" customFormat="1" ht="12" customHeight="1">
      <c r="A81" s="264">
        <v>841114</v>
      </c>
      <c r="B81" s="262" t="s">
        <v>75</v>
      </c>
      <c r="C81" s="81" t="s">
        <v>491</v>
      </c>
      <c r="D81" s="69"/>
      <c r="E81" s="69">
        <f t="shared" si="1"/>
        <v>0</v>
      </c>
      <c r="F81" s="75"/>
      <c r="G81" s="75"/>
      <c r="H81" s="75"/>
      <c r="I81" s="75"/>
      <c r="J81" s="75"/>
      <c r="K81" s="75"/>
      <c r="L81" s="75"/>
      <c r="M81" s="75"/>
      <c r="N81" s="76"/>
    </row>
    <row r="82" spans="1:14" s="38" customFormat="1" ht="12" customHeight="1">
      <c r="A82" s="264"/>
      <c r="B82" s="262"/>
      <c r="C82" s="82" t="s">
        <v>496</v>
      </c>
      <c r="D82" s="69">
        <v>4884</v>
      </c>
      <c r="E82" s="69">
        <f t="shared" si="1"/>
        <v>4884</v>
      </c>
      <c r="F82" s="75">
        <v>2175</v>
      </c>
      <c r="G82" s="75">
        <v>563</v>
      </c>
      <c r="H82" s="75">
        <v>2130</v>
      </c>
      <c r="I82" s="75">
        <v>16</v>
      </c>
      <c r="J82" s="75"/>
      <c r="K82" s="75"/>
      <c r="L82" s="75"/>
      <c r="M82" s="75"/>
      <c r="N82" s="76"/>
    </row>
    <row r="83" spans="1:14" s="38" customFormat="1" ht="12" customHeight="1">
      <c r="A83" s="264"/>
      <c r="B83" s="262"/>
      <c r="C83" s="82" t="s">
        <v>85</v>
      </c>
      <c r="D83" s="69">
        <v>4884</v>
      </c>
      <c r="E83" s="69">
        <f t="shared" si="1"/>
        <v>4884</v>
      </c>
      <c r="F83" s="75">
        <v>2175</v>
      </c>
      <c r="G83" s="75">
        <v>563</v>
      </c>
      <c r="H83" s="75">
        <v>2130</v>
      </c>
      <c r="I83" s="75">
        <v>16</v>
      </c>
      <c r="J83" s="75"/>
      <c r="K83" s="75"/>
      <c r="L83" s="75"/>
      <c r="M83" s="75"/>
      <c r="N83" s="76"/>
    </row>
    <row r="84" spans="1:14" s="38" customFormat="1" ht="12" customHeight="1">
      <c r="A84" s="264">
        <v>841115</v>
      </c>
      <c r="B84" s="262" t="s">
        <v>145</v>
      </c>
      <c r="C84" s="81" t="s">
        <v>491</v>
      </c>
      <c r="D84" s="69"/>
      <c r="E84" s="69">
        <f t="shared" si="1"/>
        <v>0</v>
      </c>
      <c r="F84" s="75"/>
      <c r="G84" s="75"/>
      <c r="H84" s="75"/>
      <c r="I84" s="75"/>
      <c r="J84" s="75"/>
      <c r="K84" s="75"/>
      <c r="L84" s="75"/>
      <c r="M84" s="75"/>
      <c r="N84" s="76"/>
    </row>
    <row r="85" spans="1:14" s="38" customFormat="1" ht="12" customHeight="1">
      <c r="A85" s="264"/>
      <c r="B85" s="262"/>
      <c r="C85" s="82" t="s">
        <v>496</v>
      </c>
      <c r="D85" s="69">
        <v>4507</v>
      </c>
      <c r="E85" s="69">
        <f t="shared" si="1"/>
        <v>4507</v>
      </c>
      <c r="F85" s="75">
        <v>2295</v>
      </c>
      <c r="G85" s="75">
        <v>600</v>
      </c>
      <c r="H85" s="75">
        <v>1575</v>
      </c>
      <c r="I85" s="75">
        <v>37</v>
      </c>
      <c r="J85" s="75"/>
      <c r="K85" s="75"/>
      <c r="L85" s="75"/>
      <c r="M85" s="75"/>
      <c r="N85" s="76"/>
    </row>
    <row r="86" spans="1:14" s="38" customFormat="1" ht="12" customHeight="1">
      <c r="A86" s="264"/>
      <c r="B86" s="262"/>
      <c r="C86" s="82" t="s">
        <v>85</v>
      </c>
      <c r="D86" s="69">
        <v>4507</v>
      </c>
      <c r="E86" s="69">
        <f t="shared" si="1"/>
        <v>4507</v>
      </c>
      <c r="F86" s="75">
        <v>2295</v>
      </c>
      <c r="G86" s="75">
        <v>600</v>
      </c>
      <c r="H86" s="75">
        <v>1575</v>
      </c>
      <c r="I86" s="75">
        <v>37</v>
      </c>
      <c r="J86" s="75"/>
      <c r="K86" s="75"/>
      <c r="L86" s="75"/>
      <c r="M86" s="75"/>
      <c r="N86" s="76"/>
    </row>
    <row r="87" spans="1:14" s="38" customFormat="1" ht="12" customHeight="1">
      <c r="A87" s="264">
        <v>841116</v>
      </c>
      <c r="B87" s="262" t="s">
        <v>146</v>
      </c>
      <c r="C87" s="81" t="s">
        <v>491</v>
      </c>
      <c r="D87" s="69"/>
      <c r="E87" s="69">
        <f t="shared" si="1"/>
        <v>0</v>
      </c>
      <c r="F87" s="75"/>
      <c r="G87" s="75"/>
      <c r="H87" s="75"/>
      <c r="I87" s="75"/>
      <c r="J87" s="75"/>
      <c r="K87" s="75"/>
      <c r="L87" s="75"/>
      <c r="M87" s="75"/>
      <c r="N87" s="76"/>
    </row>
    <row r="88" spans="1:14" s="38" customFormat="1" ht="12" customHeight="1">
      <c r="A88" s="264"/>
      <c r="B88" s="262"/>
      <c r="C88" s="82" t="s">
        <v>496</v>
      </c>
      <c r="D88" s="69">
        <v>1041</v>
      </c>
      <c r="E88" s="69">
        <f t="shared" si="1"/>
        <v>1041</v>
      </c>
      <c r="F88" s="75">
        <v>90</v>
      </c>
      <c r="G88" s="75">
        <v>24</v>
      </c>
      <c r="H88" s="75">
        <v>927</v>
      </c>
      <c r="I88" s="75"/>
      <c r="J88" s="75"/>
      <c r="K88" s="75"/>
      <c r="L88" s="75"/>
      <c r="M88" s="75"/>
      <c r="N88" s="76"/>
    </row>
    <row r="89" spans="1:14" s="38" customFormat="1" ht="12" customHeight="1">
      <c r="A89" s="264"/>
      <c r="B89" s="262"/>
      <c r="C89" s="82" t="s">
        <v>85</v>
      </c>
      <c r="D89" s="69">
        <v>1041</v>
      </c>
      <c r="E89" s="69">
        <f t="shared" si="1"/>
        <v>1041</v>
      </c>
      <c r="F89" s="75">
        <v>90</v>
      </c>
      <c r="G89" s="75">
        <v>24</v>
      </c>
      <c r="H89" s="75">
        <v>927</v>
      </c>
      <c r="I89" s="75"/>
      <c r="J89" s="75"/>
      <c r="K89" s="75"/>
      <c r="L89" s="75"/>
      <c r="M89" s="75"/>
      <c r="N89" s="76"/>
    </row>
    <row r="90" spans="1:14" s="38" customFormat="1" ht="12" customHeight="1">
      <c r="A90" s="264">
        <v>841126</v>
      </c>
      <c r="B90" s="262" t="s">
        <v>808</v>
      </c>
      <c r="C90" s="81" t="s">
        <v>491</v>
      </c>
      <c r="D90" s="69">
        <v>218997</v>
      </c>
      <c r="E90" s="69">
        <f t="shared" si="1"/>
        <v>873920</v>
      </c>
      <c r="F90" s="75">
        <v>345239</v>
      </c>
      <c r="G90" s="75">
        <v>88745</v>
      </c>
      <c r="H90" s="75">
        <v>211850</v>
      </c>
      <c r="I90" s="75">
        <v>5981</v>
      </c>
      <c r="J90" s="75"/>
      <c r="K90" s="75"/>
      <c r="L90" s="75">
        <v>42105</v>
      </c>
      <c r="M90" s="75"/>
      <c r="N90" s="76">
        <v>180000</v>
      </c>
    </row>
    <row r="91" spans="1:14" s="38" customFormat="1" ht="12" customHeight="1">
      <c r="A91" s="264"/>
      <c r="B91" s="262"/>
      <c r="C91" s="82" t="s">
        <v>496</v>
      </c>
      <c r="D91" s="69">
        <v>219614</v>
      </c>
      <c r="E91" s="69">
        <f t="shared" si="1"/>
        <v>714501</v>
      </c>
      <c r="F91" s="75">
        <v>355921</v>
      </c>
      <c r="G91" s="75">
        <v>91619</v>
      </c>
      <c r="H91" s="75">
        <v>235378</v>
      </c>
      <c r="I91" s="75">
        <v>5981</v>
      </c>
      <c r="J91" s="75"/>
      <c r="K91" s="75"/>
      <c r="L91" s="75">
        <v>25602</v>
      </c>
      <c r="M91" s="75"/>
      <c r="N91" s="76"/>
    </row>
    <row r="92" spans="1:14" s="38" customFormat="1" ht="12" customHeight="1">
      <c r="A92" s="264"/>
      <c r="B92" s="262"/>
      <c r="C92" s="82" t="s">
        <v>85</v>
      </c>
      <c r="D92" s="69">
        <v>219614</v>
      </c>
      <c r="E92" s="69">
        <f t="shared" si="1"/>
        <v>715776</v>
      </c>
      <c r="F92" s="75">
        <v>355921</v>
      </c>
      <c r="G92" s="75">
        <v>91619</v>
      </c>
      <c r="H92" s="75">
        <v>236653</v>
      </c>
      <c r="I92" s="75">
        <v>5981</v>
      </c>
      <c r="J92" s="75"/>
      <c r="K92" s="75"/>
      <c r="L92" s="75">
        <v>25602</v>
      </c>
      <c r="M92" s="75"/>
      <c r="N92" s="76"/>
    </row>
    <row r="93" spans="1:14" s="38" customFormat="1" ht="12" customHeight="1">
      <c r="A93" s="264">
        <v>841126</v>
      </c>
      <c r="B93" s="262" t="s">
        <v>809</v>
      </c>
      <c r="C93" s="81" t="s">
        <v>491</v>
      </c>
      <c r="D93" s="69">
        <v>1850000</v>
      </c>
      <c r="E93" s="69">
        <f t="shared" si="1"/>
        <v>0</v>
      </c>
      <c r="F93" s="75"/>
      <c r="G93" s="75"/>
      <c r="H93" s="75"/>
      <c r="I93" s="75"/>
      <c r="J93" s="75"/>
      <c r="K93" s="75"/>
      <c r="L93" s="75"/>
      <c r="M93" s="75"/>
      <c r="N93" s="76"/>
    </row>
    <row r="94" spans="1:14" s="38" customFormat="1" ht="12" customHeight="1">
      <c r="A94" s="264"/>
      <c r="B94" s="262"/>
      <c r="C94" s="82" t="s">
        <v>496</v>
      </c>
      <c r="D94" s="69">
        <v>2432944</v>
      </c>
      <c r="E94" s="69">
        <f t="shared" si="1"/>
        <v>0</v>
      </c>
      <c r="F94" s="75"/>
      <c r="G94" s="75"/>
      <c r="H94" s="75"/>
      <c r="I94" s="75"/>
      <c r="J94" s="75"/>
      <c r="K94" s="75"/>
      <c r="L94" s="75"/>
      <c r="M94" s="75"/>
      <c r="N94" s="76"/>
    </row>
    <row r="95" spans="1:14" s="38" customFormat="1" ht="12" customHeight="1">
      <c r="A95" s="264"/>
      <c r="B95" s="262"/>
      <c r="C95" s="82" t="s">
        <v>85</v>
      </c>
      <c r="D95" s="69">
        <v>2432944</v>
      </c>
      <c r="E95" s="69">
        <f t="shared" si="1"/>
        <v>0</v>
      </c>
      <c r="F95" s="75"/>
      <c r="G95" s="75"/>
      <c r="H95" s="75"/>
      <c r="I95" s="75"/>
      <c r="J95" s="75"/>
      <c r="K95" s="75"/>
      <c r="L95" s="75"/>
      <c r="M95" s="75"/>
      <c r="N95" s="76"/>
    </row>
    <row r="96" spans="1:14" s="38" customFormat="1" ht="12" customHeight="1">
      <c r="A96" s="264">
        <v>841126</v>
      </c>
      <c r="B96" s="262" t="s">
        <v>79</v>
      </c>
      <c r="C96" s="81" t="s">
        <v>491</v>
      </c>
      <c r="D96" s="69"/>
      <c r="E96" s="69">
        <f t="shared" si="1"/>
        <v>0</v>
      </c>
      <c r="F96" s="75"/>
      <c r="G96" s="75"/>
      <c r="H96" s="75"/>
      <c r="I96" s="75"/>
      <c r="J96" s="75"/>
      <c r="K96" s="75"/>
      <c r="L96" s="75"/>
      <c r="M96" s="75"/>
      <c r="N96" s="76"/>
    </row>
    <row r="97" spans="1:14" s="38" customFormat="1" ht="12" customHeight="1">
      <c r="A97" s="264"/>
      <c r="B97" s="262"/>
      <c r="C97" s="82" t="s">
        <v>496</v>
      </c>
      <c r="D97" s="69"/>
      <c r="E97" s="69">
        <f t="shared" si="1"/>
        <v>1289</v>
      </c>
      <c r="F97" s="75"/>
      <c r="G97" s="75"/>
      <c r="H97" s="75"/>
      <c r="I97" s="75"/>
      <c r="J97" s="75"/>
      <c r="K97" s="75"/>
      <c r="L97" s="75"/>
      <c r="M97" s="75"/>
      <c r="N97" s="76">
        <v>1289</v>
      </c>
    </row>
    <row r="98" spans="1:14" s="38" customFormat="1" ht="12" customHeight="1">
      <c r="A98" s="264"/>
      <c r="B98" s="262"/>
      <c r="C98" s="82" t="s">
        <v>85</v>
      </c>
      <c r="D98" s="69"/>
      <c r="E98" s="69">
        <f t="shared" si="1"/>
        <v>1106</v>
      </c>
      <c r="F98" s="75"/>
      <c r="G98" s="75"/>
      <c r="H98" s="75"/>
      <c r="I98" s="75"/>
      <c r="J98" s="75"/>
      <c r="K98" s="75"/>
      <c r="L98" s="75"/>
      <c r="M98" s="75"/>
      <c r="N98" s="76">
        <v>1106</v>
      </c>
    </row>
    <row r="99" spans="1:14" s="38" customFormat="1" ht="12" customHeight="1">
      <c r="A99" s="264">
        <v>841126</v>
      </c>
      <c r="B99" s="262" t="s">
        <v>80</v>
      </c>
      <c r="C99" s="81" t="s">
        <v>491</v>
      </c>
      <c r="D99" s="69"/>
      <c r="E99" s="69">
        <f t="shared" si="1"/>
        <v>0</v>
      </c>
      <c r="F99" s="75"/>
      <c r="G99" s="75"/>
      <c r="H99" s="75"/>
      <c r="I99" s="75"/>
      <c r="J99" s="75"/>
      <c r="K99" s="75"/>
      <c r="L99" s="75"/>
      <c r="M99" s="75"/>
      <c r="N99" s="76"/>
    </row>
    <row r="100" spans="1:14" s="38" customFormat="1" ht="12" customHeight="1">
      <c r="A100" s="264"/>
      <c r="B100" s="262"/>
      <c r="C100" s="82" t="s">
        <v>496</v>
      </c>
      <c r="D100" s="69"/>
      <c r="E100" s="69">
        <f t="shared" si="1"/>
        <v>12000</v>
      </c>
      <c r="F100" s="75"/>
      <c r="G100" s="75"/>
      <c r="H100" s="75"/>
      <c r="I100" s="75"/>
      <c r="J100" s="75"/>
      <c r="K100" s="75"/>
      <c r="L100" s="75"/>
      <c r="M100" s="75"/>
      <c r="N100" s="76">
        <v>12000</v>
      </c>
    </row>
    <row r="101" spans="1:14" s="38" customFormat="1" ht="12" customHeight="1">
      <c r="A101" s="264"/>
      <c r="B101" s="262"/>
      <c r="C101" s="82" t="s">
        <v>85</v>
      </c>
      <c r="D101" s="69"/>
      <c r="E101" s="69">
        <f t="shared" si="1"/>
        <v>45076</v>
      </c>
      <c r="F101" s="75"/>
      <c r="G101" s="75"/>
      <c r="H101" s="75"/>
      <c r="I101" s="75"/>
      <c r="J101" s="75"/>
      <c r="K101" s="75"/>
      <c r="L101" s="75"/>
      <c r="M101" s="75"/>
      <c r="N101" s="76">
        <v>45076</v>
      </c>
    </row>
    <row r="102" spans="1:14" s="38" customFormat="1" ht="12" customHeight="1">
      <c r="A102" s="264">
        <v>841126</v>
      </c>
      <c r="B102" s="262" t="s">
        <v>81</v>
      </c>
      <c r="C102" s="81" t="s">
        <v>491</v>
      </c>
      <c r="D102" s="69"/>
      <c r="E102" s="69">
        <f t="shared" si="1"/>
        <v>0</v>
      </c>
      <c r="F102" s="75"/>
      <c r="G102" s="75"/>
      <c r="H102" s="75"/>
      <c r="I102" s="75"/>
      <c r="J102" s="75"/>
      <c r="K102" s="75"/>
      <c r="L102" s="75"/>
      <c r="M102" s="75"/>
      <c r="N102" s="76"/>
    </row>
    <row r="103" spans="1:14" s="38" customFormat="1" ht="12" customHeight="1">
      <c r="A103" s="264"/>
      <c r="B103" s="262"/>
      <c r="C103" s="82" t="s">
        <v>496</v>
      </c>
      <c r="D103" s="69"/>
      <c r="E103" s="69">
        <f t="shared" si="1"/>
        <v>23</v>
      </c>
      <c r="F103" s="75"/>
      <c r="G103" s="75"/>
      <c r="H103" s="75"/>
      <c r="I103" s="75"/>
      <c r="J103" s="75"/>
      <c r="K103" s="75"/>
      <c r="L103" s="75"/>
      <c r="M103" s="75"/>
      <c r="N103" s="76">
        <v>23</v>
      </c>
    </row>
    <row r="104" spans="1:14" s="38" customFormat="1" ht="12" customHeight="1">
      <c r="A104" s="263"/>
      <c r="B104" s="240"/>
      <c r="C104" s="82" t="s">
        <v>85</v>
      </c>
      <c r="D104" s="70"/>
      <c r="E104" s="69">
        <f t="shared" si="1"/>
        <v>18</v>
      </c>
      <c r="F104" s="258"/>
      <c r="G104" s="258"/>
      <c r="H104" s="258"/>
      <c r="I104" s="258"/>
      <c r="J104" s="258"/>
      <c r="K104" s="258"/>
      <c r="L104" s="258"/>
      <c r="M104" s="258"/>
      <c r="N104" s="257">
        <v>18</v>
      </c>
    </row>
    <row r="105" spans="1:14" s="38" customFormat="1" ht="12" customHeight="1">
      <c r="A105" s="263">
        <v>841126</v>
      </c>
      <c r="B105" s="240" t="s">
        <v>82</v>
      </c>
      <c r="C105" s="82" t="s">
        <v>491</v>
      </c>
      <c r="D105" s="70"/>
      <c r="E105" s="70">
        <f aca="true" t="shared" si="2" ref="E105:E132">SUM(F105:N105)</f>
        <v>0</v>
      </c>
      <c r="F105" s="258"/>
      <c r="G105" s="258"/>
      <c r="H105" s="258"/>
      <c r="I105" s="258"/>
      <c r="J105" s="258"/>
      <c r="K105" s="258"/>
      <c r="L105" s="258"/>
      <c r="M105" s="258"/>
      <c r="N105" s="257"/>
    </row>
    <row r="106" spans="1:14" s="38" customFormat="1" ht="12" customHeight="1">
      <c r="A106" s="264"/>
      <c r="B106" s="262"/>
      <c r="C106" s="82" t="s">
        <v>496</v>
      </c>
      <c r="D106" s="69"/>
      <c r="E106" s="69">
        <f t="shared" si="2"/>
        <v>0</v>
      </c>
      <c r="F106" s="75"/>
      <c r="G106" s="75"/>
      <c r="H106" s="75"/>
      <c r="I106" s="75"/>
      <c r="J106" s="75"/>
      <c r="K106" s="75"/>
      <c r="L106" s="75"/>
      <c r="M106" s="75"/>
      <c r="N106" s="76"/>
    </row>
    <row r="107" spans="1:14" s="38" customFormat="1" ht="12" customHeight="1">
      <c r="A107" s="264"/>
      <c r="B107" s="262"/>
      <c r="C107" s="82" t="s">
        <v>85</v>
      </c>
      <c r="D107" s="69"/>
      <c r="E107" s="69">
        <f t="shared" si="2"/>
        <v>38494</v>
      </c>
      <c r="F107" s="75"/>
      <c r="G107" s="75"/>
      <c r="H107" s="75"/>
      <c r="I107" s="75"/>
      <c r="J107" s="75"/>
      <c r="K107" s="75"/>
      <c r="L107" s="75"/>
      <c r="M107" s="75"/>
      <c r="N107" s="76">
        <v>38494</v>
      </c>
    </row>
    <row r="108" spans="1:14" s="38" customFormat="1" ht="12" customHeight="1">
      <c r="A108" s="264">
        <v>841191</v>
      </c>
      <c r="B108" s="262" t="s">
        <v>796</v>
      </c>
      <c r="C108" s="81" t="s">
        <v>491</v>
      </c>
      <c r="D108" s="69"/>
      <c r="E108" s="69">
        <f t="shared" si="2"/>
        <v>2800</v>
      </c>
      <c r="F108" s="75"/>
      <c r="G108" s="75"/>
      <c r="H108" s="75">
        <v>2800</v>
      </c>
      <c r="I108" s="75"/>
      <c r="J108" s="75"/>
      <c r="K108" s="75"/>
      <c r="L108" s="75"/>
      <c r="M108" s="75"/>
      <c r="N108" s="76"/>
    </row>
    <row r="109" spans="1:14" s="38" customFormat="1" ht="12" customHeight="1">
      <c r="A109" s="264"/>
      <c r="B109" s="262"/>
      <c r="C109" s="82" t="s">
        <v>496</v>
      </c>
      <c r="D109" s="69"/>
      <c r="E109" s="69">
        <f t="shared" si="2"/>
        <v>2900</v>
      </c>
      <c r="F109" s="75"/>
      <c r="G109" s="75"/>
      <c r="H109" s="75">
        <v>2800</v>
      </c>
      <c r="I109" s="75">
        <v>100</v>
      </c>
      <c r="J109" s="75"/>
      <c r="K109" s="75"/>
      <c r="L109" s="75"/>
      <c r="M109" s="75"/>
      <c r="N109" s="76"/>
    </row>
    <row r="110" spans="1:14" s="38" customFormat="1" ht="12" customHeight="1">
      <c r="A110" s="264"/>
      <c r="B110" s="262"/>
      <c r="C110" s="82" t="s">
        <v>85</v>
      </c>
      <c r="D110" s="69"/>
      <c r="E110" s="69">
        <f t="shared" si="2"/>
        <v>2900</v>
      </c>
      <c r="F110" s="75"/>
      <c r="G110" s="75"/>
      <c r="H110" s="75">
        <v>2800</v>
      </c>
      <c r="I110" s="75">
        <v>100</v>
      </c>
      <c r="J110" s="75"/>
      <c r="K110" s="75"/>
      <c r="L110" s="75"/>
      <c r="M110" s="75"/>
      <c r="N110" s="76"/>
    </row>
    <row r="111" spans="1:14" s="38" customFormat="1" ht="12" customHeight="1">
      <c r="A111" s="264">
        <v>841192</v>
      </c>
      <c r="B111" s="262" t="s">
        <v>766</v>
      </c>
      <c r="C111" s="81" t="s">
        <v>491</v>
      </c>
      <c r="D111" s="69">
        <v>1500</v>
      </c>
      <c r="E111" s="69">
        <f t="shared" si="2"/>
        <v>1000</v>
      </c>
      <c r="F111" s="75"/>
      <c r="G111" s="75"/>
      <c r="H111" s="75"/>
      <c r="I111" s="75">
        <v>1000</v>
      </c>
      <c r="J111" s="75"/>
      <c r="K111" s="75"/>
      <c r="L111" s="75"/>
      <c r="M111" s="256"/>
      <c r="N111" s="76"/>
    </row>
    <row r="112" spans="1:14" s="38" customFormat="1" ht="12" customHeight="1">
      <c r="A112" s="264"/>
      <c r="B112" s="262"/>
      <c r="C112" s="82" t="s">
        <v>496</v>
      </c>
      <c r="D112" s="69">
        <v>1500</v>
      </c>
      <c r="E112" s="69">
        <f t="shared" si="2"/>
        <v>1000</v>
      </c>
      <c r="F112" s="75"/>
      <c r="G112" s="75"/>
      <c r="H112" s="75">
        <v>1000</v>
      </c>
      <c r="I112" s="75"/>
      <c r="J112" s="75"/>
      <c r="K112" s="75"/>
      <c r="L112" s="75"/>
      <c r="M112" s="256"/>
      <c r="N112" s="76"/>
    </row>
    <row r="113" spans="1:14" s="38" customFormat="1" ht="12" customHeight="1">
      <c r="A113" s="264"/>
      <c r="B113" s="262"/>
      <c r="C113" s="82" t="s">
        <v>85</v>
      </c>
      <c r="D113" s="69">
        <v>1500</v>
      </c>
      <c r="E113" s="69">
        <f t="shared" si="2"/>
        <v>1000</v>
      </c>
      <c r="F113" s="75"/>
      <c r="G113" s="75"/>
      <c r="H113" s="75">
        <v>1000</v>
      </c>
      <c r="I113" s="75"/>
      <c r="J113" s="75"/>
      <c r="K113" s="75"/>
      <c r="L113" s="75"/>
      <c r="M113" s="256"/>
      <c r="N113" s="76"/>
    </row>
    <row r="114" spans="1:14" s="38" customFormat="1" ht="12" customHeight="1">
      <c r="A114" s="264">
        <v>841192</v>
      </c>
      <c r="B114" s="262" t="s">
        <v>767</v>
      </c>
      <c r="C114" s="81" t="s">
        <v>491</v>
      </c>
      <c r="D114" s="69"/>
      <c r="E114" s="69">
        <f t="shared" si="2"/>
        <v>5080</v>
      </c>
      <c r="F114" s="75">
        <v>4000</v>
      </c>
      <c r="G114" s="75">
        <v>1080</v>
      </c>
      <c r="H114" s="75"/>
      <c r="I114" s="75"/>
      <c r="J114" s="75"/>
      <c r="K114" s="75"/>
      <c r="L114" s="75"/>
      <c r="M114" s="256"/>
      <c r="N114" s="76"/>
    </row>
    <row r="115" spans="1:14" s="38" customFormat="1" ht="12" customHeight="1">
      <c r="A115" s="263"/>
      <c r="B115" s="240"/>
      <c r="C115" s="82" t="s">
        <v>496</v>
      </c>
      <c r="D115" s="70"/>
      <c r="E115" s="69">
        <f t="shared" si="2"/>
        <v>5080</v>
      </c>
      <c r="F115" s="258">
        <v>3807</v>
      </c>
      <c r="G115" s="258">
        <v>1080</v>
      </c>
      <c r="H115" s="258"/>
      <c r="I115" s="258">
        <v>193</v>
      </c>
      <c r="J115" s="258"/>
      <c r="K115" s="258"/>
      <c r="L115" s="258"/>
      <c r="M115" s="401"/>
      <c r="N115" s="257"/>
    </row>
    <row r="116" spans="1:14" s="38" customFormat="1" ht="12" customHeight="1">
      <c r="A116" s="263"/>
      <c r="B116" s="240"/>
      <c r="C116" s="82" t="s">
        <v>85</v>
      </c>
      <c r="D116" s="70"/>
      <c r="E116" s="69">
        <f t="shared" si="2"/>
        <v>5080</v>
      </c>
      <c r="F116" s="258">
        <v>3807</v>
      </c>
      <c r="G116" s="258">
        <v>1080</v>
      </c>
      <c r="H116" s="258"/>
      <c r="I116" s="258">
        <v>193</v>
      </c>
      <c r="J116" s="258"/>
      <c r="K116" s="258"/>
      <c r="L116" s="258"/>
      <c r="M116" s="401"/>
      <c r="N116" s="257"/>
    </row>
    <row r="117" spans="1:14" s="38" customFormat="1" ht="12" customHeight="1">
      <c r="A117" s="263">
        <v>841192</v>
      </c>
      <c r="B117" s="240" t="s">
        <v>797</v>
      </c>
      <c r="C117" s="82" t="s">
        <v>491</v>
      </c>
      <c r="D117" s="70"/>
      <c r="E117" s="70">
        <f t="shared" si="2"/>
        <v>15950</v>
      </c>
      <c r="F117" s="258"/>
      <c r="G117" s="258"/>
      <c r="H117" s="258">
        <v>12950</v>
      </c>
      <c r="I117" s="258"/>
      <c r="J117" s="258"/>
      <c r="K117" s="258"/>
      <c r="L117" s="258">
        <v>3000</v>
      </c>
      <c r="M117" s="258"/>
      <c r="N117" s="257"/>
    </row>
    <row r="118" spans="1:14" s="38" customFormat="1" ht="12" customHeight="1">
      <c r="A118" s="264"/>
      <c r="B118" s="262"/>
      <c r="C118" s="82" t="s">
        <v>496</v>
      </c>
      <c r="D118" s="69"/>
      <c r="E118" s="69">
        <f t="shared" si="2"/>
        <v>18450</v>
      </c>
      <c r="F118" s="75"/>
      <c r="G118" s="75"/>
      <c r="H118" s="75">
        <v>12950</v>
      </c>
      <c r="I118" s="75"/>
      <c r="J118" s="75"/>
      <c r="K118" s="75"/>
      <c r="L118" s="75">
        <v>5500</v>
      </c>
      <c r="M118" s="75"/>
      <c r="N118" s="76"/>
    </row>
    <row r="119" spans="1:14" s="38" customFormat="1" ht="12" customHeight="1">
      <c r="A119" s="264"/>
      <c r="B119" s="262"/>
      <c r="C119" s="82" t="s">
        <v>85</v>
      </c>
      <c r="D119" s="69"/>
      <c r="E119" s="69">
        <f t="shared" si="2"/>
        <v>18450</v>
      </c>
      <c r="F119" s="75"/>
      <c r="G119" s="75"/>
      <c r="H119" s="75">
        <v>12950</v>
      </c>
      <c r="I119" s="75"/>
      <c r="J119" s="75"/>
      <c r="K119" s="75"/>
      <c r="L119" s="75">
        <v>5500</v>
      </c>
      <c r="M119" s="75"/>
      <c r="N119" s="76"/>
    </row>
    <row r="120" spans="1:14" s="38" customFormat="1" ht="12" customHeight="1">
      <c r="A120" s="264">
        <v>841401</v>
      </c>
      <c r="B120" s="262" t="s">
        <v>732</v>
      </c>
      <c r="C120" s="81" t="s">
        <v>491</v>
      </c>
      <c r="D120" s="69"/>
      <c r="E120" s="69">
        <f t="shared" si="2"/>
        <v>37514</v>
      </c>
      <c r="F120" s="69"/>
      <c r="G120" s="69"/>
      <c r="H120" s="69">
        <v>14014</v>
      </c>
      <c r="I120" s="69"/>
      <c r="J120" s="69"/>
      <c r="K120" s="69"/>
      <c r="L120" s="69">
        <v>23500</v>
      </c>
      <c r="M120" s="69"/>
      <c r="N120" s="73"/>
    </row>
    <row r="121" spans="1:14" s="38" customFormat="1" ht="12" customHeight="1">
      <c r="A121" s="264"/>
      <c r="B121" s="262"/>
      <c r="C121" s="82" t="s">
        <v>496</v>
      </c>
      <c r="D121" s="69"/>
      <c r="E121" s="69">
        <f t="shared" si="2"/>
        <v>18605</v>
      </c>
      <c r="F121" s="69"/>
      <c r="G121" s="69"/>
      <c r="H121" s="69">
        <v>14014</v>
      </c>
      <c r="I121" s="69"/>
      <c r="J121" s="69"/>
      <c r="K121" s="69"/>
      <c r="L121" s="69">
        <v>4591</v>
      </c>
      <c r="M121" s="69"/>
      <c r="N121" s="73"/>
    </row>
    <row r="122" spans="1:14" s="38" customFormat="1" ht="12" customHeight="1">
      <c r="A122" s="264"/>
      <c r="B122" s="262"/>
      <c r="C122" s="82" t="s">
        <v>85</v>
      </c>
      <c r="D122" s="69"/>
      <c r="E122" s="69">
        <f t="shared" si="2"/>
        <v>15179</v>
      </c>
      <c r="F122" s="69"/>
      <c r="G122" s="69"/>
      <c r="H122" s="69">
        <v>14014</v>
      </c>
      <c r="I122" s="69"/>
      <c r="J122" s="69"/>
      <c r="K122" s="69"/>
      <c r="L122" s="69">
        <v>1165</v>
      </c>
      <c r="M122" s="69"/>
      <c r="N122" s="73"/>
    </row>
    <row r="123" spans="1:14" s="38" customFormat="1" ht="12" customHeight="1">
      <c r="A123" s="264">
        <v>841402</v>
      </c>
      <c r="B123" s="262" t="s">
        <v>741</v>
      </c>
      <c r="C123" s="81" t="s">
        <v>491</v>
      </c>
      <c r="D123" s="69"/>
      <c r="E123" s="69">
        <f t="shared" si="2"/>
        <v>75009</v>
      </c>
      <c r="F123" s="69"/>
      <c r="G123" s="69"/>
      <c r="H123" s="69">
        <v>69214</v>
      </c>
      <c r="I123" s="69"/>
      <c r="J123" s="69"/>
      <c r="K123" s="69"/>
      <c r="L123" s="69">
        <v>5795</v>
      </c>
      <c r="M123" s="69"/>
      <c r="N123" s="73"/>
    </row>
    <row r="124" spans="1:14" s="38" customFormat="1" ht="12" customHeight="1">
      <c r="A124" s="314"/>
      <c r="B124" s="315"/>
      <c r="C124" s="485" t="s">
        <v>496</v>
      </c>
      <c r="D124" s="316"/>
      <c r="E124" s="316">
        <f t="shared" si="2"/>
        <v>90304</v>
      </c>
      <c r="F124" s="316"/>
      <c r="G124" s="316"/>
      <c r="H124" s="316">
        <v>62214</v>
      </c>
      <c r="I124" s="316"/>
      <c r="J124" s="316"/>
      <c r="K124" s="316"/>
      <c r="L124" s="316">
        <v>28090</v>
      </c>
      <c r="M124" s="316"/>
      <c r="N124" s="486"/>
    </row>
    <row r="125" spans="1:14" s="38" customFormat="1" ht="12" customHeight="1" thickBot="1">
      <c r="A125" s="269"/>
      <c r="B125" s="270"/>
      <c r="C125" s="233" t="s">
        <v>85</v>
      </c>
      <c r="D125" s="93"/>
      <c r="E125" s="93">
        <f>SUM(F125:N125)</f>
        <v>90304</v>
      </c>
      <c r="F125" s="93"/>
      <c r="G125" s="93"/>
      <c r="H125" s="93">
        <v>62214</v>
      </c>
      <c r="I125" s="93"/>
      <c r="J125" s="93"/>
      <c r="K125" s="93"/>
      <c r="L125" s="93">
        <v>28090</v>
      </c>
      <c r="M125" s="93"/>
      <c r="N125" s="406"/>
    </row>
    <row r="126" spans="1:14" s="38" customFormat="1" ht="12" customHeight="1" thickTop="1">
      <c r="A126" s="686" t="s">
        <v>553</v>
      </c>
      <c r="B126" s="687"/>
      <c r="C126" s="687"/>
      <c r="D126" s="692" t="s">
        <v>458</v>
      </c>
      <c r="E126" s="695" t="s">
        <v>554</v>
      </c>
      <c r="F126" s="68" t="s">
        <v>555</v>
      </c>
      <c r="G126" s="68"/>
      <c r="H126" s="68"/>
      <c r="I126" s="266"/>
      <c r="J126" s="266"/>
      <c r="K126" s="68" t="s">
        <v>489</v>
      </c>
      <c r="L126" s="68"/>
      <c r="M126" s="698" t="s">
        <v>633</v>
      </c>
      <c r="N126" s="679" t="s">
        <v>534</v>
      </c>
    </row>
    <row r="127" spans="1:14" s="38" customFormat="1" ht="12" customHeight="1">
      <c r="A127" s="688"/>
      <c r="B127" s="689"/>
      <c r="C127" s="689"/>
      <c r="D127" s="693"/>
      <c r="E127" s="696"/>
      <c r="F127" s="682" t="s">
        <v>627</v>
      </c>
      <c r="G127" s="682" t="s">
        <v>628</v>
      </c>
      <c r="H127" s="682" t="s">
        <v>629</v>
      </c>
      <c r="I127" s="682" t="s">
        <v>630</v>
      </c>
      <c r="J127" s="682" t="s">
        <v>632</v>
      </c>
      <c r="K127" s="684" t="s">
        <v>549</v>
      </c>
      <c r="L127" s="684" t="s">
        <v>530</v>
      </c>
      <c r="M127" s="699"/>
      <c r="N127" s="680"/>
    </row>
    <row r="128" spans="1:14" s="38" customFormat="1" ht="39" customHeight="1" thickBot="1">
      <c r="A128" s="690"/>
      <c r="B128" s="691"/>
      <c r="C128" s="691"/>
      <c r="D128" s="694"/>
      <c r="E128" s="697"/>
      <c r="F128" s="683"/>
      <c r="G128" s="683"/>
      <c r="H128" s="683"/>
      <c r="I128" s="683"/>
      <c r="J128" s="683"/>
      <c r="K128" s="685"/>
      <c r="L128" s="685"/>
      <c r="M128" s="683"/>
      <c r="N128" s="681"/>
    </row>
    <row r="129" spans="1:14" s="38" customFormat="1" ht="11.25" customHeight="1" thickTop="1">
      <c r="A129" s="264">
        <v>841403</v>
      </c>
      <c r="B129" s="262" t="s">
        <v>742</v>
      </c>
      <c r="C129" s="81" t="s">
        <v>491</v>
      </c>
      <c r="D129" s="69">
        <v>5000</v>
      </c>
      <c r="E129" s="69">
        <f t="shared" si="2"/>
        <v>64600</v>
      </c>
      <c r="F129" s="69"/>
      <c r="G129" s="69"/>
      <c r="H129" s="69">
        <v>6000</v>
      </c>
      <c r="I129" s="69">
        <v>58600</v>
      </c>
      <c r="J129" s="69"/>
      <c r="K129" s="69"/>
      <c r="L129" s="69"/>
      <c r="M129" s="69"/>
      <c r="N129" s="73"/>
    </row>
    <row r="130" spans="1:14" s="38" customFormat="1" ht="11.25" customHeight="1">
      <c r="A130" s="264"/>
      <c r="B130" s="262"/>
      <c r="C130" s="82" t="s">
        <v>496</v>
      </c>
      <c r="D130" s="69">
        <v>7000</v>
      </c>
      <c r="E130" s="69">
        <f t="shared" si="2"/>
        <v>150766</v>
      </c>
      <c r="F130" s="69"/>
      <c r="G130" s="69"/>
      <c r="H130" s="69">
        <v>11000</v>
      </c>
      <c r="I130" s="69">
        <v>117600</v>
      </c>
      <c r="J130" s="69"/>
      <c r="K130" s="69"/>
      <c r="L130" s="69"/>
      <c r="M130" s="69">
        <v>22166</v>
      </c>
      <c r="N130" s="73"/>
    </row>
    <row r="131" spans="1:14" s="38" customFormat="1" ht="11.25" customHeight="1">
      <c r="A131" s="264"/>
      <c r="B131" s="262"/>
      <c r="C131" s="82" t="s">
        <v>85</v>
      </c>
      <c r="D131" s="69">
        <v>7000</v>
      </c>
      <c r="E131" s="69">
        <f t="shared" si="2"/>
        <v>150766</v>
      </c>
      <c r="F131" s="69"/>
      <c r="G131" s="69"/>
      <c r="H131" s="69">
        <v>11000</v>
      </c>
      <c r="I131" s="69">
        <v>117600</v>
      </c>
      <c r="J131" s="69"/>
      <c r="K131" s="69"/>
      <c r="L131" s="69"/>
      <c r="M131" s="69">
        <v>22166</v>
      </c>
      <c r="N131" s="73"/>
    </row>
    <row r="132" spans="1:14" s="38" customFormat="1" ht="12" customHeight="1">
      <c r="A132" s="264">
        <v>841403</v>
      </c>
      <c r="B132" s="262" t="s">
        <v>745</v>
      </c>
      <c r="C132" s="81" t="s">
        <v>491</v>
      </c>
      <c r="D132" s="69">
        <v>500</v>
      </c>
      <c r="E132" s="69">
        <f t="shared" si="2"/>
        <v>20040</v>
      </c>
      <c r="F132" s="69"/>
      <c r="G132" s="69"/>
      <c r="H132" s="69">
        <v>7540</v>
      </c>
      <c r="I132" s="69">
        <v>11300</v>
      </c>
      <c r="J132" s="69"/>
      <c r="K132" s="69">
        <v>800</v>
      </c>
      <c r="L132" s="69">
        <v>400</v>
      </c>
      <c r="M132" s="69"/>
      <c r="N132" s="73"/>
    </row>
    <row r="133" spans="1:14" s="38" customFormat="1" ht="12" customHeight="1">
      <c r="A133" s="264"/>
      <c r="B133" s="262"/>
      <c r="C133" s="82" t="s">
        <v>496</v>
      </c>
      <c r="D133" s="69">
        <v>500</v>
      </c>
      <c r="E133" s="69">
        <f aca="true" t="shared" si="3" ref="E133:E221">SUM(F133:N133)</f>
        <v>22215</v>
      </c>
      <c r="F133" s="69">
        <v>64</v>
      </c>
      <c r="G133" s="69">
        <v>17</v>
      </c>
      <c r="H133" s="69">
        <v>9765</v>
      </c>
      <c r="I133" s="69">
        <v>11169</v>
      </c>
      <c r="J133" s="69"/>
      <c r="K133" s="69">
        <v>800</v>
      </c>
      <c r="L133" s="69">
        <v>400</v>
      </c>
      <c r="M133" s="69"/>
      <c r="N133" s="73"/>
    </row>
    <row r="134" spans="1:14" s="38" customFormat="1" ht="12" customHeight="1">
      <c r="A134" s="264"/>
      <c r="B134" s="262"/>
      <c r="C134" s="82" t="s">
        <v>85</v>
      </c>
      <c r="D134" s="69">
        <v>500</v>
      </c>
      <c r="E134" s="69">
        <f t="shared" si="3"/>
        <v>21965</v>
      </c>
      <c r="F134" s="69">
        <v>64</v>
      </c>
      <c r="G134" s="69">
        <v>17</v>
      </c>
      <c r="H134" s="69">
        <v>9765</v>
      </c>
      <c r="I134" s="69">
        <v>10919</v>
      </c>
      <c r="J134" s="69"/>
      <c r="K134" s="69">
        <v>800</v>
      </c>
      <c r="L134" s="69">
        <v>400</v>
      </c>
      <c r="M134" s="69"/>
      <c r="N134" s="73"/>
    </row>
    <row r="135" spans="1:14" s="38" customFormat="1" ht="12" customHeight="1">
      <c r="A135" s="264">
        <v>841403</v>
      </c>
      <c r="B135" s="262" t="s">
        <v>798</v>
      </c>
      <c r="C135" s="81" t="s">
        <v>491</v>
      </c>
      <c r="D135" s="69"/>
      <c r="E135" s="69">
        <f t="shared" si="3"/>
        <v>45000</v>
      </c>
      <c r="F135" s="75"/>
      <c r="G135" s="75"/>
      <c r="H135" s="75"/>
      <c r="I135" s="75">
        <v>45000</v>
      </c>
      <c r="J135" s="75"/>
      <c r="K135" s="75"/>
      <c r="L135" s="75"/>
      <c r="M135" s="75"/>
      <c r="N135" s="76"/>
    </row>
    <row r="136" spans="1:14" s="38" customFormat="1" ht="12" customHeight="1">
      <c r="A136" s="264"/>
      <c r="B136" s="262"/>
      <c r="C136" s="82" t="s">
        <v>496</v>
      </c>
      <c r="D136" s="69"/>
      <c r="E136" s="69">
        <f t="shared" si="3"/>
        <v>45000</v>
      </c>
      <c r="F136" s="75"/>
      <c r="G136" s="75"/>
      <c r="H136" s="75"/>
      <c r="I136" s="75">
        <v>45000</v>
      </c>
      <c r="J136" s="75"/>
      <c r="K136" s="75"/>
      <c r="L136" s="75"/>
      <c r="M136" s="75"/>
      <c r="N136" s="76"/>
    </row>
    <row r="137" spans="1:14" s="38" customFormat="1" ht="12" customHeight="1">
      <c r="A137" s="263"/>
      <c r="B137" s="240"/>
      <c r="C137" s="82" t="s">
        <v>85</v>
      </c>
      <c r="D137" s="70"/>
      <c r="E137" s="69">
        <f t="shared" si="3"/>
        <v>45000</v>
      </c>
      <c r="F137" s="258"/>
      <c r="G137" s="258"/>
      <c r="H137" s="258"/>
      <c r="I137" s="258">
        <v>45000</v>
      </c>
      <c r="J137" s="258"/>
      <c r="K137" s="258"/>
      <c r="L137" s="258"/>
      <c r="M137" s="258"/>
      <c r="N137" s="257"/>
    </row>
    <row r="138" spans="1:14" s="38" customFormat="1" ht="12" customHeight="1">
      <c r="A138" s="263">
        <v>841403</v>
      </c>
      <c r="B138" s="240" t="s">
        <v>802</v>
      </c>
      <c r="C138" s="82" t="s">
        <v>491</v>
      </c>
      <c r="D138" s="70"/>
      <c r="E138" s="70">
        <f t="shared" si="3"/>
        <v>15300</v>
      </c>
      <c r="F138" s="258">
        <v>1000</v>
      </c>
      <c r="G138" s="258">
        <v>300</v>
      </c>
      <c r="H138" s="258">
        <v>6500</v>
      </c>
      <c r="I138" s="258">
        <v>6000</v>
      </c>
      <c r="J138" s="258"/>
      <c r="K138" s="258"/>
      <c r="L138" s="258">
        <v>1500</v>
      </c>
      <c r="M138" s="258"/>
      <c r="N138" s="257"/>
    </row>
    <row r="139" spans="1:14" s="38" customFormat="1" ht="12" customHeight="1">
      <c r="A139" s="264"/>
      <c r="B139" s="262"/>
      <c r="C139" s="82" t="s">
        <v>496</v>
      </c>
      <c r="D139" s="69"/>
      <c r="E139" s="69">
        <f t="shared" si="3"/>
        <v>15400</v>
      </c>
      <c r="F139" s="75">
        <v>1000</v>
      </c>
      <c r="G139" s="75">
        <v>300</v>
      </c>
      <c r="H139" s="75">
        <v>6500</v>
      </c>
      <c r="I139" s="75">
        <v>6000</v>
      </c>
      <c r="J139" s="75"/>
      <c r="K139" s="75"/>
      <c r="L139" s="75">
        <v>1600</v>
      </c>
      <c r="M139" s="75"/>
      <c r="N139" s="76"/>
    </row>
    <row r="140" spans="1:14" s="38" customFormat="1" ht="12" customHeight="1">
      <c r="A140" s="264"/>
      <c r="B140" s="262"/>
      <c r="C140" s="82" t="s">
        <v>85</v>
      </c>
      <c r="D140" s="69"/>
      <c r="E140" s="69">
        <f t="shared" si="3"/>
        <v>15400</v>
      </c>
      <c r="F140" s="75">
        <v>1000</v>
      </c>
      <c r="G140" s="75">
        <v>300</v>
      </c>
      <c r="H140" s="75">
        <v>6500</v>
      </c>
      <c r="I140" s="75">
        <v>6000</v>
      </c>
      <c r="J140" s="75"/>
      <c r="K140" s="75"/>
      <c r="L140" s="75">
        <v>1600</v>
      </c>
      <c r="M140" s="75"/>
      <c r="N140" s="76"/>
    </row>
    <row r="141" spans="1:14" s="38" customFormat="1" ht="12" customHeight="1">
      <c r="A141" s="264">
        <v>841901</v>
      </c>
      <c r="B141" s="262" t="s">
        <v>772</v>
      </c>
      <c r="C141" s="81" t="s">
        <v>491</v>
      </c>
      <c r="D141" s="69">
        <v>1383000</v>
      </c>
      <c r="E141" s="69">
        <f t="shared" si="3"/>
        <v>0</v>
      </c>
      <c r="F141" s="75"/>
      <c r="G141" s="75"/>
      <c r="H141" s="75"/>
      <c r="I141" s="75"/>
      <c r="J141" s="75"/>
      <c r="K141" s="75"/>
      <c r="L141" s="75"/>
      <c r="M141" s="256"/>
      <c r="N141" s="76"/>
    </row>
    <row r="142" spans="1:14" s="38" customFormat="1" ht="12" customHeight="1">
      <c r="A142" s="264"/>
      <c r="B142" s="262"/>
      <c r="C142" s="82" t="s">
        <v>496</v>
      </c>
      <c r="D142" s="69">
        <v>1383000</v>
      </c>
      <c r="E142" s="69">
        <f t="shared" si="3"/>
        <v>0</v>
      </c>
      <c r="F142" s="75"/>
      <c r="G142" s="75"/>
      <c r="H142" s="75"/>
      <c r="I142" s="75"/>
      <c r="J142" s="75"/>
      <c r="K142" s="75"/>
      <c r="L142" s="75"/>
      <c r="M142" s="256"/>
      <c r="N142" s="76"/>
    </row>
    <row r="143" spans="1:14" s="38" customFormat="1" ht="12" customHeight="1">
      <c r="A143" s="264"/>
      <c r="B143" s="262"/>
      <c r="C143" s="82" t="s">
        <v>85</v>
      </c>
      <c r="D143" s="69">
        <v>1383000</v>
      </c>
      <c r="E143" s="69">
        <f t="shared" si="3"/>
        <v>0</v>
      </c>
      <c r="F143" s="75"/>
      <c r="G143" s="75"/>
      <c r="H143" s="75"/>
      <c r="I143" s="75"/>
      <c r="J143" s="75"/>
      <c r="K143" s="75"/>
      <c r="L143" s="75"/>
      <c r="M143" s="256"/>
      <c r="N143" s="76"/>
    </row>
    <row r="144" spans="1:14" s="38" customFormat="1" ht="12" customHeight="1">
      <c r="A144" s="264">
        <v>841901</v>
      </c>
      <c r="B144" s="262" t="s">
        <v>773</v>
      </c>
      <c r="C144" s="81" t="s">
        <v>491</v>
      </c>
      <c r="D144" s="69">
        <v>1289530</v>
      </c>
      <c r="E144" s="69">
        <f t="shared" si="3"/>
        <v>0</v>
      </c>
      <c r="F144" s="75"/>
      <c r="G144" s="75"/>
      <c r="H144" s="75"/>
      <c r="I144" s="75"/>
      <c r="J144" s="75"/>
      <c r="K144" s="75"/>
      <c r="L144" s="75"/>
      <c r="M144" s="256"/>
      <c r="N144" s="76"/>
    </row>
    <row r="145" spans="1:14" s="38" customFormat="1" ht="12" customHeight="1">
      <c r="A145" s="264"/>
      <c r="B145" s="262"/>
      <c r="C145" s="82" t="s">
        <v>496</v>
      </c>
      <c r="D145" s="69">
        <v>1344944</v>
      </c>
      <c r="E145" s="69">
        <f t="shared" si="3"/>
        <v>0</v>
      </c>
      <c r="F145" s="75"/>
      <c r="G145" s="75"/>
      <c r="H145" s="75"/>
      <c r="I145" s="75"/>
      <c r="J145" s="75"/>
      <c r="K145" s="75"/>
      <c r="L145" s="75"/>
      <c r="M145" s="256"/>
      <c r="N145" s="76"/>
    </row>
    <row r="146" spans="1:14" s="38" customFormat="1" ht="12" customHeight="1">
      <c r="A146" s="264"/>
      <c r="B146" s="262"/>
      <c r="C146" s="82" t="s">
        <v>85</v>
      </c>
      <c r="D146" s="69">
        <v>1344944</v>
      </c>
      <c r="E146" s="69">
        <f t="shared" si="3"/>
        <v>0</v>
      </c>
      <c r="F146" s="75"/>
      <c r="G146" s="75"/>
      <c r="H146" s="75"/>
      <c r="I146" s="75"/>
      <c r="J146" s="75"/>
      <c r="K146" s="75"/>
      <c r="L146" s="75"/>
      <c r="M146" s="256"/>
      <c r="N146" s="76"/>
    </row>
    <row r="147" spans="1:14" s="38" customFormat="1" ht="12" customHeight="1">
      <c r="A147" s="264">
        <v>841901</v>
      </c>
      <c r="B147" s="262" t="s">
        <v>805</v>
      </c>
      <c r="C147" s="81" t="s">
        <v>491</v>
      </c>
      <c r="D147" s="69">
        <v>1500</v>
      </c>
      <c r="E147" s="69">
        <f t="shared" si="3"/>
        <v>0</v>
      </c>
      <c r="F147" s="75"/>
      <c r="G147" s="75"/>
      <c r="H147" s="75"/>
      <c r="I147" s="75"/>
      <c r="J147" s="75"/>
      <c r="K147" s="75"/>
      <c r="L147" s="75"/>
      <c r="M147" s="75"/>
      <c r="N147" s="76"/>
    </row>
    <row r="148" spans="1:14" s="38" customFormat="1" ht="12" customHeight="1">
      <c r="A148" s="264"/>
      <c r="B148" s="262"/>
      <c r="C148" s="82" t="s">
        <v>496</v>
      </c>
      <c r="D148" s="69">
        <v>1500</v>
      </c>
      <c r="E148" s="69">
        <f t="shared" si="3"/>
        <v>0</v>
      </c>
      <c r="F148" s="75"/>
      <c r="G148" s="75"/>
      <c r="H148" s="75"/>
      <c r="I148" s="75"/>
      <c r="J148" s="75"/>
      <c r="K148" s="75"/>
      <c r="L148" s="75"/>
      <c r="M148" s="75"/>
      <c r="N148" s="76"/>
    </row>
    <row r="149" spans="1:14" s="38" customFormat="1" ht="12" customHeight="1">
      <c r="A149" s="264"/>
      <c r="B149" s="262"/>
      <c r="C149" s="82" t="s">
        <v>85</v>
      </c>
      <c r="D149" s="69">
        <v>1500</v>
      </c>
      <c r="E149" s="69">
        <f t="shared" si="3"/>
        <v>0</v>
      </c>
      <c r="F149" s="75"/>
      <c r="G149" s="75"/>
      <c r="H149" s="75"/>
      <c r="I149" s="75"/>
      <c r="J149" s="75"/>
      <c r="K149" s="75"/>
      <c r="L149" s="75"/>
      <c r="M149" s="75"/>
      <c r="N149" s="76"/>
    </row>
    <row r="150" spans="1:14" s="38" customFormat="1" ht="12" customHeight="1">
      <c r="A150" s="264">
        <v>841906</v>
      </c>
      <c r="B150" s="262" t="s">
        <v>803</v>
      </c>
      <c r="C150" s="81" t="s">
        <v>491</v>
      </c>
      <c r="D150" s="69"/>
      <c r="E150" s="69">
        <f t="shared" si="3"/>
        <v>150980</v>
      </c>
      <c r="F150" s="75"/>
      <c r="G150" s="75"/>
      <c r="H150" s="75">
        <v>131528</v>
      </c>
      <c r="I150" s="75">
        <v>5879</v>
      </c>
      <c r="J150" s="75"/>
      <c r="K150" s="75"/>
      <c r="L150" s="75"/>
      <c r="M150" s="75">
        <v>13573</v>
      </c>
      <c r="N150" s="76"/>
    </row>
    <row r="151" spans="1:14" s="38" customFormat="1" ht="12" customHeight="1">
      <c r="A151" s="264"/>
      <c r="B151" s="262"/>
      <c r="C151" s="82" t="s">
        <v>496</v>
      </c>
      <c r="D151" s="69"/>
      <c r="E151" s="69">
        <f t="shared" si="3"/>
        <v>150980</v>
      </c>
      <c r="F151" s="75"/>
      <c r="G151" s="75"/>
      <c r="H151" s="75">
        <v>131528</v>
      </c>
      <c r="I151" s="75">
        <v>5879</v>
      </c>
      <c r="J151" s="75"/>
      <c r="K151" s="75"/>
      <c r="L151" s="75"/>
      <c r="M151" s="75">
        <v>13573</v>
      </c>
      <c r="N151" s="76"/>
    </row>
    <row r="152" spans="1:14" s="38" customFormat="1" ht="12" customHeight="1">
      <c r="A152" s="264"/>
      <c r="B152" s="262"/>
      <c r="C152" s="82" t="s">
        <v>85</v>
      </c>
      <c r="D152" s="69"/>
      <c r="E152" s="69">
        <f t="shared" si="3"/>
        <v>66875</v>
      </c>
      <c r="F152" s="75"/>
      <c r="G152" s="75"/>
      <c r="H152" s="75">
        <v>47423</v>
      </c>
      <c r="I152" s="75">
        <v>5879</v>
      </c>
      <c r="J152" s="75"/>
      <c r="K152" s="75"/>
      <c r="L152" s="75"/>
      <c r="M152" s="75">
        <v>13573</v>
      </c>
      <c r="N152" s="76"/>
    </row>
    <row r="153" spans="1:14" s="38" customFormat="1" ht="12" customHeight="1">
      <c r="A153" s="264">
        <v>841907</v>
      </c>
      <c r="B153" s="262" t="s">
        <v>224</v>
      </c>
      <c r="C153" s="81" t="s">
        <v>491</v>
      </c>
      <c r="D153" s="69"/>
      <c r="E153" s="69">
        <f t="shared" si="3"/>
        <v>0</v>
      </c>
      <c r="F153" s="75"/>
      <c r="G153" s="75"/>
      <c r="H153" s="75"/>
      <c r="I153" s="75"/>
      <c r="J153" s="75"/>
      <c r="K153" s="75"/>
      <c r="L153" s="75"/>
      <c r="M153" s="75"/>
      <c r="N153" s="76"/>
    </row>
    <row r="154" spans="1:14" s="38" customFormat="1" ht="12" customHeight="1">
      <c r="A154" s="264"/>
      <c r="B154" s="262"/>
      <c r="C154" s="82" t="s">
        <v>496</v>
      </c>
      <c r="D154" s="69"/>
      <c r="E154" s="69">
        <f t="shared" si="3"/>
        <v>0</v>
      </c>
      <c r="F154" s="75"/>
      <c r="G154" s="75"/>
      <c r="H154" s="75"/>
      <c r="I154" s="75"/>
      <c r="J154" s="75"/>
      <c r="K154" s="75"/>
      <c r="L154" s="75"/>
      <c r="M154" s="75"/>
      <c r="N154" s="76"/>
    </row>
    <row r="155" spans="1:14" s="38" customFormat="1" ht="12" customHeight="1">
      <c r="A155" s="264"/>
      <c r="B155" s="262"/>
      <c r="C155" s="82" t="s">
        <v>85</v>
      </c>
      <c r="D155" s="69"/>
      <c r="E155" s="69">
        <f t="shared" si="3"/>
        <v>4433</v>
      </c>
      <c r="F155" s="75"/>
      <c r="G155" s="75"/>
      <c r="H155" s="75"/>
      <c r="I155" s="75"/>
      <c r="J155" s="75"/>
      <c r="K155" s="75"/>
      <c r="L155" s="75"/>
      <c r="M155" s="75">
        <v>4433</v>
      </c>
      <c r="N155" s="76"/>
    </row>
    <row r="156" spans="1:14" s="38" customFormat="1" ht="12" customHeight="1">
      <c r="A156" s="264">
        <v>842155</v>
      </c>
      <c r="B156" s="262" t="s">
        <v>804</v>
      </c>
      <c r="C156" s="81" t="s">
        <v>491</v>
      </c>
      <c r="D156" s="69">
        <v>2700</v>
      </c>
      <c r="E156" s="69">
        <f t="shared" si="3"/>
        <v>12725</v>
      </c>
      <c r="F156" s="75"/>
      <c r="G156" s="75"/>
      <c r="H156" s="75">
        <v>12725</v>
      </c>
      <c r="I156" s="75"/>
      <c r="J156" s="75"/>
      <c r="K156" s="75"/>
      <c r="L156" s="75"/>
      <c r="M156" s="75"/>
      <c r="N156" s="76"/>
    </row>
    <row r="157" spans="1:14" s="38" customFormat="1" ht="12" customHeight="1">
      <c r="A157" s="264"/>
      <c r="B157" s="262"/>
      <c r="C157" s="82" t="s">
        <v>496</v>
      </c>
      <c r="D157" s="69">
        <v>2700</v>
      </c>
      <c r="E157" s="69">
        <f>SUM(F157:N157)</f>
        <v>12306</v>
      </c>
      <c r="F157" s="75">
        <v>1500</v>
      </c>
      <c r="G157" s="75">
        <v>300</v>
      </c>
      <c r="H157" s="75">
        <v>10256</v>
      </c>
      <c r="I157" s="75">
        <v>250</v>
      </c>
      <c r="J157" s="75"/>
      <c r="K157" s="75"/>
      <c r="L157" s="75"/>
      <c r="M157" s="75"/>
      <c r="N157" s="76"/>
    </row>
    <row r="158" spans="1:14" s="38" customFormat="1" ht="12" customHeight="1">
      <c r="A158" s="264"/>
      <c r="B158" s="262"/>
      <c r="C158" s="82" t="s">
        <v>85</v>
      </c>
      <c r="D158" s="69">
        <v>2700</v>
      </c>
      <c r="E158" s="69">
        <f>SUM(F158:N158)</f>
        <v>12306</v>
      </c>
      <c r="F158" s="75">
        <v>1500</v>
      </c>
      <c r="G158" s="75">
        <v>300</v>
      </c>
      <c r="H158" s="75">
        <v>10256</v>
      </c>
      <c r="I158" s="75">
        <v>250</v>
      </c>
      <c r="J158" s="75"/>
      <c r="K158" s="75"/>
      <c r="L158" s="75"/>
      <c r="M158" s="75"/>
      <c r="N158" s="76"/>
    </row>
    <row r="159" spans="1:14" s="38" customFormat="1" ht="12" customHeight="1">
      <c r="A159" s="264">
        <v>842155</v>
      </c>
      <c r="B159" s="262" t="s">
        <v>76</v>
      </c>
      <c r="C159" s="81" t="s">
        <v>491</v>
      </c>
      <c r="D159" s="69"/>
      <c r="E159" s="69">
        <f>SUM(F159:N159)</f>
        <v>0</v>
      </c>
      <c r="F159" s="75"/>
      <c r="G159" s="75"/>
      <c r="H159" s="75"/>
      <c r="I159" s="75"/>
      <c r="J159" s="75"/>
      <c r="K159" s="75"/>
      <c r="L159" s="75"/>
      <c r="M159" s="75"/>
      <c r="N159" s="76"/>
    </row>
    <row r="160" spans="1:14" s="38" customFormat="1" ht="12" customHeight="1">
      <c r="A160" s="264"/>
      <c r="B160" s="262"/>
      <c r="C160" s="82" t="s">
        <v>496</v>
      </c>
      <c r="D160" s="69">
        <v>9350</v>
      </c>
      <c r="E160" s="69">
        <f>SUM(F160:N160)</f>
        <v>9889</v>
      </c>
      <c r="F160" s="75">
        <v>453</v>
      </c>
      <c r="G160" s="75">
        <v>113</v>
      </c>
      <c r="H160" s="75">
        <v>9323</v>
      </c>
      <c r="I160" s="75"/>
      <c r="J160" s="75"/>
      <c r="K160" s="75"/>
      <c r="L160" s="75"/>
      <c r="M160" s="75"/>
      <c r="N160" s="76"/>
    </row>
    <row r="161" spans="1:14" s="38" customFormat="1" ht="12" customHeight="1">
      <c r="A161" s="264"/>
      <c r="B161" s="262"/>
      <c r="C161" s="82" t="s">
        <v>85</v>
      </c>
      <c r="D161" s="69">
        <v>9350</v>
      </c>
      <c r="E161" s="69">
        <f>SUM(F161:N161)</f>
        <v>9889</v>
      </c>
      <c r="F161" s="75">
        <v>453</v>
      </c>
      <c r="G161" s="75">
        <v>113</v>
      </c>
      <c r="H161" s="75">
        <v>9323</v>
      </c>
      <c r="I161" s="75"/>
      <c r="J161" s="75"/>
      <c r="K161" s="75"/>
      <c r="L161" s="75"/>
      <c r="M161" s="75"/>
      <c r="N161" s="76"/>
    </row>
    <row r="162" spans="1:14" s="38" customFormat="1" ht="12" customHeight="1">
      <c r="A162" s="265">
        <v>842421</v>
      </c>
      <c r="B162" s="268" t="s">
        <v>762</v>
      </c>
      <c r="C162" s="81" t="s">
        <v>491</v>
      </c>
      <c r="D162" s="69"/>
      <c r="E162" s="69">
        <f t="shared" si="3"/>
        <v>350</v>
      </c>
      <c r="F162" s="256"/>
      <c r="G162" s="256"/>
      <c r="H162" s="75"/>
      <c r="I162" s="256">
        <v>350</v>
      </c>
      <c r="J162" s="256"/>
      <c r="K162" s="256"/>
      <c r="L162" s="256"/>
      <c r="M162" s="256"/>
      <c r="N162" s="76"/>
    </row>
    <row r="163" spans="1:14" s="38" customFormat="1" ht="12" customHeight="1">
      <c r="A163" s="265"/>
      <c r="B163" s="268"/>
      <c r="C163" s="82" t="s">
        <v>496</v>
      </c>
      <c r="D163" s="69"/>
      <c r="E163" s="69">
        <f t="shared" si="3"/>
        <v>2850</v>
      </c>
      <c r="F163" s="256"/>
      <c r="G163" s="256"/>
      <c r="H163" s="75"/>
      <c r="I163" s="256">
        <v>2850</v>
      </c>
      <c r="J163" s="256"/>
      <c r="K163" s="256"/>
      <c r="L163" s="256"/>
      <c r="M163" s="256"/>
      <c r="N163" s="76"/>
    </row>
    <row r="164" spans="1:14" s="38" customFormat="1" ht="12" customHeight="1">
      <c r="A164" s="265"/>
      <c r="B164" s="268"/>
      <c r="C164" s="82" t="s">
        <v>85</v>
      </c>
      <c r="D164" s="69"/>
      <c r="E164" s="69">
        <f t="shared" si="3"/>
        <v>2850</v>
      </c>
      <c r="F164" s="256"/>
      <c r="G164" s="256"/>
      <c r="H164" s="75"/>
      <c r="I164" s="256">
        <v>2850</v>
      </c>
      <c r="J164" s="256"/>
      <c r="K164" s="256"/>
      <c r="L164" s="256"/>
      <c r="M164" s="256"/>
      <c r="N164" s="76"/>
    </row>
    <row r="165" spans="1:14" s="39" customFormat="1" ht="12" customHeight="1">
      <c r="A165" s="264">
        <v>842521</v>
      </c>
      <c r="B165" s="262" t="s">
        <v>757</v>
      </c>
      <c r="C165" s="81" t="s">
        <v>491</v>
      </c>
      <c r="D165" s="69"/>
      <c r="E165" s="69">
        <f t="shared" si="3"/>
        <v>250</v>
      </c>
      <c r="F165" s="69"/>
      <c r="G165" s="69"/>
      <c r="H165" s="69">
        <v>250</v>
      </c>
      <c r="I165" s="69"/>
      <c r="J165" s="69"/>
      <c r="K165" s="69"/>
      <c r="L165" s="69"/>
      <c r="M165" s="69"/>
      <c r="N165" s="73"/>
    </row>
    <row r="166" spans="1:14" s="39" customFormat="1" ht="12" customHeight="1">
      <c r="A166" s="264"/>
      <c r="B166" s="262"/>
      <c r="C166" s="82" t="s">
        <v>496</v>
      </c>
      <c r="D166" s="69"/>
      <c r="E166" s="69">
        <f t="shared" si="3"/>
        <v>250</v>
      </c>
      <c r="F166" s="69"/>
      <c r="G166" s="69"/>
      <c r="H166" s="69">
        <v>250</v>
      </c>
      <c r="I166" s="69"/>
      <c r="J166" s="69"/>
      <c r="K166" s="69"/>
      <c r="L166" s="69"/>
      <c r="M166" s="69"/>
      <c r="N166" s="73"/>
    </row>
    <row r="167" spans="1:14" s="39" customFormat="1" ht="12" customHeight="1">
      <c r="A167" s="264"/>
      <c r="B167" s="262"/>
      <c r="C167" s="82" t="s">
        <v>85</v>
      </c>
      <c r="D167" s="69"/>
      <c r="E167" s="69">
        <f t="shared" si="3"/>
        <v>250</v>
      </c>
      <c r="F167" s="69"/>
      <c r="G167" s="69"/>
      <c r="H167" s="69">
        <v>250</v>
      </c>
      <c r="I167" s="69"/>
      <c r="J167" s="69"/>
      <c r="K167" s="69"/>
      <c r="L167" s="69"/>
      <c r="M167" s="69"/>
      <c r="N167" s="73"/>
    </row>
    <row r="168" spans="1:14" s="38" customFormat="1" ht="12" customHeight="1">
      <c r="A168" s="264">
        <v>842521</v>
      </c>
      <c r="B168" s="262" t="s">
        <v>758</v>
      </c>
      <c r="C168" s="81" t="s">
        <v>491</v>
      </c>
      <c r="D168" s="69"/>
      <c r="E168" s="69">
        <f t="shared" si="3"/>
        <v>0</v>
      </c>
      <c r="F168" s="69"/>
      <c r="G168" s="69"/>
      <c r="H168" s="69"/>
      <c r="I168" s="69">
        <v>0</v>
      </c>
      <c r="J168" s="69"/>
      <c r="K168" s="69"/>
      <c r="L168" s="69"/>
      <c r="M168" s="69"/>
      <c r="N168" s="73"/>
    </row>
    <row r="169" spans="1:14" s="38" customFormat="1" ht="12" customHeight="1">
      <c r="A169" s="264"/>
      <c r="B169" s="262"/>
      <c r="C169" s="82" t="s">
        <v>496</v>
      </c>
      <c r="D169" s="69"/>
      <c r="E169" s="69">
        <f t="shared" si="3"/>
        <v>4500</v>
      </c>
      <c r="F169" s="69"/>
      <c r="G169" s="69"/>
      <c r="H169" s="69"/>
      <c r="I169" s="69">
        <v>2500</v>
      </c>
      <c r="J169" s="69">
        <v>2000</v>
      </c>
      <c r="K169" s="69"/>
      <c r="L169" s="69"/>
      <c r="M169" s="69"/>
      <c r="N169" s="73"/>
    </row>
    <row r="170" spans="1:14" s="38" customFormat="1" ht="12" customHeight="1">
      <c r="A170" s="264"/>
      <c r="B170" s="262"/>
      <c r="C170" s="82" t="s">
        <v>85</v>
      </c>
      <c r="D170" s="69"/>
      <c r="E170" s="69">
        <f t="shared" si="3"/>
        <v>4500</v>
      </c>
      <c r="F170" s="69"/>
      <c r="G170" s="69"/>
      <c r="H170" s="69"/>
      <c r="I170" s="69">
        <v>2500</v>
      </c>
      <c r="J170" s="69">
        <v>2000</v>
      </c>
      <c r="K170" s="69"/>
      <c r="L170" s="69"/>
      <c r="M170" s="69"/>
      <c r="N170" s="73"/>
    </row>
    <row r="171" spans="1:14" s="38" customFormat="1" ht="12" customHeight="1">
      <c r="A171" s="264">
        <v>842541</v>
      </c>
      <c r="B171" s="262" t="s">
        <v>144</v>
      </c>
      <c r="C171" s="81" t="s">
        <v>491</v>
      </c>
      <c r="D171" s="69"/>
      <c r="E171" s="69">
        <f t="shared" si="3"/>
        <v>0</v>
      </c>
      <c r="F171" s="69"/>
      <c r="G171" s="69"/>
      <c r="H171" s="69"/>
      <c r="I171" s="69"/>
      <c r="J171" s="69"/>
      <c r="K171" s="69"/>
      <c r="L171" s="69"/>
      <c r="M171" s="69"/>
      <c r="N171" s="73"/>
    </row>
    <row r="172" spans="1:14" s="38" customFormat="1" ht="12" customHeight="1">
      <c r="A172" s="264"/>
      <c r="B172" s="262"/>
      <c r="C172" s="82" t="s">
        <v>496</v>
      </c>
      <c r="D172" s="69">
        <v>1200</v>
      </c>
      <c r="E172" s="69">
        <f t="shared" si="3"/>
        <v>3263</v>
      </c>
      <c r="F172" s="69"/>
      <c r="G172" s="69"/>
      <c r="H172" s="69">
        <v>563</v>
      </c>
      <c r="I172" s="69">
        <v>1500</v>
      </c>
      <c r="J172" s="69">
        <v>1200</v>
      </c>
      <c r="K172" s="69"/>
      <c r="L172" s="69"/>
      <c r="M172" s="69"/>
      <c r="N172" s="73"/>
    </row>
    <row r="173" spans="1:14" s="38" customFormat="1" ht="12" customHeight="1">
      <c r="A173" s="264"/>
      <c r="B173" s="262"/>
      <c r="C173" s="82" t="s">
        <v>85</v>
      </c>
      <c r="D173" s="69">
        <v>1200</v>
      </c>
      <c r="E173" s="69">
        <f t="shared" si="3"/>
        <v>3263</v>
      </c>
      <c r="F173" s="69"/>
      <c r="G173" s="69"/>
      <c r="H173" s="69">
        <v>563</v>
      </c>
      <c r="I173" s="69">
        <v>1500</v>
      </c>
      <c r="J173" s="69">
        <v>1200</v>
      </c>
      <c r="K173" s="69"/>
      <c r="L173" s="69"/>
      <c r="M173" s="69"/>
      <c r="N173" s="73"/>
    </row>
    <row r="174" spans="1:14" s="38" customFormat="1" ht="12" customHeight="1">
      <c r="A174" s="264">
        <v>851011</v>
      </c>
      <c r="B174" s="262" t="s">
        <v>774</v>
      </c>
      <c r="C174" s="81" t="s">
        <v>491</v>
      </c>
      <c r="D174" s="69"/>
      <c r="E174" s="69">
        <f t="shared" si="3"/>
        <v>6000</v>
      </c>
      <c r="F174" s="75"/>
      <c r="G174" s="75"/>
      <c r="H174" s="75"/>
      <c r="I174" s="75">
        <v>6000</v>
      </c>
      <c r="J174" s="75"/>
      <c r="K174" s="75"/>
      <c r="L174" s="75"/>
      <c r="M174" s="256"/>
      <c r="N174" s="76"/>
    </row>
    <row r="175" spans="1:14" s="38" customFormat="1" ht="12" customHeight="1">
      <c r="A175" s="264"/>
      <c r="B175" s="262"/>
      <c r="C175" s="82" t="s">
        <v>496</v>
      </c>
      <c r="D175" s="69"/>
      <c r="E175" s="69">
        <f t="shared" si="3"/>
        <v>11956</v>
      </c>
      <c r="F175" s="75"/>
      <c r="G175" s="75"/>
      <c r="H175" s="75"/>
      <c r="I175" s="75">
        <v>8800</v>
      </c>
      <c r="J175" s="75"/>
      <c r="K175" s="75"/>
      <c r="L175" s="75">
        <v>3156</v>
      </c>
      <c r="M175" s="256"/>
      <c r="N175" s="76"/>
    </row>
    <row r="176" spans="1:14" s="38" customFormat="1" ht="12" customHeight="1">
      <c r="A176" s="264"/>
      <c r="B176" s="262"/>
      <c r="C176" s="82" t="s">
        <v>85</v>
      </c>
      <c r="D176" s="69"/>
      <c r="E176" s="69">
        <f t="shared" si="3"/>
        <v>11956</v>
      </c>
      <c r="F176" s="75"/>
      <c r="G176" s="75"/>
      <c r="H176" s="75"/>
      <c r="I176" s="75">
        <v>8800</v>
      </c>
      <c r="J176" s="75"/>
      <c r="K176" s="75"/>
      <c r="L176" s="75">
        <v>3156</v>
      </c>
      <c r="M176" s="256"/>
      <c r="N176" s="76"/>
    </row>
    <row r="177" spans="1:14" s="38" customFormat="1" ht="12" customHeight="1">
      <c r="A177" s="264">
        <v>852000</v>
      </c>
      <c r="B177" s="262" t="s">
        <v>775</v>
      </c>
      <c r="C177" s="81" t="s">
        <v>491</v>
      </c>
      <c r="D177" s="69">
        <v>30366</v>
      </c>
      <c r="E177" s="69">
        <f t="shared" si="3"/>
        <v>2000</v>
      </c>
      <c r="F177" s="75"/>
      <c r="G177" s="75"/>
      <c r="H177" s="75"/>
      <c r="I177" s="75">
        <v>2000</v>
      </c>
      <c r="J177" s="75"/>
      <c r="K177" s="75"/>
      <c r="L177" s="75"/>
      <c r="M177" s="256"/>
      <c r="N177" s="76"/>
    </row>
    <row r="178" spans="1:14" s="38" customFormat="1" ht="12" customHeight="1">
      <c r="A178" s="264"/>
      <c r="B178" s="262"/>
      <c r="C178" s="82" t="s">
        <v>496</v>
      </c>
      <c r="D178" s="69">
        <v>32466</v>
      </c>
      <c r="E178" s="69">
        <f t="shared" si="3"/>
        <v>3030</v>
      </c>
      <c r="F178" s="75"/>
      <c r="G178" s="75"/>
      <c r="H178" s="75">
        <v>2100</v>
      </c>
      <c r="I178" s="75">
        <v>930</v>
      </c>
      <c r="J178" s="75"/>
      <c r="K178" s="75"/>
      <c r="L178" s="75"/>
      <c r="M178" s="256"/>
      <c r="N178" s="76"/>
    </row>
    <row r="179" spans="1:14" s="38" customFormat="1" ht="12" customHeight="1">
      <c r="A179" s="264"/>
      <c r="B179" s="262"/>
      <c r="C179" s="82" t="s">
        <v>85</v>
      </c>
      <c r="D179" s="69">
        <v>32466</v>
      </c>
      <c r="E179" s="69">
        <f t="shared" si="3"/>
        <v>3030</v>
      </c>
      <c r="F179" s="75"/>
      <c r="G179" s="75"/>
      <c r="H179" s="75">
        <v>2100</v>
      </c>
      <c r="I179" s="75">
        <v>930</v>
      </c>
      <c r="J179" s="75"/>
      <c r="K179" s="75"/>
      <c r="L179" s="75"/>
      <c r="M179" s="256"/>
      <c r="N179" s="76"/>
    </row>
    <row r="180" spans="1:14" s="38" customFormat="1" ht="12" customHeight="1">
      <c r="A180" s="264">
        <v>852000</v>
      </c>
      <c r="B180" s="262" t="s">
        <v>778</v>
      </c>
      <c r="C180" s="81" t="s">
        <v>491</v>
      </c>
      <c r="D180" s="69"/>
      <c r="E180" s="69">
        <f t="shared" si="3"/>
        <v>1000</v>
      </c>
      <c r="F180" s="75"/>
      <c r="G180" s="75"/>
      <c r="H180" s="75"/>
      <c r="I180" s="75">
        <v>1000</v>
      </c>
      <c r="J180" s="75"/>
      <c r="K180" s="75"/>
      <c r="L180" s="75"/>
      <c r="M180" s="256"/>
      <c r="N180" s="76"/>
    </row>
    <row r="181" spans="1:14" s="38" customFormat="1" ht="12" customHeight="1">
      <c r="A181" s="264"/>
      <c r="B181" s="262"/>
      <c r="C181" s="82" t="s">
        <v>496</v>
      </c>
      <c r="D181" s="69"/>
      <c r="E181" s="69">
        <f t="shared" si="3"/>
        <v>1000</v>
      </c>
      <c r="F181" s="75"/>
      <c r="G181" s="75"/>
      <c r="H181" s="75"/>
      <c r="I181" s="75">
        <v>1000</v>
      </c>
      <c r="J181" s="75"/>
      <c r="K181" s="75"/>
      <c r="L181" s="75"/>
      <c r="M181" s="256"/>
      <c r="N181" s="76"/>
    </row>
    <row r="182" spans="1:14" s="38" customFormat="1" ht="12" customHeight="1">
      <c r="A182" s="264"/>
      <c r="B182" s="262"/>
      <c r="C182" s="82" t="s">
        <v>85</v>
      </c>
      <c r="D182" s="69"/>
      <c r="E182" s="69">
        <f t="shared" si="3"/>
        <v>1000</v>
      </c>
      <c r="F182" s="75"/>
      <c r="G182" s="75"/>
      <c r="H182" s="75"/>
      <c r="I182" s="75">
        <v>1000</v>
      </c>
      <c r="J182" s="75"/>
      <c r="K182" s="75"/>
      <c r="L182" s="75"/>
      <c r="M182" s="256"/>
      <c r="N182" s="76"/>
    </row>
    <row r="183" spans="1:14" s="38" customFormat="1" ht="12" customHeight="1">
      <c r="A183" s="264">
        <v>852000</v>
      </c>
      <c r="B183" s="262" t="s">
        <v>786</v>
      </c>
      <c r="C183" s="81" t="s">
        <v>491</v>
      </c>
      <c r="D183" s="69">
        <v>134994</v>
      </c>
      <c r="E183" s="69">
        <f t="shared" si="3"/>
        <v>149993</v>
      </c>
      <c r="F183" s="75"/>
      <c r="G183" s="75"/>
      <c r="H183" s="75"/>
      <c r="I183" s="75"/>
      <c r="J183" s="75"/>
      <c r="K183" s="75"/>
      <c r="L183" s="75">
        <v>149993</v>
      </c>
      <c r="M183" s="75"/>
      <c r="N183" s="76"/>
    </row>
    <row r="184" spans="1:14" s="38" customFormat="1" ht="12" customHeight="1">
      <c r="A184" s="264"/>
      <c r="B184" s="262"/>
      <c r="C184" s="82" t="s">
        <v>496</v>
      </c>
      <c r="D184" s="69">
        <v>134994</v>
      </c>
      <c r="E184" s="69">
        <f t="shared" si="3"/>
        <v>155759</v>
      </c>
      <c r="F184" s="75"/>
      <c r="G184" s="75"/>
      <c r="H184" s="75"/>
      <c r="I184" s="75"/>
      <c r="J184" s="75"/>
      <c r="K184" s="75"/>
      <c r="L184" s="75">
        <v>155759</v>
      </c>
      <c r="M184" s="75"/>
      <c r="N184" s="76"/>
    </row>
    <row r="185" spans="1:14" s="38" customFormat="1" ht="12" customHeight="1">
      <c r="A185" s="264"/>
      <c r="B185" s="262"/>
      <c r="C185" s="82" t="s">
        <v>85</v>
      </c>
      <c r="D185" s="69">
        <v>134994</v>
      </c>
      <c r="E185" s="69">
        <f t="shared" si="3"/>
        <v>155759</v>
      </c>
      <c r="F185" s="75"/>
      <c r="G185" s="75"/>
      <c r="H185" s="75"/>
      <c r="I185" s="75"/>
      <c r="J185" s="75"/>
      <c r="K185" s="75"/>
      <c r="L185" s="75">
        <v>155759</v>
      </c>
      <c r="M185" s="75"/>
      <c r="N185" s="76"/>
    </row>
    <row r="186" spans="1:14" s="38" customFormat="1" ht="12" customHeight="1">
      <c r="A186" s="264">
        <v>854233</v>
      </c>
      <c r="B186" s="262" t="s">
        <v>776</v>
      </c>
      <c r="C186" s="81" t="s">
        <v>491</v>
      </c>
      <c r="D186" s="69"/>
      <c r="E186" s="69">
        <f t="shared" si="3"/>
        <v>400</v>
      </c>
      <c r="F186" s="75"/>
      <c r="G186" s="75"/>
      <c r="H186" s="75"/>
      <c r="I186" s="75">
        <v>400</v>
      </c>
      <c r="J186" s="75"/>
      <c r="K186" s="75"/>
      <c r="L186" s="75"/>
      <c r="M186" s="256"/>
      <c r="N186" s="76"/>
    </row>
    <row r="187" spans="1:14" s="38" customFormat="1" ht="12" customHeight="1">
      <c r="A187" s="264"/>
      <c r="B187" s="262"/>
      <c r="C187" s="82" t="s">
        <v>496</v>
      </c>
      <c r="D187" s="69"/>
      <c r="E187" s="69">
        <f t="shared" si="3"/>
        <v>400</v>
      </c>
      <c r="F187" s="75"/>
      <c r="G187" s="75"/>
      <c r="H187" s="75"/>
      <c r="I187" s="75">
        <v>400</v>
      </c>
      <c r="J187" s="75"/>
      <c r="K187" s="75"/>
      <c r="L187" s="75"/>
      <c r="M187" s="256"/>
      <c r="N187" s="76"/>
    </row>
    <row r="188" spans="1:14" s="38" customFormat="1" ht="12" customHeight="1" thickBot="1">
      <c r="A188" s="269"/>
      <c r="B188" s="270"/>
      <c r="C188" s="233" t="s">
        <v>85</v>
      </c>
      <c r="D188" s="93"/>
      <c r="E188" s="93">
        <f t="shared" si="3"/>
        <v>400</v>
      </c>
      <c r="F188" s="331"/>
      <c r="G188" s="331"/>
      <c r="H188" s="331"/>
      <c r="I188" s="331">
        <v>400</v>
      </c>
      <c r="J188" s="331"/>
      <c r="K188" s="331"/>
      <c r="L188" s="331"/>
      <c r="M188" s="330"/>
      <c r="N188" s="335"/>
    </row>
    <row r="189" spans="1:14" s="38" customFormat="1" ht="12" customHeight="1" thickTop="1">
      <c r="A189" s="686" t="s">
        <v>553</v>
      </c>
      <c r="B189" s="687"/>
      <c r="C189" s="687"/>
      <c r="D189" s="692" t="s">
        <v>458</v>
      </c>
      <c r="E189" s="695" t="s">
        <v>554</v>
      </c>
      <c r="F189" s="68" t="s">
        <v>555</v>
      </c>
      <c r="G189" s="68"/>
      <c r="H189" s="68"/>
      <c r="I189" s="266"/>
      <c r="J189" s="266"/>
      <c r="K189" s="68" t="s">
        <v>489</v>
      </c>
      <c r="L189" s="68"/>
      <c r="M189" s="698" t="s">
        <v>633</v>
      </c>
      <c r="N189" s="679" t="s">
        <v>534</v>
      </c>
    </row>
    <row r="190" spans="1:14" s="38" customFormat="1" ht="12" customHeight="1">
      <c r="A190" s="688"/>
      <c r="B190" s="689"/>
      <c r="C190" s="689"/>
      <c r="D190" s="693"/>
      <c r="E190" s="696"/>
      <c r="F190" s="682" t="s">
        <v>627</v>
      </c>
      <c r="G190" s="682" t="s">
        <v>628</v>
      </c>
      <c r="H190" s="682" t="s">
        <v>629</v>
      </c>
      <c r="I190" s="682" t="s">
        <v>630</v>
      </c>
      <c r="J190" s="682" t="s">
        <v>632</v>
      </c>
      <c r="K190" s="684" t="s">
        <v>549</v>
      </c>
      <c r="L190" s="684" t="s">
        <v>530</v>
      </c>
      <c r="M190" s="699"/>
      <c r="N190" s="680"/>
    </row>
    <row r="191" spans="1:14" s="38" customFormat="1" ht="39" customHeight="1" thickBot="1">
      <c r="A191" s="690"/>
      <c r="B191" s="691"/>
      <c r="C191" s="691"/>
      <c r="D191" s="694"/>
      <c r="E191" s="697"/>
      <c r="F191" s="683"/>
      <c r="G191" s="683"/>
      <c r="H191" s="683"/>
      <c r="I191" s="683"/>
      <c r="J191" s="683"/>
      <c r="K191" s="685"/>
      <c r="L191" s="685"/>
      <c r="M191" s="683"/>
      <c r="N191" s="681"/>
    </row>
    <row r="192" spans="1:14" s="38" customFormat="1" ht="12" customHeight="1" thickTop="1">
      <c r="A192" s="264">
        <v>854234</v>
      </c>
      <c r="B192" s="262" t="s">
        <v>777</v>
      </c>
      <c r="C192" s="81" t="s">
        <v>491</v>
      </c>
      <c r="D192" s="69"/>
      <c r="E192" s="69">
        <f t="shared" si="3"/>
        <v>5000</v>
      </c>
      <c r="F192" s="75"/>
      <c r="G192" s="75"/>
      <c r="H192" s="75"/>
      <c r="I192" s="75">
        <v>5000</v>
      </c>
      <c r="J192" s="75"/>
      <c r="K192" s="75"/>
      <c r="L192" s="75"/>
      <c r="M192" s="256"/>
      <c r="N192" s="76"/>
    </row>
    <row r="193" spans="1:14" s="38" customFormat="1" ht="12" customHeight="1">
      <c r="A193" s="314"/>
      <c r="B193" s="315"/>
      <c r="C193" s="485" t="s">
        <v>496</v>
      </c>
      <c r="D193" s="316"/>
      <c r="E193" s="316">
        <f t="shared" si="3"/>
        <v>5000</v>
      </c>
      <c r="F193" s="317"/>
      <c r="G193" s="317"/>
      <c r="H193" s="317"/>
      <c r="I193" s="317">
        <v>5000</v>
      </c>
      <c r="J193" s="317"/>
      <c r="K193" s="317"/>
      <c r="L193" s="317"/>
      <c r="M193" s="402"/>
      <c r="N193" s="318"/>
    </row>
    <row r="194" spans="1:14" s="38" customFormat="1" ht="12" customHeight="1">
      <c r="A194" s="264"/>
      <c r="B194" s="262"/>
      <c r="C194" s="81" t="s">
        <v>85</v>
      </c>
      <c r="D194" s="69"/>
      <c r="E194" s="69">
        <f>SUM(F194:N194)</f>
        <v>5000</v>
      </c>
      <c r="F194" s="75"/>
      <c r="G194" s="75"/>
      <c r="H194" s="75"/>
      <c r="I194" s="75">
        <v>5000</v>
      </c>
      <c r="J194" s="75"/>
      <c r="K194" s="75"/>
      <c r="L194" s="75"/>
      <c r="M194" s="256"/>
      <c r="N194" s="76"/>
    </row>
    <row r="195" spans="1:14" s="38" customFormat="1" ht="12" customHeight="1">
      <c r="A195" s="263">
        <v>855100</v>
      </c>
      <c r="B195" s="240" t="s">
        <v>787</v>
      </c>
      <c r="C195" s="82" t="s">
        <v>491</v>
      </c>
      <c r="D195" s="70">
        <v>5000</v>
      </c>
      <c r="E195" s="70">
        <f t="shared" si="3"/>
        <v>39000</v>
      </c>
      <c r="F195" s="258"/>
      <c r="G195" s="258"/>
      <c r="H195" s="258">
        <v>39000</v>
      </c>
      <c r="I195" s="258"/>
      <c r="J195" s="258"/>
      <c r="K195" s="258"/>
      <c r="L195" s="258"/>
      <c r="M195" s="258"/>
      <c r="N195" s="257"/>
    </row>
    <row r="196" spans="1:14" s="38" customFormat="1" ht="12" customHeight="1">
      <c r="A196" s="264"/>
      <c r="B196" s="262"/>
      <c r="C196" s="82" t="s">
        <v>496</v>
      </c>
      <c r="D196" s="69">
        <v>5000</v>
      </c>
      <c r="E196" s="69">
        <f t="shared" si="3"/>
        <v>39000</v>
      </c>
      <c r="F196" s="75"/>
      <c r="G196" s="75"/>
      <c r="H196" s="75">
        <v>39000</v>
      </c>
      <c r="I196" s="75"/>
      <c r="J196" s="75"/>
      <c r="K196" s="75"/>
      <c r="L196" s="75"/>
      <c r="M196" s="75"/>
      <c r="N196" s="76"/>
    </row>
    <row r="197" spans="1:14" s="38" customFormat="1" ht="12" customHeight="1">
      <c r="A197" s="264"/>
      <c r="B197" s="262"/>
      <c r="C197" s="82" t="s">
        <v>85</v>
      </c>
      <c r="D197" s="69">
        <v>5000</v>
      </c>
      <c r="E197" s="69">
        <f t="shared" si="3"/>
        <v>39000</v>
      </c>
      <c r="F197" s="75"/>
      <c r="G197" s="75"/>
      <c r="H197" s="75">
        <v>39000</v>
      </c>
      <c r="I197" s="75"/>
      <c r="J197" s="75"/>
      <c r="K197" s="75"/>
      <c r="L197" s="75"/>
      <c r="M197" s="75"/>
      <c r="N197" s="76"/>
    </row>
    <row r="198" spans="1:14" s="38" customFormat="1" ht="12" customHeight="1">
      <c r="A198" s="264">
        <v>856000</v>
      </c>
      <c r="B198" s="262" t="s">
        <v>780</v>
      </c>
      <c r="C198" s="81" t="s">
        <v>491</v>
      </c>
      <c r="D198" s="69"/>
      <c r="E198" s="69">
        <f t="shared" si="3"/>
        <v>1500</v>
      </c>
      <c r="F198" s="75"/>
      <c r="G198" s="75"/>
      <c r="H198" s="75">
        <v>1500</v>
      </c>
      <c r="I198" s="75"/>
      <c r="J198" s="75"/>
      <c r="K198" s="75"/>
      <c r="L198" s="75"/>
      <c r="M198" s="75"/>
      <c r="N198" s="76"/>
    </row>
    <row r="199" spans="1:14" s="38" customFormat="1" ht="12" customHeight="1">
      <c r="A199" s="264"/>
      <c r="B199" s="262"/>
      <c r="C199" s="82" t="s">
        <v>496</v>
      </c>
      <c r="D199" s="69"/>
      <c r="E199" s="69">
        <f t="shared" si="3"/>
        <v>10700</v>
      </c>
      <c r="F199" s="75"/>
      <c r="G199" s="75"/>
      <c r="H199" s="75">
        <v>5700</v>
      </c>
      <c r="I199" s="75">
        <v>5000</v>
      </c>
      <c r="J199" s="75"/>
      <c r="K199" s="75"/>
      <c r="L199" s="75"/>
      <c r="M199" s="75"/>
      <c r="N199" s="76"/>
    </row>
    <row r="200" spans="1:14" s="38" customFormat="1" ht="12" customHeight="1">
      <c r="A200" s="264"/>
      <c r="B200" s="262"/>
      <c r="C200" s="82" t="s">
        <v>85</v>
      </c>
      <c r="D200" s="69"/>
      <c r="E200" s="69">
        <f t="shared" si="3"/>
        <v>10700</v>
      </c>
      <c r="F200" s="75"/>
      <c r="G200" s="75"/>
      <c r="H200" s="75">
        <v>5700</v>
      </c>
      <c r="I200" s="75">
        <v>5000</v>
      </c>
      <c r="J200" s="75"/>
      <c r="K200" s="75"/>
      <c r="L200" s="75"/>
      <c r="M200" s="75"/>
      <c r="N200" s="76"/>
    </row>
    <row r="201" spans="1:14" s="38" customFormat="1" ht="12" customHeight="1">
      <c r="A201" s="264">
        <v>862000</v>
      </c>
      <c r="B201" s="262" t="s">
        <v>784</v>
      </c>
      <c r="C201" s="81" t="s">
        <v>491</v>
      </c>
      <c r="D201" s="69"/>
      <c r="E201" s="69">
        <f t="shared" si="3"/>
        <v>5550</v>
      </c>
      <c r="F201" s="75"/>
      <c r="G201" s="75"/>
      <c r="H201" s="75"/>
      <c r="I201" s="75">
        <v>5550</v>
      </c>
      <c r="J201" s="75"/>
      <c r="K201" s="75"/>
      <c r="L201" s="75"/>
      <c r="M201" s="75"/>
      <c r="N201" s="76"/>
    </row>
    <row r="202" spans="1:14" s="38" customFormat="1" ht="12" customHeight="1">
      <c r="A202" s="264"/>
      <c r="B202" s="262"/>
      <c r="C202" s="82" t="s">
        <v>496</v>
      </c>
      <c r="D202" s="69"/>
      <c r="E202" s="69">
        <f t="shared" si="3"/>
        <v>11226</v>
      </c>
      <c r="F202" s="75"/>
      <c r="G202" s="75"/>
      <c r="H202" s="75"/>
      <c r="I202" s="75">
        <v>5550</v>
      </c>
      <c r="J202" s="75">
        <v>5676</v>
      </c>
      <c r="K202" s="75"/>
      <c r="L202" s="75"/>
      <c r="M202" s="75"/>
      <c r="N202" s="76"/>
    </row>
    <row r="203" spans="1:14" s="38" customFormat="1" ht="12" customHeight="1">
      <c r="A203" s="263"/>
      <c r="B203" s="240"/>
      <c r="C203" s="82" t="s">
        <v>85</v>
      </c>
      <c r="D203" s="70"/>
      <c r="E203" s="69">
        <f t="shared" si="3"/>
        <v>10976</v>
      </c>
      <c r="F203" s="258"/>
      <c r="G203" s="258"/>
      <c r="H203" s="258"/>
      <c r="I203" s="258">
        <v>5550</v>
      </c>
      <c r="J203" s="258">
        <v>5426</v>
      </c>
      <c r="K203" s="258"/>
      <c r="L203" s="258"/>
      <c r="M203" s="258"/>
      <c r="N203" s="257"/>
    </row>
    <row r="204" spans="1:14" s="38" customFormat="1" ht="12" customHeight="1">
      <c r="A204" s="263">
        <v>880000</v>
      </c>
      <c r="B204" s="240" t="s">
        <v>77</v>
      </c>
      <c r="C204" s="82" t="s">
        <v>491</v>
      </c>
      <c r="D204" s="70"/>
      <c r="E204" s="70">
        <f t="shared" si="3"/>
        <v>0</v>
      </c>
      <c r="F204" s="258"/>
      <c r="G204" s="258"/>
      <c r="H204" s="258"/>
      <c r="I204" s="258"/>
      <c r="J204" s="258"/>
      <c r="K204" s="258"/>
      <c r="L204" s="258"/>
      <c r="M204" s="258"/>
      <c r="N204" s="257"/>
    </row>
    <row r="205" spans="1:14" s="38" customFormat="1" ht="12" customHeight="1">
      <c r="A205" s="264"/>
      <c r="B205" s="262"/>
      <c r="C205" s="82" t="s">
        <v>496</v>
      </c>
      <c r="D205" s="69">
        <v>1250</v>
      </c>
      <c r="E205" s="69">
        <f t="shared" si="3"/>
        <v>1300</v>
      </c>
      <c r="F205" s="75"/>
      <c r="G205" s="75"/>
      <c r="H205" s="75">
        <v>1300</v>
      </c>
      <c r="I205" s="75"/>
      <c r="J205" s="75"/>
      <c r="K205" s="75"/>
      <c r="L205" s="75"/>
      <c r="M205" s="75"/>
      <c r="N205" s="76"/>
    </row>
    <row r="206" spans="1:14" s="38" customFormat="1" ht="12" customHeight="1">
      <c r="A206" s="263"/>
      <c r="B206" s="240"/>
      <c r="C206" s="82" t="s">
        <v>85</v>
      </c>
      <c r="D206" s="70">
        <v>1250</v>
      </c>
      <c r="E206" s="69">
        <f t="shared" si="3"/>
        <v>1300</v>
      </c>
      <c r="F206" s="258"/>
      <c r="G206" s="258"/>
      <c r="H206" s="258">
        <v>1300</v>
      </c>
      <c r="I206" s="258"/>
      <c r="J206" s="258"/>
      <c r="K206" s="258"/>
      <c r="L206" s="258"/>
      <c r="M206" s="258"/>
      <c r="N206" s="257"/>
    </row>
    <row r="207" spans="1:14" s="38" customFormat="1" ht="12" customHeight="1">
      <c r="A207" s="263">
        <v>882000</v>
      </c>
      <c r="B207" s="240" t="s">
        <v>783</v>
      </c>
      <c r="C207" s="82" t="s">
        <v>491</v>
      </c>
      <c r="D207" s="70"/>
      <c r="E207" s="70">
        <f t="shared" si="3"/>
        <v>6500</v>
      </c>
      <c r="F207" s="258"/>
      <c r="G207" s="258"/>
      <c r="H207" s="258"/>
      <c r="I207" s="258">
        <v>6500</v>
      </c>
      <c r="J207" s="258"/>
      <c r="K207" s="258"/>
      <c r="L207" s="258"/>
      <c r="M207" s="258"/>
      <c r="N207" s="257"/>
    </row>
    <row r="208" spans="1:14" s="38" customFormat="1" ht="12" customHeight="1">
      <c r="A208" s="264"/>
      <c r="B208" s="262"/>
      <c r="C208" s="82" t="s">
        <v>496</v>
      </c>
      <c r="D208" s="69"/>
      <c r="E208" s="69">
        <f t="shared" si="3"/>
        <v>8380</v>
      </c>
      <c r="F208" s="75"/>
      <c r="G208" s="75"/>
      <c r="H208" s="75"/>
      <c r="I208" s="75">
        <v>8380</v>
      </c>
      <c r="J208" s="75"/>
      <c r="K208" s="75"/>
      <c r="L208" s="75"/>
      <c r="M208" s="75"/>
      <c r="N208" s="76"/>
    </row>
    <row r="209" spans="1:14" s="38" customFormat="1" ht="12" customHeight="1">
      <c r="A209" s="264"/>
      <c r="B209" s="262"/>
      <c r="C209" s="82" t="s">
        <v>85</v>
      </c>
      <c r="D209" s="69"/>
      <c r="E209" s="69">
        <f t="shared" si="3"/>
        <v>8380</v>
      </c>
      <c r="F209" s="75"/>
      <c r="G209" s="75"/>
      <c r="H209" s="75"/>
      <c r="I209" s="75">
        <v>8380</v>
      </c>
      <c r="J209" s="75"/>
      <c r="K209" s="75"/>
      <c r="L209" s="75"/>
      <c r="M209" s="75"/>
      <c r="N209" s="76"/>
    </row>
    <row r="210" spans="1:14" s="38" customFormat="1" ht="12" customHeight="1">
      <c r="A210" s="264">
        <v>882111</v>
      </c>
      <c r="B210" s="262" t="s">
        <v>612</v>
      </c>
      <c r="C210" s="81" t="s">
        <v>491</v>
      </c>
      <c r="D210" s="69">
        <v>67186</v>
      </c>
      <c r="E210" s="69">
        <f t="shared" si="3"/>
        <v>82251</v>
      </c>
      <c r="F210" s="75"/>
      <c r="G210" s="75"/>
      <c r="H210" s="75"/>
      <c r="I210" s="75"/>
      <c r="J210" s="75">
        <v>82251</v>
      </c>
      <c r="K210" s="75"/>
      <c r="L210" s="75"/>
      <c r="M210" s="75"/>
      <c r="N210" s="76"/>
    </row>
    <row r="211" spans="1:14" s="38" customFormat="1" ht="12" customHeight="1">
      <c r="A211" s="314"/>
      <c r="B211" s="315"/>
      <c r="C211" s="82" t="s">
        <v>496</v>
      </c>
      <c r="D211" s="316">
        <v>67186</v>
      </c>
      <c r="E211" s="69">
        <f t="shared" si="3"/>
        <v>82251</v>
      </c>
      <c r="F211" s="317"/>
      <c r="G211" s="317"/>
      <c r="H211" s="317"/>
      <c r="I211" s="317"/>
      <c r="J211" s="317">
        <v>82251</v>
      </c>
      <c r="K211" s="317"/>
      <c r="L211" s="317"/>
      <c r="M211" s="317"/>
      <c r="N211" s="318"/>
    </row>
    <row r="212" spans="1:14" s="38" customFormat="1" ht="12" customHeight="1">
      <c r="A212" s="314"/>
      <c r="B212" s="315"/>
      <c r="C212" s="82" t="s">
        <v>85</v>
      </c>
      <c r="D212" s="316">
        <v>67186</v>
      </c>
      <c r="E212" s="69">
        <f t="shared" si="3"/>
        <v>82251</v>
      </c>
      <c r="F212" s="317"/>
      <c r="G212" s="317"/>
      <c r="H212" s="317"/>
      <c r="I212" s="317"/>
      <c r="J212" s="317">
        <v>82251</v>
      </c>
      <c r="K212" s="317"/>
      <c r="L212" s="317"/>
      <c r="M212" s="317"/>
      <c r="N212" s="318"/>
    </row>
    <row r="213" spans="1:14" s="38" customFormat="1" ht="12" customHeight="1">
      <c r="A213" s="264">
        <v>882112</v>
      </c>
      <c r="B213" s="262" t="s">
        <v>417</v>
      </c>
      <c r="C213" s="81" t="s">
        <v>491</v>
      </c>
      <c r="D213" s="69">
        <v>1170</v>
      </c>
      <c r="E213" s="69">
        <f t="shared" si="3"/>
        <v>1300</v>
      </c>
      <c r="F213" s="69"/>
      <c r="G213" s="69"/>
      <c r="H213" s="69"/>
      <c r="I213" s="69"/>
      <c r="J213" s="69">
        <v>1300</v>
      </c>
      <c r="K213" s="69"/>
      <c r="L213" s="69"/>
      <c r="M213" s="69"/>
      <c r="N213" s="73"/>
    </row>
    <row r="214" spans="1:14" s="38" customFormat="1" ht="12" customHeight="1">
      <c r="A214" s="264"/>
      <c r="B214" s="262"/>
      <c r="C214" s="81" t="s">
        <v>496</v>
      </c>
      <c r="D214" s="69">
        <v>1170</v>
      </c>
      <c r="E214" s="69">
        <f t="shared" si="3"/>
        <v>1300</v>
      </c>
      <c r="F214" s="69"/>
      <c r="G214" s="69"/>
      <c r="H214" s="69"/>
      <c r="I214" s="69"/>
      <c r="J214" s="69">
        <v>1300</v>
      </c>
      <c r="K214" s="69"/>
      <c r="L214" s="69"/>
      <c r="M214" s="69"/>
      <c r="N214" s="73"/>
    </row>
    <row r="215" spans="1:14" s="38" customFormat="1" ht="12" customHeight="1">
      <c r="A215" s="319"/>
      <c r="B215" s="320"/>
      <c r="C215" s="82" t="s">
        <v>85</v>
      </c>
      <c r="D215" s="321">
        <v>1170</v>
      </c>
      <c r="E215" s="69">
        <f t="shared" si="3"/>
        <v>1300</v>
      </c>
      <c r="F215" s="321"/>
      <c r="G215" s="321"/>
      <c r="H215" s="321"/>
      <c r="I215" s="321"/>
      <c r="J215" s="321">
        <v>1300</v>
      </c>
      <c r="K215" s="321"/>
      <c r="L215" s="321"/>
      <c r="M215" s="321"/>
      <c r="N215" s="322"/>
    </row>
    <row r="216" spans="1:14" s="38" customFormat="1" ht="12" customHeight="1">
      <c r="A216" s="264">
        <v>882113</v>
      </c>
      <c r="B216" s="262" t="s">
        <v>723</v>
      </c>
      <c r="C216" s="81" t="s">
        <v>491</v>
      </c>
      <c r="D216" s="69">
        <v>10800</v>
      </c>
      <c r="E216" s="69">
        <f t="shared" si="3"/>
        <v>12000</v>
      </c>
      <c r="F216" s="69"/>
      <c r="G216" s="69"/>
      <c r="H216" s="69"/>
      <c r="I216" s="69"/>
      <c r="J216" s="69">
        <v>12000</v>
      </c>
      <c r="K216" s="69"/>
      <c r="L216" s="69"/>
      <c r="M216" s="69"/>
      <c r="N216" s="73"/>
    </row>
    <row r="217" spans="1:14" s="38" customFormat="1" ht="12" customHeight="1">
      <c r="A217" s="264"/>
      <c r="B217" s="262"/>
      <c r="C217" s="82" t="s">
        <v>496</v>
      </c>
      <c r="D217" s="69">
        <v>10800</v>
      </c>
      <c r="E217" s="69">
        <f t="shared" si="3"/>
        <v>12000</v>
      </c>
      <c r="F217" s="69"/>
      <c r="G217" s="69"/>
      <c r="H217" s="69"/>
      <c r="I217" s="69"/>
      <c r="J217" s="69">
        <v>12000</v>
      </c>
      <c r="K217" s="69"/>
      <c r="L217" s="69"/>
      <c r="M217" s="69"/>
      <c r="N217" s="73"/>
    </row>
    <row r="218" spans="1:14" s="38" customFormat="1" ht="12" customHeight="1">
      <c r="A218" s="264"/>
      <c r="B218" s="262"/>
      <c r="C218" s="82" t="s">
        <v>85</v>
      </c>
      <c r="D218" s="69">
        <v>10800</v>
      </c>
      <c r="E218" s="69">
        <f t="shared" si="3"/>
        <v>12000</v>
      </c>
      <c r="F218" s="69"/>
      <c r="G218" s="69"/>
      <c r="H218" s="69"/>
      <c r="I218" s="69"/>
      <c r="J218" s="69">
        <v>12000</v>
      </c>
      <c r="K218" s="69"/>
      <c r="L218" s="69"/>
      <c r="M218" s="69"/>
      <c r="N218" s="73"/>
    </row>
    <row r="219" spans="1:14" s="38" customFormat="1" ht="12" customHeight="1">
      <c r="A219" s="264">
        <v>882114</v>
      </c>
      <c r="B219" s="262" t="s">
        <v>788</v>
      </c>
      <c r="C219" s="81" t="s">
        <v>491</v>
      </c>
      <c r="D219" s="69"/>
      <c r="E219" s="69">
        <f t="shared" si="3"/>
        <v>15000</v>
      </c>
      <c r="F219" s="75"/>
      <c r="G219" s="75"/>
      <c r="H219" s="75"/>
      <c r="I219" s="75"/>
      <c r="J219" s="75">
        <v>15000</v>
      </c>
      <c r="K219" s="75"/>
      <c r="L219" s="75"/>
      <c r="M219" s="75"/>
      <c r="N219" s="76"/>
    </row>
    <row r="220" spans="1:14" s="38" customFormat="1" ht="12" customHeight="1">
      <c r="A220" s="263"/>
      <c r="B220" s="240"/>
      <c r="C220" s="82" t="s">
        <v>496</v>
      </c>
      <c r="D220" s="70"/>
      <c r="E220" s="69">
        <f t="shared" si="3"/>
        <v>14000</v>
      </c>
      <c r="F220" s="258"/>
      <c r="G220" s="258"/>
      <c r="H220" s="258"/>
      <c r="I220" s="258"/>
      <c r="J220" s="258">
        <v>14000</v>
      </c>
      <c r="K220" s="258"/>
      <c r="L220" s="258"/>
      <c r="M220" s="258"/>
      <c r="N220" s="257"/>
    </row>
    <row r="221" spans="1:14" s="38" customFormat="1" ht="12" customHeight="1">
      <c r="A221" s="263"/>
      <c r="B221" s="240"/>
      <c r="C221" s="82" t="s">
        <v>85</v>
      </c>
      <c r="D221" s="70"/>
      <c r="E221" s="69">
        <f t="shared" si="3"/>
        <v>14000</v>
      </c>
      <c r="F221" s="258"/>
      <c r="G221" s="258"/>
      <c r="H221" s="258"/>
      <c r="I221" s="258"/>
      <c r="J221" s="258">
        <v>14000</v>
      </c>
      <c r="K221" s="258"/>
      <c r="L221" s="258"/>
      <c r="M221" s="258"/>
      <c r="N221" s="257"/>
    </row>
    <row r="222" spans="1:14" s="38" customFormat="1" ht="12" customHeight="1">
      <c r="A222" s="263">
        <v>882115</v>
      </c>
      <c r="B222" s="240" t="s">
        <v>790</v>
      </c>
      <c r="C222" s="82" t="s">
        <v>491</v>
      </c>
      <c r="D222" s="70">
        <v>21469</v>
      </c>
      <c r="E222" s="70">
        <f aca="true" t="shared" si="4" ref="E222:E227">SUM(F222:N222)</f>
        <v>31088</v>
      </c>
      <c r="F222" s="258"/>
      <c r="G222" s="258">
        <v>8003</v>
      </c>
      <c r="H222" s="258"/>
      <c r="I222" s="258"/>
      <c r="J222" s="258">
        <v>23085</v>
      </c>
      <c r="K222" s="258"/>
      <c r="L222" s="258"/>
      <c r="M222" s="258"/>
      <c r="N222" s="257"/>
    </row>
    <row r="223" spans="1:14" s="38" customFormat="1" ht="12" customHeight="1">
      <c r="A223" s="263"/>
      <c r="B223" s="240"/>
      <c r="C223" s="82" t="s">
        <v>496</v>
      </c>
      <c r="D223" s="70">
        <v>21469</v>
      </c>
      <c r="E223" s="69">
        <f t="shared" si="4"/>
        <v>31088</v>
      </c>
      <c r="F223" s="258"/>
      <c r="G223" s="258">
        <v>8003</v>
      </c>
      <c r="H223" s="258"/>
      <c r="I223" s="258"/>
      <c r="J223" s="258">
        <v>23085</v>
      </c>
      <c r="K223" s="258"/>
      <c r="L223" s="258"/>
      <c r="M223" s="258"/>
      <c r="N223" s="257"/>
    </row>
    <row r="224" spans="1:14" s="38" customFormat="1" ht="12" customHeight="1">
      <c r="A224" s="263"/>
      <c r="B224" s="240"/>
      <c r="C224" s="82" t="s">
        <v>85</v>
      </c>
      <c r="D224" s="70">
        <v>21469</v>
      </c>
      <c r="E224" s="69">
        <f t="shared" si="4"/>
        <v>31088</v>
      </c>
      <c r="F224" s="258"/>
      <c r="G224" s="258">
        <v>8003</v>
      </c>
      <c r="H224" s="258"/>
      <c r="I224" s="258"/>
      <c r="J224" s="258">
        <v>23085</v>
      </c>
      <c r="K224" s="258"/>
      <c r="L224" s="258"/>
      <c r="M224" s="258"/>
      <c r="N224" s="257"/>
    </row>
    <row r="225" spans="1:14" s="38" customFormat="1" ht="12" customHeight="1">
      <c r="A225" s="263">
        <v>882116</v>
      </c>
      <c r="B225" s="240" t="s">
        <v>791</v>
      </c>
      <c r="C225" s="82" t="s">
        <v>491</v>
      </c>
      <c r="D225" s="70"/>
      <c r="E225" s="70">
        <f t="shared" si="4"/>
        <v>10260</v>
      </c>
      <c r="F225" s="258"/>
      <c r="G225" s="258"/>
      <c r="H225" s="258"/>
      <c r="I225" s="258"/>
      <c r="J225" s="258">
        <v>10260</v>
      </c>
      <c r="K225" s="258"/>
      <c r="L225" s="258"/>
      <c r="M225" s="258"/>
      <c r="N225" s="257"/>
    </row>
    <row r="226" spans="1:14" s="38" customFormat="1" ht="12" customHeight="1">
      <c r="A226" s="264"/>
      <c r="B226" s="262"/>
      <c r="C226" s="82" t="s">
        <v>496</v>
      </c>
      <c r="D226" s="69"/>
      <c r="E226" s="69">
        <f t="shared" si="4"/>
        <v>12760</v>
      </c>
      <c r="F226" s="75"/>
      <c r="G226" s="75"/>
      <c r="H226" s="75"/>
      <c r="I226" s="75"/>
      <c r="J226" s="75">
        <v>12760</v>
      </c>
      <c r="K226" s="75"/>
      <c r="L226" s="75"/>
      <c r="M226" s="75"/>
      <c r="N226" s="76"/>
    </row>
    <row r="227" spans="1:14" s="38" customFormat="1" ht="12" customHeight="1">
      <c r="A227" s="264"/>
      <c r="B227" s="262"/>
      <c r="C227" s="82" t="s">
        <v>85</v>
      </c>
      <c r="D227" s="69"/>
      <c r="E227" s="69">
        <f t="shared" si="4"/>
        <v>12760</v>
      </c>
      <c r="F227" s="75"/>
      <c r="G227" s="75"/>
      <c r="H227" s="75"/>
      <c r="I227" s="75"/>
      <c r="J227" s="75">
        <v>12760</v>
      </c>
      <c r="K227" s="75"/>
      <c r="L227" s="75"/>
      <c r="M227" s="75"/>
      <c r="N227" s="76"/>
    </row>
    <row r="228" spans="1:14" s="38" customFormat="1" ht="12" customHeight="1">
      <c r="A228" s="264">
        <v>882117</v>
      </c>
      <c r="B228" s="262" t="s">
        <v>792</v>
      </c>
      <c r="C228" s="81" t="s">
        <v>491</v>
      </c>
      <c r="D228" s="69">
        <v>6600</v>
      </c>
      <c r="E228" s="69">
        <f aca="true" t="shared" si="5" ref="E228:E321">SUM(F228:N228)</f>
        <v>6600</v>
      </c>
      <c r="F228" s="75"/>
      <c r="G228" s="75"/>
      <c r="H228" s="75"/>
      <c r="I228" s="75"/>
      <c r="J228" s="75">
        <v>6600</v>
      </c>
      <c r="K228" s="75"/>
      <c r="L228" s="75"/>
      <c r="M228" s="75"/>
      <c r="N228" s="76"/>
    </row>
    <row r="229" spans="1:14" s="38" customFormat="1" ht="12" customHeight="1">
      <c r="A229" s="264"/>
      <c r="B229" s="262"/>
      <c r="C229" s="82" t="s">
        <v>496</v>
      </c>
      <c r="D229" s="69">
        <v>6600</v>
      </c>
      <c r="E229" s="69">
        <f t="shared" si="5"/>
        <v>6600</v>
      </c>
      <c r="F229" s="75"/>
      <c r="G229" s="75"/>
      <c r="H229" s="75"/>
      <c r="I229" s="75"/>
      <c r="J229" s="75">
        <v>6600</v>
      </c>
      <c r="K229" s="75"/>
      <c r="L229" s="75"/>
      <c r="M229" s="75"/>
      <c r="N229" s="76"/>
    </row>
    <row r="230" spans="1:14" s="38" customFormat="1" ht="12" customHeight="1">
      <c r="A230" s="264"/>
      <c r="B230" s="262"/>
      <c r="C230" s="82" t="s">
        <v>85</v>
      </c>
      <c r="D230" s="69">
        <v>6600</v>
      </c>
      <c r="E230" s="69">
        <f t="shared" si="5"/>
        <v>6600</v>
      </c>
      <c r="F230" s="75"/>
      <c r="G230" s="75"/>
      <c r="H230" s="75"/>
      <c r="I230" s="75"/>
      <c r="J230" s="75">
        <v>6600</v>
      </c>
      <c r="K230" s="75"/>
      <c r="L230" s="75"/>
      <c r="M230" s="75"/>
      <c r="N230" s="76"/>
    </row>
    <row r="231" spans="1:14" s="38" customFormat="1" ht="12" customHeight="1">
      <c r="A231" s="264">
        <v>882119</v>
      </c>
      <c r="B231" s="262" t="s">
        <v>109</v>
      </c>
      <c r="C231" s="81" t="s">
        <v>491</v>
      </c>
      <c r="D231" s="69"/>
      <c r="E231" s="69">
        <f t="shared" si="5"/>
        <v>0</v>
      </c>
      <c r="F231" s="75"/>
      <c r="G231" s="75"/>
      <c r="H231" s="75"/>
      <c r="I231" s="75"/>
      <c r="J231" s="75"/>
      <c r="K231" s="75"/>
      <c r="L231" s="75"/>
      <c r="M231" s="75"/>
      <c r="N231" s="76"/>
    </row>
    <row r="232" spans="1:14" s="38" customFormat="1" ht="12" customHeight="1">
      <c r="A232" s="264"/>
      <c r="B232" s="262"/>
      <c r="C232" s="82" t="s">
        <v>496</v>
      </c>
      <c r="D232" s="69">
        <v>20</v>
      </c>
      <c r="E232" s="69">
        <f t="shared" si="5"/>
        <v>20</v>
      </c>
      <c r="F232" s="75"/>
      <c r="G232" s="75"/>
      <c r="H232" s="75"/>
      <c r="I232" s="75"/>
      <c r="J232" s="75">
        <v>20</v>
      </c>
      <c r="K232" s="75"/>
      <c r="L232" s="75"/>
      <c r="M232" s="75"/>
      <c r="N232" s="76"/>
    </row>
    <row r="233" spans="1:14" s="38" customFormat="1" ht="12" customHeight="1">
      <c r="A233" s="264"/>
      <c r="B233" s="262"/>
      <c r="C233" s="82" t="s">
        <v>85</v>
      </c>
      <c r="D233" s="69">
        <v>20</v>
      </c>
      <c r="E233" s="69">
        <f t="shared" si="5"/>
        <v>20</v>
      </c>
      <c r="F233" s="75"/>
      <c r="G233" s="75"/>
      <c r="H233" s="75"/>
      <c r="I233" s="75"/>
      <c r="J233" s="75">
        <v>20</v>
      </c>
      <c r="K233" s="75"/>
      <c r="L233" s="75"/>
      <c r="M233" s="75"/>
      <c r="N233" s="76"/>
    </row>
    <row r="234" spans="1:14" s="38" customFormat="1" ht="12" customHeight="1">
      <c r="A234" s="264">
        <v>882122</v>
      </c>
      <c r="B234" s="262" t="s">
        <v>619</v>
      </c>
      <c r="C234" s="81" t="s">
        <v>491</v>
      </c>
      <c r="D234" s="69"/>
      <c r="E234" s="69">
        <f t="shared" si="5"/>
        <v>20000</v>
      </c>
      <c r="F234" s="75"/>
      <c r="G234" s="75"/>
      <c r="H234" s="75"/>
      <c r="I234" s="75"/>
      <c r="J234" s="75">
        <v>20000</v>
      </c>
      <c r="K234" s="75"/>
      <c r="L234" s="75"/>
      <c r="M234" s="75"/>
      <c r="N234" s="76"/>
    </row>
    <row r="235" spans="1:14" s="38" customFormat="1" ht="12" customHeight="1">
      <c r="A235" s="264"/>
      <c r="B235" s="262"/>
      <c r="C235" s="82" t="s">
        <v>496</v>
      </c>
      <c r="D235" s="69"/>
      <c r="E235" s="69">
        <f t="shared" si="5"/>
        <v>16500</v>
      </c>
      <c r="F235" s="75"/>
      <c r="G235" s="75"/>
      <c r="H235" s="75"/>
      <c r="I235" s="75"/>
      <c r="J235" s="75">
        <v>16500</v>
      </c>
      <c r="K235" s="75"/>
      <c r="L235" s="75"/>
      <c r="M235" s="75"/>
      <c r="N235" s="76"/>
    </row>
    <row r="236" spans="1:14" s="38" customFormat="1" ht="12" customHeight="1">
      <c r="A236" s="264"/>
      <c r="B236" s="262"/>
      <c r="C236" s="82" t="s">
        <v>85</v>
      </c>
      <c r="D236" s="69"/>
      <c r="E236" s="69">
        <f t="shared" si="5"/>
        <v>16500</v>
      </c>
      <c r="F236" s="75"/>
      <c r="G236" s="75"/>
      <c r="H236" s="75"/>
      <c r="I236" s="75"/>
      <c r="J236" s="75">
        <v>16500</v>
      </c>
      <c r="K236" s="75"/>
      <c r="L236" s="75"/>
      <c r="M236" s="75"/>
      <c r="N236" s="76"/>
    </row>
    <row r="237" spans="1:14" s="38" customFormat="1" ht="12" customHeight="1">
      <c r="A237" s="264">
        <v>882123</v>
      </c>
      <c r="B237" s="262" t="s">
        <v>620</v>
      </c>
      <c r="C237" s="81" t="s">
        <v>491</v>
      </c>
      <c r="D237" s="69"/>
      <c r="E237" s="69">
        <f t="shared" si="5"/>
        <v>6500</v>
      </c>
      <c r="F237" s="75"/>
      <c r="G237" s="75"/>
      <c r="H237" s="75"/>
      <c r="I237" s="75"/>
      <c r="J237" s="75">
        <v>6500</v>
      </c>
      <c r="K237" s="75"/>
      <c r="L237" s="75"/>
      <c r="M237" s="75"/>
      <c r="N237" s="76"/>
    </row>
    <row r="238" spans="1:14" s="38" customFormat="1" ht="12" customHeight="1">
      <c r="A238" s="264"/>
      <c r="B238" s="262"/>
      <c r="C238" s="82" t="s">
        <v>496</v>
      </c>
      <c r="D238" s="69"/>
      <c r="E238" s="69">
        <f t="shared" si="5"/>
        <v>6500</v>
      </c>
      <c r="F238" s="75"/>
      <c r="G238" s="75"/>
      <c r="H238" s="75"/>
      <c r="I238" s="75"/>
      <c r="J238" s="75">
        <v>6500</v>
      </c>
      <c r="K238" s="75"/>
      <c r="L238" s="75"/>
      <c r="M238" s="75"/>
      <c r="N238" s="76"/>
    </row>
    <row r="239" spans="1:14" s="38" customFormat="1" ht="12" customHeight="1">
      <c r="A239" s="264"/>
      <c r="B239" s="262"/>
      <c r="C239" s="82" t="s">
        <v>85</v>
      </c>
      <c r="D239" s="69"/>
      <c r="E239" s="69">
        <f t="shared" si="5"/>
        <v>6500</v>
      </c>
      <c r="F239" s="75"/>
      <c r="G239" s="75"/>
      <c r="H239" s="75"/>
      <c r="I239" s="75"/>
      <c r="J239" s="75">
        <v>6500</v>
      </c>
      <c r="K239" s="75"/>
      <c r="L239" s="75"/>
      <c r="M239" s="75"/>
      <c r="N239" s="76"/>
    </row>
    <row r="240" spans="1:14" s="38" customFormat="1" ht="12" customHeight="1">
      <c r="A240" s="264">
        <v>882124</v>
      </c>
      <c r="B240" s="262" t="s">
        <v>793</v>
      </c>
      <c r="C240" s="81" t="s">
        <v>491</v>
      </c>
      <c r="D240" s="69"/>
      <c r="E240" s="69">
        <f t="shared" si="5"/>
        <v>32000</v>
      </c>
      <c r="F240" s="75"/>
      <c r="G240" s="75"/>
      <c r="H240" s="75"/>
      <c r="I240" s="75"/>
      <c r="J240" s="75">
        <v>32000</v>
      </c>
      <c r="K240" s="75"/>
      <c r="L240" s="75"/>
      <c r="M240" s="75"/>
      <c r="N240" s="76"/>
    </row>
    <row r="241" spans="1:14" s="38" customFormat="1" ht="12" customHeight="1">
      <c r="A241" s="264"/>
      <c r="B241" s="262"/>
      <c r="C241" s="82" t="s">
        <v>496</v>
      </c>
      <c r="D241" s="69"/>
      <c r="E241" s="69">
        <f t="shared" si="5"/>
        <v>36054</v>
      </c>
      <c r="F241" s="75"/>
      <c r="G241" s="75"/>
      <c r="H241" s="75"/>
      <c r="I241" s="75"/>
      <c r="J241" s="75">
        <v>36054</v>
      </c>
      <c r="K241" s="75"/>
      <c r="L241" s="75"/>
      <c r="M241" s="75"/>
      <c r="N241" s="76"/>
    </row>
    <row r="242" spans="1:14" s="38" customFormat="1" ht="12" customHeight="1">
      <c r="A242" s="264"/>
      <c r="B242" s="262"/>
      <c r="C242" s="82" t="s">
        <v>85</v>
      </c>
      <c r="D242" s="69"/>
      <c r="E242" s="69">
        <f t="shared" si="5"/>
        <v>36054</v>
      </c>
      <c r="F242" s="75"/>
      <c r="G242" s="75"/>
      <c r="H242" s="75"/>
      <c r="I242" s="75"/>
      <c r="J242" s="75">
        <v>36054</v>
      </c>
      <c r="K242" s="75"/>
      <c r="L242" s="75"/>
      <c r="M242" s="75"/>
      <c r="N242" s="76"/>
    </row>
    <row r="243" spans="1:14" s="38" customFormat="1" ht="12" customHeight="1">
      <c r="A243" s="264">
        <v>882125</v>
      </c>
      <c r="B243" s="262" t="s">
        <v>605</v>
      </c>
      <c r="C243" s="81" t="s">
        <v>491</v>
      </c>
      <c r="D243" s="69">
        <v>1500</v>
      </c>
      <c r="E243" s="69">
        <f t="shared" si="5"/>
        <v>1500</v>
      </c>
      <c r="F243" s="75"/>
      <c r="G243" s="75"/>
      <c r="H243" s="75"/>
      <c r="I243" s="75"/>
      <c r="J243" s="75">
        <v>1500</v>
      </c>
      <c r="K243" s="75"/>
      <c r="L243" s="75"/>
      <c r="M243" s="75"/>
      <c r="N243" s="76"/>
    </row>
    <row r="244" spans="1:14" s="38" customFormat="1" ht="12" customHeight="1">
      <c r="A244" s="264"/>
      <c r="B244" s="262"/>
      <c r="C244" s="82" t="s">
        <v>496</v>
      </c>
      <c r="D244" s="69">
        <v>1500</v>
      </c>
      <c r="E244" s="69">
        <f t="shared" si="5"/>
        <v>1500</v>
      </c>
      <c r="F244" s="75"/>
      <c r="G244" s="75"/>
      <c r="H244" s="75"/>
      <c r="I244" s="75"/>
      <c r="J244" s="75">
        <v>1500</v>
      </c>
      <c r="K244" s="75"/>
      <c r="L244" s="75"/>
      <c r="M244" s="75"/>
      <c r="N244" s="76"/>
    </row>
    <row r="245" spans="1:14" s="38" customFormat="1" ht="12" customHeight="1">
      <c r="A245" s="264"/>
      <c r="B245" s="262"/>
      <c r="C245" s="82" t="s">
        <v>85</v>
      </c>
      <c r="D245" s="69">
        <v>1500</v>
      </c>
      <c r="E245" s="69">
        <f t="shared" si="5"/>
        <v>1500</v>
      </c>
      <c r="F245" s="75"/>
      <c r="G245" s="75"/>
      <c r="H245" s="75"/>
      <c r="I245" s="75"/>
      <c r="J245" s="75">
        <v>1500</v>
      </c>
      <c r="K245" s="75"/>
      <c r="L245" s="75"/>
      <c r="M245" s="75"/>
      <c r="N245" s="76"/>
    </row>
    <row r="246" spans="1:14" s="38" customFormat="1" ht="12" customHeight="1">
      <c r="A246" s="264">
        <v>882129</v>
      </c>
      <c r="B246" s="262" t="s">
        <v>761</v>
      </c>
      <c r="C246" s="81" t="s">
        <v>491</v>
      </c>
      <c r="D246" s="69"/>
      <c r="E246" s="69">
        <f t="shared" si="5"/>
        <v>5296</v>
      </c>
      <c r="F246" s="75">
        <v>3696</v>
      </c>
      <c r="G246" s="75">
        <v>1020</v>
      </c>
      <c r="H246" s="75">
        <v>580</v>
      </c>
      <c r="I246" s="75"/>
      <c r="J246" s="75"/>
      <c r="K246" s="75"/>
      <c r="L246" s="75"/>
      <c r="M246" s="256"/>
      <c r="N246" s="76"/>
    </row>
    <row r="247" spans="1:14" s="38" customFormat="1" ht="12" customHeight="1">
      <c r="A247" s="264"/>
      <c r="B247" s="262"/>
      <c r="C247" s="82" t="s">
        <v>496</v>
      </c>
      <c r="D247" s="69"/>
      <c r="E247" s="69">
        <f t="shared" si="5"/>
        <v>5296</v>
      </c>
      <c r="F247" s="75">
        <v>3696</v>
      </c>
      <c r="G247" s="75">
        <v>1020</v>
      </c>
      <c r="H247" s="75">
        <v>580</v>
      </c>
      <c r="I247" s="75"/>
      <c r="J247" s="75"/>
      <c r="K247" s="75"/>
      <c r="L247" s="75"/>
      <c r="M247" s="256"/>
      <c r="N247" s="76"/>
    </row>
    <row r="248" spans="1:14" s="38" customFormat="1" ht="12" customHeight="1">
      <c r="A248" s="264"/>
      <c r="B248" s="262"/>
      <c r="C248" s="82" t="s">
        <v>85</v>
      </c>
      <c r="D248" s="69"/>
      <c r="E248" s="69">
        <f t="shared" si="5"/>
        <v>5296</v>
      </c>
      <c r="F248" s="75">
        <v>3696</v>
      </c>
      <c r="G248" s="75">
        <v>1020</v>
      </c>
      <c r="H248" s="75">
        <v>580</v>
      </c>
      <c r="I248" s="75"/>
      <c r="J248" s="75"/>
      <c r="K248" s="75"/>
      <c r="L248" s="75"/>
      <c r="M248" s="256"/>
      <c r="N248" s="76"/>
    </row>
    <row r="249" spans="1:14" s="38" customFormat="1" ht="12" customHeight="1">
      <c r="A249" s="264">
        <v>882129</v>
      </c>
      <c r="B249" s="262" t="s">
        <v>794</v>
      </c>
      <c r="C249" s="81" t="s">
        <v>491</v>
      </c>
      <c r="D249" s="69"/>
      <c r="E249" s="69">
        <f t="shared" si="5"/>
        <v>200</v>
      </c>
      <c r="F249" s="75"/>
      <c r="G249" s="75"/>
      <c r="H249" s="75"/>
      <c r="I249" s="75"/>
      <c r="J249" s="75">
        <v>200</v>
      </c>
      <c r="K249" s="75"/>
      <c r="L249" s="75"/>
      <c r="M249" s="75"/>
      <c r="N249" s="76"/>
    </row>
    <row r="250" spans="1:14" s="38" customFormat="1" ht="12" customHeight="1">
      <c r="A250" s="264"/>
      <c r="B250" s="262"/>
      <c r="C250" s="82" t="s">
        <v>496</v>
      </c>
      <c r="D250" s="69"/>
      <c r="E250" s="69">
        <f t="shared" si="5"/>
        <v>200</v>
      </c>
      <c r="F250" s="75"/>
      <c r="G250" s="75"/>
      <c r="H250" s="75"/>
      <c r="I250" s="75"/>
      <c r="J250" s="75">
        <v>200</v>
      </c>
      <c r="K250" s="75"/>
      <c r="L250" s="75"/>
      <c r="M250" s="75"/>
      <c r="N250" s="76"/>
    </row>
    <row r="251" spans="1:14" s="38" customFormat="1" ht="12" customHeight="1" thickBot="1">
      <c r="A251" s="269"/>
      <c r="B251" s="270"/>
      <c r="C251" s="233" t="s">
        <v>85</v>
      </c>
      <c r="D251" s="93"/>
      <c r="E251" s="93">
        <f t="shared" si="5"/>
        <v>200</v>
      </c>
      <c r="F251" s="331"/>
      <c r="G251" s="331"/>
      <c r="H251" s="331"/>
      <c r="I251" s="331"/>
      <c r="J251" s="331">
        <v>200</v>
      </c>
      <c r="K251" s="331"/>
      <c r="L251" s="331"/>
      <c r="M251" s="331"/>
      <c r="N251" s="335"/>
    </row>
    <row r="252" spans="1:14" s="38" customFormat="1" ht="12" customHeight="1" thickTop="1">
      <c r="A252" s="686" t="s">
        <v>553</v>
      </c>
      <c r="B252" s="687"/>
      <c r="C252" s="687"/>
      <c r="D252" s="692" t="s">
        <v>458</v>
      </c>
      <c r="E252" s="695" t="s">
        <v>554</v>
      </c>
      <c r="F252" s="68" t="s">
        <v>555</v>
      </c>
      <c r="G252" s="68"/>
      <c r="H252" s="68"/>
      <c r="I252" s="266"/>
      <c r="J252" s="266"/>
      <c r="K252" s="68" t="s">
        <v>489</v>
      </c>
      <c r="L252" s="68"/>
      <c r="M252" s="698" t="s">
        <v>633</v>
      </c>
      <c r="N252" s="679" t="s">
        <v>534</v>
      </c>
    </row>
    <row r="253" spans="1:14" s="38" customFormat="1" ht="12" customHeight="1">
      <c r="A253" s="688"/>
      <c r="B253" s="689"/>
      <c r="C253" s="689"/>
      <c r="D253" s="693"/>
      <c r="E253" s="696"/>
      <c r="F253" s="682" t="s">
        <v>627</v>
      </c>
      <c r="G253" s="682" t="s">
        <v>628</v>
      </c>
      <c r="H253" s="682" t="s">
        <v>629</v>
      </c>
      <c r="I253" s="682" t="s">
        <v>630</v>
      </c>
      <c r="J253" s="682" t="s">
        <v>632</v>
      </c>
      <c r="K253" s="684" t="s">
        <v>549</v>
      </c>
      <c r="L253" s="684" t="s">
        <v>530</v>
      </c>
      <c r="M253" s="699"/>
      <c r="N253" s="680"/>
    </row>
    <row r="254" spans="1:14" s="38" customFormat="1" ht="39.75" customHeight="1" thickBot="1">
      <c r="A254" s="690"/>
      <c r="B254" s="691"/>
      <c r="C254" s="691"/>
      <c r="D254" s="694"/>
      <c r="E254" s="697"/>
      <c r="F254" s="683"/>
      <c r="G254" s="683"/>
      <c r="H254" s="683"/>
      <c r="I254" s="683"/>
      <c r="J254" s="683"/>
      <c r="K254" s="685"/>
      <c r="L254" s="685"/>
      <c r="M254" s="683"/>
      <c r="N254" s="681"/>
    </row>
    <row r="255" spans="1:14" s="38" customFormat="1" ht="12" customHeight="1" thickTop="1">
      <c r="A255" s="264">
        <v>882201</v>
      </c>
      <c r="B255" s="262" t="s">
        <v>795</v>
      </c>
      <c r="C255" s="81" t="s">
        <v>491</v>
      </c>
      <c r="D255" s="69">
        <v>4500</v>
      </c>
      <c r="E255" s="69">
        <f t="shared" si="5"/>
        <v>5000</v>
      </c>
      <c r="F255" s="75"/>
      <c r="G255" s="75"/>
      <c r="H255" s="75"/>
      <c r="I255" s="75"/>
      <c r="J255" s="75">
        <v>5000</v>
      </c>
      <c r="K255" s="75"/>
      <c r="L255" s="75"/>
      <c r="M255" s="75"/>
      <c r="N255" s="76"/>
    </row>
    <row r="256" spans="1:14" s="38" customFormat="1" ht="12" customHeight="1">
      <c r="A256" s="314"/>
      <c r="B256" s="315"/>
      <c r="C256" s="485" t="s">
        <v>496</v>
      </c>
      <c r="D256" s="316">
        <v>4500</v>
      </c>
      <c r="E256" s="316">
        <f>SUM(F256:N256)</f>
        <v>5000</v>
      </c>
      <c r="F256" s="317"/>
      <c r="G256" s="317"/>
      <c r="H256" s="317"/>
      <c r="I256" s="317"/>
      <c r="J256" s="317">
        <v>5000</v>
      </c>
      <c r="K256" s="317"/>
      <c r="L256" s="317"/>
      <c r="M256" s="317"/>
      <c r="N256" s="318"/>
    </row>
    <row r="257" spans="1:14" s="38" customFormat="1" ht="12" customHeight="1">
      <c r="A257" s="264"/>
      <c r="B257" s="262"/>
      <c r="C257" s="81" t="s">
        <v>85</v>
      </c>
      <c r="D257" s="69">
        <v>4500</v>
      </c>
      <c r="E257" s="69">
        <f>SUM(F257:N257)</f>
        <v>5000</v>
      </c>
      <c r="F257" s="75"/>
      <c r="G257" s="75"/>
      <c r="H257" s="75"/>
      <c r="I257" s="75"/>
      <c r="J257" s="75">
        <v>5000</v>
      </c>
      <c r="K257" s="75"/>
      <c r="L257" s="75"/>
      <c r="M257" s="75"/>
      <c r="N257" s="76"/>
    </row>
    <row r="258" spans="1:14" s="38" customFormat="1" ht="12" customHeight="1">
      <c r="A258" s="263">
        <v>882202</v>
      </c>
      <c r="B258" s="240" t="s">
        <v>419</v>
      </c>
      <c r="C258" s="82" t="s">
        <v>491</v>
      </c>
      <c r="D258" s="70"/>
      <c r="E258" s="70">
        <f t="shared" si="5"/>
        <v>2000</v>
      </c>
      <c r="F258" s="258"/>
      <c r="G258" s="258"/>
      <c r="H258" s="258"/>
      <c r="I258" s="258"/>
      <c r="J258" s="258">
        <v>2000</v>
      </c>
      <c r="K258" s="258"/>
      <c r="L258" s="258"/>
      <c r="M258" s="258"/>
      <c r="N258" s="257"/>
    </row>
    <row r="259" spans="1:14" s="38" customFormat="1" ht="12" customHeight="1">
      <c r="A259" s="264"/>
      <c r="B259" s="262"/>
      <c r="C259" s="82" t="s">
        <v>496</v>
      </c>
      <c r="D259" s="69"/>
      <c r="E259" s="69">
        <f t="shared" si="5"/>
        <v>2000</v>
      </c>
      <c r="F259" s="75"/>
      <c r="G259" s="75"/>
      <c r="H259" s="75"/>
      <c r="I259" s="75"/>
      <c r="J259" s="75">
        <v>2000</v>
      </c>
      <c r="K259" s="75"/>
      <c r="L259" s="75"/>
      <c r="M259" s="75"/>
      <c r="N259" s="76"/>
    </row>
    <row r="260" spans="1:14" s="38" customFormat="1" ht="12" customHeight="1">
      <c r="A260" s="264"/>
      <c r="B260" s="262"/>
      <c r="C260" s="82" t="s">
        <v>85</v>
      </c>
      <c r="D260" s="69"/>
      <c r="E260" s="69">
        <f t="shared" si="5"/>
        <v>2000</v>
      </c>
      <c r="F260" s="75"/>
      <c r="G260" s="75"/>
      <c r="H260" s="75"/>
      <c r="I260" s="75"/>
      <c r="J260" s="75">
        <v>2000</v>
      </c>
      <c r="K260" s="75"/>
      <c r="L260" s="75"/>
      <c r="M260" s="75"/>
      <c r="N260" s="76"/>
    </row>
    <row r="261" spans="1:14" s="38" customFormat="1" ht="12" customHeight="1">
      <c r="A261" s="264">
        <v>882203</v>
      </c>
      <c r="B261" s="262" t="s">
        <v>418</v>
      </c>
      <c r="C261" s="81" t="s">
        <v>491</v>
      </c>
      <c r="D261" s="69"/>
      <c r="E261" s="69">
        <f t="shared" si="5"/>
        <v>1500</v>
      </c>
      <c r="F261" s="75"/>
      <c r="G261" s="75"/>
      <c r="H261" s="75"/>
      <c r="I261" s="75"/>
      <c r="J261" s="75">
        <v>1500</v>
      </c>
      <c r="K261" s="75"/>
      <c r="L261" s="75"/>
      <c r="M261" s="75"/>
      <c r="N261" s="76"/>
    </row>
    <row r="262" spans="1:14" s="38" customFormat="1" ht="12" customHeight="1">
      <c r="A262" s="264"/>
      <c r="B262" s="262"/>
      <c r="C262" s="82" t="s">
        <v>496</v>
      </c>
      <c r="D262" s="69"/>
      <c r="E262" s="69">
        <f t="shared" si="5"/>
        <v>1500</v>
      </c>
      <c r="F262" s="75"/>
      <c r="G262" s="75"/>
      <c r="H262" s="75"/>
      <c r="I262" s="75"/>
      <c r="J262" s="75">
        <v>1500</v>
      </c>
      <c r="K262" s="75"/>
      <c r="L262" s="75"/>
      <c r="M262" s="75"/>
      <c r="N262" s="76"/>
    </row>
    <row r="263" spans="1:14" s="38" customFormat="1" ht="12" customHeight="1">
      <c r="A263" s="264"/>
      <c r="B263" s="262"/>
      <c r="C263" s="82" t="s">
        <v>85</v>
      </c>
      <c r="D263" s="69"/>
      <c r="E263" s="69">
        <f t="shared" si="5"/>
        <v>1500</v>
      </c>
      <c r="F263" s="75"/>
      <c r="G263" s="75"/>
      <c r="H263" s="75"/>
      <c r="I263" s="75"/>
      <c r="J263" s="75">
        <v>1500</v>
      </c>
      <c r="K263" s="75"/>
      <c r="L263" s="75"/>
      <c r="M263" s="75"/>
      <c r="N263" s="76"/>
    </row>
    <row r="264" spans="1:14" s="38" customFormat="1" ht="12" customHeight="1">
      <c r="A264" s="264">
        <v>889101</v>
      </c>
      <c r="B264" s="262" t="s">
        <v>782</v>
      </c>
      <c r="C264" s="81" t="s">
        <v>491</v>
      </c>
      <c r="D264" s="69"/>
      <c r="E264" s="69">
        <f t="shared" si="5"/>
        <v>5000</v>
      </c>
      <c r="F264" s="75"/>
      <c r="G264" s="75"/>
      <c r="H264" s="75"/>
      <c r="I264" s="75">
        <v>5000</v>
      </c>
      <c r="J264" s="75"/>
      <c r="K264" s="75"/>
      <c r="L264" s="75"/>
      <c r="M264" s="75"/>
      <c r="N264" s="76"/>
    </row>
    <row r="265" spans="1:14" s="38" customFormat="1" ht="12" customHeight="1">
      <c r="A265" s="264"/>
      <c r="B265" s="262"/>
      <c r="C265" s="82" t="s">
        <v>496</v>
      </c>
      <c r="D265" s="69"/>
      <c r="E265" s="69">
        <f t="shared" si="5"/>
        <v>7000</v>
      </c>
      <c r="F265" s="75"/>
      <c r="G265" s="75"/>
      <c r="H265" s="75"/>
      <c r="I265" s="75">
        <v>7000</v>
      </c>
      <c r="J265" s="75"/>
      <c r="K265" s="75"/>
      <c r="L265" s="75"/>
      <c r="M265" s="75"/>
      <c r="N265" s="76"/>
    </row>
    <row r="266" spans="1:14" s="38" customFormat="1" ht="12" customHeight="1">
      <c r="A266" s="264"/>
      <c r="B266" s="262"/>
      <c r="C266" s="82" t="s">
        <v>85</v>
      </c>
      <c r="D266" s="69"/>
      <c r="E266" s="69">
        <f t="shared" si="5"/>
        <v>7000</v>
      </c>
      <c r="F266" s="75"/>
      <c r="G266" s="75"/>
      <c r="H266" s="75"/>
      <c r="I266" s="75">
        <v>7000</v>
      </c>
      <c r="J266" s="75"/>
      <c r="K266" s="75"/>
      <c r="L266" s="75"/>
      <c r="M266" s="75"/>
      <c r="N266" s="76"/>
    </row>
    <row r="267" spans="1:14" s="38" customFormat="1" ht="12" customHeight="1">
      <c r="A267" s="264">
        <v>889102</v>
      </c>
      <c r="B267" s="262" t="s">
        <v>78</v>
      </c>
      <c r="C267" s="81" t="s">
        <v>491</v>
      </c>
      <c r="D267" s="69"/>
      <c r="E267" s="69">
        <f t="shared" si="5"/>
        <v>0</v>
      </c>
      <c r="F267" s="75"/>
      <c r="G267" s="75"/>
      <c r="H267" s="75"/>
      <c r="I267" s="75"/>
      <c r="J267" s="75"/>
      <c r="K267" s="75"/>
      <c r="L267" s="75"/>
      <c r="M267" s="75"/>
      <c r="N267" s="76"/>
    </row>
    <row r="268" spans="1:14" s="38" customFormat="1" ht="12" customHeight="1">
      <c r="A268" s="264"/>
      <c r="B268" s="262"/>
      <c r="C268" s="82" t="s">
        <v>496</v>
      </c>
      <c r="D268" s="69"/>
      <c r="E268" s="69">
        <f t="shared" si="5"/>
        <v>1200</v>
      </c>
      <c r="F268" s="75"/>
      <c r="G268" s="75"/>
      <c r="H268" s="75"/>
      <c r="I268" s="75">
        <v>1200</v>
      </c>
      <c r="J268" s="75"/>
      <c r="K268" s="75"/>
      <c r="L268" s="75"/>
      <c r="M268" s="75"/>
      <c r="N268" s="76"/>
    </row>
    <row r="269" spans="1:14" s="38" customFormat="1" ht="12" customHeight="1">
      <c r="A269" s="264"/>
      <c r="B269" s="262"/>
      <c r="C269" s="82" t="s">
        <v>85</v>
      </c>
      <c r="D269" s="69"/>
      <c r="E269" s="69">
        <f t="shared" si="5"/>
        <v>1200</v>
      </c>
      <c r="F269" s="75"/>
      <c r="G269" s="75"/>
      <c r="H269" s="75"/>
      <c r="I269" s="75">
        <v>1200</v>
      </c>
      <c r="J269" s="75"/>
      <c r="K269" s="75"/>
      <c r="L269" s="75"/>
      <c r="M269" s="75"/>
      <c r="N269" s="76"/>
    </row>
    <row r="270" spans="1:14" s="38" customFormat="1" ht="12" customHeight="1">
      <c r="A270" s="264">
        <v>889109</v>
      </c>
      <c r="B270" s="262" t="s">
        <v>143</v>
      </c>
      <c r="C270" s="81" t="s">
        <v>491</v>
      </c>
      <c r="D270" s="69"/>
      <c r="E270" s="69">
        <f t="shared" si="5"/>
        <v>0</v>
      </c>
      <c r="F270" s="75"/>
      <c r="G270" s="75"/>
      <c r="H270" s="75"/>
      <c r="I270" s="75"/>
      <c r="J270" s="75"/>
      <c r="K270" s="75"/>
      <c r="L270" s="75"/>
      <c r="M270" s="75"/>
      <c r="N270" s="76"/>
    </row>
    <row r="271" spans="1:14" s="38" customFormat="1" ht="12" customHeight="1">
      <c r="A271" s="264"/>
      <c r="B271" s="262"/>
      <c r="C271" s="82" t="s">
        <v>496</v>
      </c>
      <c r="D271" s="69">
        <v>244</v>
      </c>
      <c r="E271" s="69">
        <f t="shared" si="5"/>
        <v>244</v>
      </c>
      <c r="F271" s="75"/>
      <c r="G271" s="75"/>
      <c r="H271" s="75"/>
      <c r="I271" s="75"/>
      <c r="J271" s="75">
        <v>244</v>
      </c>
      <c r="K271" s="75"/>
      <c r="L271" s="75"/>
      <c r="M271" s="75"/>
      <c r="N271" s="76"/>
    </row>
    <row r="272" spans="1:14" s="38" customFormat="1" ht="12" customHeight="1">
      <c r="A272" s="264"/>
      <c r="B272" s="262"/>
      <c r="C272" s="82" t="s">
        <v>85</v>
      </c>
      <c r="D272" s="69">
        <v>244</v>
      </c>
      <c r="E272" s="69">
        <f t="shared" si="5"/>
        <v>244</v>
      </c>
      <c r="F272" s="75"/>
      <c r="G272" s="75"/>
      <c r="H272" s="75"/>
      <c r="I272" s="75"/>
      <c r="J272" s="75">
        <v>244</v>
      </c>
      <c r="K272" s="75"/>
      <c r="L272" s="75"/>
      <c r="M272" s="75"/>
      <c r="N272" s="76"/>
    </row>
    <row r="273" spans="1:14" s="38" customFormat="1" ht="12" customHeight="1">
      <c r="A273" s="264">
        <v>889922</v>
      </c>
      <c r="B273" s="262" t="s">
        <v>194</v>
      </c>
      <c r="C273" s="81" t="s">
        <v>491</v>
      </c>
      <c r="D273" s="69">
        <v>1900</v>
      </c>
      <c r="E273" s="69">
        <f t="shared" si="5"/>
        <v>1900</v>
      </c>
      <c r="F273" s="75"/>
      <c r="G273" s="75"/>
      <c r="H273" s="75"/>
      <c r="I273" s="75"/>
      <c r="J273" s="75"/>
      <c r="K273" s="75"/>
      <c r="L273" s="75"/>
      <c r="M273" s="75"/>
      <c r="N273" s="76">
        <v>1900</v>
      </c>
    </row>
    <row r="274" spans="1:14" s="38" customFormat="1" ht="12" customHeight="1">
      <c r="A274" s="264"/>
      <c r="B274" s="262"/>
      <c r="C274" s="82" t="s">
        <v>496</v>
      </c>
      <c r="D274" s="69">
        <v>2950</v>
      </c>
      <c r="E274" s="69">
        <f t="shared" si="5"/>
        <v>0</v>
      </c>
      <c r="F274" s="75"/>
      <c r="G274" s="75"/>
      <c r="H274" s="75"/>
      <c r="I274" s="75"/>
      <c r="J274" s="75"/>
      <c r="K274" s="75"/>
      <c r="L274" s="75"/>
      <c r="M274" s="75"/>
      <c r="N274" s="76"/>
    </row>
    <row r="275" spans="1:14" s="38" customFormat="1" ht="12" customHeight="1">
      <c r="A275" s="263"/>
      <c r="B275" s="240"/>
      <c r="C275" s="82" t="s">
        <v>85</v>
      </c>
      <c r="D275" s="70">
        <v>2950</v>
      </c>
      <c r="E275" s="69">
        <f t="shared" si="5"/>
        <v>0</v>
      </c>
      <c r="F275" s="258"/>
      <c r="G275" s="258"/>
      <c r="H275" s="258"/>
      <c r="I275" s="258"/>
      <c r="J275" s="258"/>
      <c r="K275" s="258"/>
      <c r="L275" s="258"/>
      <c r="M275" s="258"/>
      <c r="N275" s="257"/>
    </row>
    <row r="276" spans="1:14" s="38" customFormat="1" ht="12" customHeight="1">
      <c r="A276" s="263">
        <v>889925</v>
      </c>
      <c r="B276" s="240" t="s">
        <v>682</v>
      </c>
      <c r="C276" s="82" t="s">
        <v>491</v>
      </c>
      <c r="D276" s="70">
        <v>17002</v>
      </c>
      <c r="E276" s="70">
        <f t="shared" si="5"/>
        <v>0</v>
      </c>
      <c r="F276" s="258"/>
      <c r="G276" s="258"/>
      <c r="H276" s="258"/>
      <c r="I276" s="258"/>
      <c r="J276" s="258"/>
      <c r="K276" s="258"/>
      <c r="L276" s="258"/>
      <c r="M276" s="258"/>
      <c r="N276" s="257"/>
    </row>
    <row r="277" spans="1:14" s="38" customFormat="1" ht="12" customHeight="1">
      <c r="A277" s="264"/>
      <c r="B277" s="262"/>
      <c r="C277" s="82" t="s">
        <v>496</v>
      </c>
      <c r="D277" s="69">
        <v>17002</v>
      </c>
      <c r="E277" s="69">
        <f t="shared" si="5"/>
        <v>0</v>
      </c>
      <c r="F277" s="75"/>
      <c r="G277" s="75"/>
      <c r="H277" s="75"/>
      <c r="I277" s="75"/>
      <c r="J277" s="75"/>
      <c r="K277" s="75"/>
      <c r="L277" s="75"/>
      <c r="M277" s="75"/>
      <c r="N277" s="76"/>
    </row>
    <row r="278" spans="1:14" s="38" customFormat="1" ht="12" customHeight="1">
      <c r="A278" s="264"/>
      <c r="B278" s="262"/>
      <c r="C278" s="82" t="s">
        <v>85</v>
      </c>
      <c r="D278" s="69">
        <v>17002</v>
      </c>
      <c r="E278" s="69">
        <f t="shared" si="5"/>
        <v>0</v>
      </c>
      <c r="F278" s="75"/>
      <c r="G278" s="75"/>
      <c r="H278" s="75"/>
      <c r="I278" s="75"/>
      <c r="J278" s="75"/>
      <c r="K278" s="75"/>
      <c r="L278" s="75"/>
      <c r="M278" s="75"/>
      <c r="N278" s="76"/>
    </row>
    <row r="279" spans="1:14" s="38" customFormat="1" ht="12" customHeight="1">
      <c r="A279" s="264">
        <v>889926</v>
      </c>
      <c r="B279" s="262" t="s">
        <v>683</v>
      </c>
      <c r="C279" s="81" t="s">
        <v>491</v>
      </c>
      <c r="D279" s="69">
        <v>8493</v>
      </c>
      <c r="E279" s="69">
        <f t="shared" si="5"/>
        <v>493</v>
      </c>
      <c r="F279" s="75"/>
      <c r="G279" s="75"/>
      <c r="H279" s="75"/>
      <c r="I279" s="75"/>
      <c r="J279" s="75"/>
      <c r="K279" s="75"/>
      <c r="L279" s="75"/>
      <c r="M279" s="75"/>
      <c r="N279" s="76">
        <v>493</v>
      </c>
    </row>
    <row r="280" spans="1:14" s="38" customFormat="1" ht="12" customHeight="1">
      <c r="A280" s="264"/>
      <c r="B280" s="262"/>
      <c r="C280" s="82" t="s">
        <v>496</v>
      </c>
      <c r="D280" s="69">
        <v>8493</v>
      </c>
      <c r="E280" s="69">
        <f t="shared" si="5"/>
        <v>493</v>
      </c>
      <c r="F280" s="75"/>
      <c r="G280" s="75"/>
      <c r="H280" s="75">
        <v>188</v>
      </c>
      <c r="I280" s="75"/>
      <c r="J280" s="75"/>
      <c r="K280" s="75"/>
      <c r="L280" s="75">
        <v>305</v>
      </c>
      <c r="M280" s="75"/>
      <c r="N280" s="76"/>
    </row>
    <row r="281" spans="1:14" s="38" customFormat="1" ht="12" customHeight="1">
      <c r="A281" s="264"/>
      <c r="B281" s="262"/>
      <c r="C281" s="82" t="s">
        <v>85</v>
      </c>
      <c r="D281" s="69">
        <v>8493</v>
      </c>
      <c r="E281" s="69">
        <f t="shared" si="5"/>
        <v>493</v>
      </c>
      <c r="F281" s="75"/>
      <c r="G281" s="75"/>
      <c r="H281" s="75">
        <v>188</v>
      </c>
      <c r="I281" s="75"/>
      <c r="J281" s="75"/>
      <c r="K281" s="75"/>
      <c r="L281" s="75">
        <v>305</v>
      </c>
      <c r="M281" s="75"/>
      <c r="N281" s="76"/>
    </row>
    <row r="282" spans="1:14" s="38" customFormat="1" ht="12" customHeight="1">
      <c r="A282" s="264">
        <v>889936</v>
      </c>
      <c r="B282" s="262" t="s">
        <v>440</v>
      </c>
      <c r="C282" s="81" t="s">
        <v>491</v>
      </c>
      <c r="D282" s="69">
        <v>4500</v>
      </c>
      <c r="E282" s="69">
        <f t="shared" si="5"/>
        <v>4500</v>
      </c>
      <c r="F282" s="75"/>
      <c r="G282" s="75"/>
      <c r="H282" s="75"/>
      <c r="I282" s="75"/>
      <c r="J282" s="75">
        <v>4500</v>
      </c>
      <c r="K282" s="75"/>
      <c r="L282" s="75"/>
      <c r="M282" s="256"/>
      <c r="N282" s="76"/>
    </row>
    <row r="283" spans="1:14" s="38" customFormat="1" ht="12" customHeight="1">
      <c r="A283" s="264"/>
      <c r="B283" s="262"/>
      <c r="C283" s="82" t="s">
        <v>496</v>
      </c>
      <c r="D283" s="69">
        <v>4500</v>
      </c>
      <c r="E283" s="69">
        <f t="shared" si="5"/>
        <v>4500</v>
      </c>
      <c r="F283" s="75"/>
      <c r="G283" s="75"/>
      <c r="H283" s="75"/>
      <c r="I283" s="75"/>
      <c r="J283" s="75">
        <v>4500</v>
      </c>
      <c r="K283" s="75"/>
      <c r="L283" s="75"/>
      <c r="M283" s="256"/>
      <c r="N283" s="76"/>
    </row>
    <row r="284" spans="1:14" s="38" customFormat="1" ht="12" customHeight="1">
      <c r="A284" s="264"/>
      <c r="B284" s="262"/>
      <c r="C284" s="82" t="s">
        <v>85</v>
      </c>
      <c r="D284" s="69"/>
      <c r="E284" s="69">
        <f t="shared" si="5"/>
        <v>0</v>
      </c>
      <c r="F284" s="75"/>
      <c r="G284" s="75"/>
      <c r="H284" s="75"/>
      <c r="I284" s="75"/>
      <c r="J284" s="75"/>
      <c r="K284" s="75"/>
      <c r="L284" s="75"/>
      <c r="M284" s="256"/>
      <c r="N284" s="76"/>
    </row>
    <row r="285" spans="1:14" s="38" customFormat="1" ht="12" customHeight="1">
      <c r="A285" s="264">
        <v>889942</v>
      </c>
      <c r="B285" s="262" t="s">
        <v>748</v>
      </c>
      <c r="C285" s="81" t="s">
        <v>491</v>
      </c>
      <c r="D285" s="69">
        <v>7400</v>
      </c>
      <c r="E285" s="69">
        <f t="shared" si="5"/>
        <v>8000</v>
      </c>
      <c r="F285" s="69"/>
      <c r="G285" s="69"/>
      <c r="H285" s="69"/>
      <c r="I285" s="69">
        <v>1000</v>
      </c>
      <c r="J285" s="69"/>
      <c r="K285" s="69"/>
      <c r="L285" s="69"/>
      <c r="M285" s="69">
        <v>7000</v>
      </c>
      <c r="N285" s="73"/>
    </row>
    <row r="286" spans="1:14" s="38" customFormat="1" ht="12" customHeight="1">
      <c r="A286" s="264"/>
      <c r="B286" s="262"/>
      <c r="C286" s="82" t="s">
        <v>496</v>
      </c>
      <c r="D286" s="69">
        <v>7400</v>
      </c>
      <c r="E286" s="69">
        <f t="shared" si="5"/>
        <v>8000</v>
      </c>
      <c r="F286" s="69"/>
      <c r="G286" s="69"/>
      <c r="H286" s="69"/>
      <c r="I286" s="69">
        <v>1000</v>
      </c>
      <c r="J286" s="69"/>
      <c r="K286" s="69"/>
      <c r="L286" s="69"/>
      <c r="M286" s="69">
        <v>7000</v>
      </c>
      <c r="N286" s="73"/>
    </row>
    <row r="287" spans="1:14" s="38" customFormat="1" ht="12" customHeight="1">
      <c r="A287" s="264"/>
      <c r="B287" s="262"/>
      <c r="C287" s="82" t="s">
        <v>85</v>
      </c>
      <c r="D287" s="69">
        <v>7400</v>
      </c>
      <c r="E287" s="69">
        <f t="shared" si="5"/>
        <v>8000</v>
      </c>
      <c r="F287" s="69"/>
      <c r="G287" s="69"/>
      <c r="H287" s="69"/>
      <c r="I287" s="69">
        <v>1000</v>
      </c>
      <c r="J287" s="69"/>
      <c r="K287" s="69"/>
      <c r="L287" s="69"/>
      <c r="M287" s="69">
        <v>7000</v>
      </c>
      <c r="N287" s="73"/>
    </row>
    <row r="288" spans="1:14" s="38" customFormat="1" ht="12" customHeight="1">
      <c r="A288" s="264">
        <v>889943</v>
      </c>
      <c r="B288" s="262" t="s">
        <v>749</v>
      </c>
      <c r="C288" s="81" t="s">
        <v>491</v>
      </c>
      <c r="D288" s="69">
        <v>1600</v>
      </c>
      <c r="E288" s="69">
        <f t="shared" si="5"/>
        <v>1500</v>
      </c>
      <c r="F288" s="69"/>
      <c r="G288" s="69"/>
      <c r="H288" s="69"/>
      <c r="I288" s="69"/>
      <c r="J288" s="69"/>
      <c r="K288" s="69"/>
      <c r="L288" s="69"/>
      <c r="M288" s="69">
        <v>1500</v>
      </c>
      <c r="N288" s="73"/>
    </row>
    <row r="289" spans="1:14" s="38" customFormat="1" ht="12" customHeight="1">
      <c r="A289" s="264"/>
      <c r="B289" s="262"/>
      <c r="C289" s="82" t="s">
        <v>496</v>
      </c>
      <c r="D289" s="69">
        <v>1600</v>
      </c>
      <c r="E289" s="69">
        <f t="shared" si="5"/>
        <v>1600</v>
      </c>
      <c r="F289" s="69"/>
      <c r="G289" s="69"/>
      <c r="H289" s="69"/>
      <c r="I289" s="69"/>
      <c r="J289" s="69"/>
      <c r="K289" s="69"/>
      <c r="L289" s="69"/>
      <c r="M289" s="69">
        <v>1600</v>
      </c>
      <c r="N289" s="73"/>
    </row>
    <row r="290" spans="1:14" s="38" customFormat="1" ht="12" customHeight="1">
      <c r="A290" s="264"/>
      <c r="B290" s="262"/>
      <c r="C290" s="82" t="s">
        <v>85</v>
      </c>
      <c r="D290" s="69">
        <v>1600</v>
      </c>
      <c r="E290" s="69">
        <f t="shared" si="5"/>
        <v>1600</v>
      </c>
      <c r="F290" s="69"/>
      <c r="G290" s="69"/>
      <c r="H290" s="69"/>
      <c r="I290" s="69"/>
      <c r="J290" s="69"/>
      <c r="K290" s="69"/>
      <c r="L290" s="69"/>
      <c r="M290" s="69">
        <v>1600</v>
      </c>
      <c r="N290" s="73"/>
    </row>
    <row r="291" spans="1:14" s="38" customFormat="1" ht="12" customHeight="1">
      <c r="A291" s="264">
        <v>890216</v>
      </c>
      <c r="B291" s="262" t="s">
        <v>779</v>
      </c>
      <c r="C291" s="81" t="s">
        <v>491</v>
      </c>
      <c r="D291" s="69"/>
      <c r="E291" s="69">
        <f t="shared" si="5"/>
        <v>4400</v>
      </c>
      <c r="F291" s="75"/>
      <c r="G291" s="75"/>
      <c r="H291" s="75">
        <v>4400</v>
      </c>
      <c r="I291" s="75"/>
      <c r="J291" s="75"/>
      <c r="K291" s="75"/>
      <c r="L291" s="75"/>
      <c r="M291" s="75"/>
      <c r="N291" s="76"/>
    </row>
    <row r="292" spans="1:14" s="38" customFormat="1" ht="12" customHeight="1">
      <c r="A292" s="264"/>
      <c r="B292" s="262"/>
      <c r="C292" s="82" t="s">
        <v>496</v>
      </c>
      <c r="D292" s="69"/>
      <c r="E292" s="69">
        <f t="shared" si="5"/>
        <v>3600</v>
      </c>
      <c r="F292" s="75"/>
      <c r="G292" s="75"/>
      <c r="H292" s="75">
        <v>3600</v>
      </c>
      <c r="I292" s="75"/>
      <c r="J292" s="75"/>
      <c r="K292" s="75"/>
      <c r="L292" s="75"/>
      <c r="M292" s="75"/>
      <c r="N292" s="76"/>
    </row>
    <row r="293" spans="1:14" s="38" customFormat="1" ht="12" customHeight="1">
      <c r="A293" s="264"/>
      <c r="B293" s="262"/>
      <c r="C293" s="82" t="s">
        <v>85</v>
      </c>
      <c r="D293" s="69"/>
      <c r="E293" s="69">
        <f t="shared" si="5"/>
        <v>3600</v>
      </c>
      <c r="F293" s="75"/>
      <c r="G293" s="75"/>
      <c r="H293" s="75">
        <v>3600</v>
      </c>
      <c r="I293" s="75"/>
      <c r="J293" s="75"/>
      <c r="K293" s="75"/>
      <c r="L293" s="75"/>
      <c r="M293" s="75"/>
      <c r="N293" s="76"/>
    </row>
    <row r="294" spans="1:14" s="38" customFormat="1" ht="12" customHeight="1">
      <c r="A294" s="264">
        <v>890441</v>
      </c>
      <c r="B294" s="262" t="s">
        <v>759</v>
      </c>
      <c r="C294" s="81" t="s">
        <v>491</v>
      </c>
      <c r="D294" s="69">
        <v>74000</v>
      </c>
      <c r="E294" s="69">
        <f t="shared" si="5"/>
        <v>81740</v>
      </c>
      <c r="F294" s="75">
        <v>61740</v>
      </c>
      <c r="G294" s="75">
        <v>17000</v>
      </c>
      <c r="H294" s="75">
        <v>3000</v>
      </c>
      <c r="I294" s="75"/>
      <c r="J294" s="75"/>
      <c r="K294" s="75"/>
      <c r="L294" s="75"/>
      <c r="M294" s="75"/>
      <c r="N294" s="76"/>
    </row>
    <row r="295" spans="1:14" s="38" customFormat="1" ht="12" customHeight="1">
      <c r="A295" s="264"/>
      <c r="B295" s="262"/>
      <c r="C295" s="82" t="s">
        <v>496</v>
      </c>
      <c r="D295" s="69">
        <v>74000</v>
      </c>
      <c r="E295" s="69">
        <f t="shared" si="5"/>
        <v>81740</v>
      </c>
      <c r="F295" s="75">
        <v>61740</v>
      </c>
      <c r="G295" s="75">
        <v>17000</v>
      </c>
      <c r="H295" s="75">
        <v>3000</v>
      </c>
      <c r="I295" s="75"/>
      <c r="J295" s="75"/>
      <c r="K295" s="75"/>
      <c r="L295" s="75"/>
      <c r="M295" s="75"/>
      <c r="N295" s="76"/>
    </row>
    <row r="296" spans="1:14" s="38" customFormat="1" ht="12" customHeight="1">
      <c r="A296" s="264"/>
      <c r="B296" s="262"/>
      <c r="C296" s="82" t="s">
        <v>85</v>
      </c>
      <c r="D296" s="69">
        <v>92000</v>
      </c>
      <c r="E296" s="69">
        <f t="shared" si="5"/>
        <v>99740</v>
      </c>
      <c r="F296" s="75">
        <v>84740</v>
      </c>
      <c r="G296" s="75">
        <v>12000</v>
      </c>
      <c r="H296" s="75">
        <v>3000</v>
      </c>
      <c r="I296" s="75"/>
      <c r="J296" s="75"/>
      <c r="K296" s="75"/>
      <c r="L296" s="75"/>
      <c r="M296" s="75"/>
      <c r="N296" s="76"/>
    </row>
    <row r="297" spans="1:14" s="38" customFormat="1" ht="12" customHeight="1">
      <c r="A297" s="264">
        <v>890442</v>
      </c>
      <c r="B297" s="262" t="s">
        <v>760</v>
      </c>
      <c r="C297" s="81" t="s">
        <v>491</v>
      </c>
      <c r="D297" s="69">
        <v>8000</v>
      </c>
      <c r="E297" s="69">
        <f t="shared" si="5"/>
        <v>17830</v>
      </c>
      <c r="F297" s="75">
        <v>13230</v>
      </c>
      <c r="G297" s="75">
        <v>3600</v>
      </c>
      <c r="H297" s="75">
        <v>1000</v>
      </c>
      <c r="I297" s="75"/>
      <c r="J297" s="75"/>
      <c r="K297" s="75"/>
      <c r="L297" s="75"/>
      <c r="M297" s="256"/>
      <c r="N297" s="76"/>
    </row>
    <row r="298" spans="1:14" s="38" customFormat="1" ht="12" customHeight="1">
      <c r="A298" s="264"/>
      <c r="B298" s="262"/>
      <c r="C298" s="82" t="s">
        <v>496</v>
      </c>
      <c r="D298" s="69">
        <v>8000</v>
      </c>
      <c r="E298" s="69">
        <f t="shared" si="5"/>
        <v>17830</v>
      </c>
      <c r="F298" s="75">
        <v>13230</v>
      </c>
      <c r="G298" s="75">
        <v>3600</v>
      </c>
      <c r="H298" s="75">
        <v>1000</v>
      </c>
      <c r="I298" s="75"/>
      <c r="J298" s="75"/>
      <c r="K298" s="75"/>
      <c r="L298" s="75"/>
      <c r="M298" s="256"/>
      <c r="N298" s="76"/>
    </row>
    <row r="299" spans="1:14" s="38" customFormat="1" ht="12" customHeight="1">
      <c r="A299" s="264"/>
      <c r="B299" s="262"/>
      <c r="C299" s="82" t="s">
        <v>85</v>
      </c>
      <c r="D299" s="69">
        <v>8000</v>
      </c>
      <c r="E299" s="69">
        <f t="shared" si="5"/>
        <v>17830</v>
      </c>
      <c r="F299" s="75">
        <v>13230</v>
      </c>
      <c r="G299" s="75">
        <v>3600</v>
      </c>
      <c r="H299" s="75">
        <v>1000</v>
      </c>
      <c r="I299" s="75"/>
      <c r="J299" s="75"/>
      <c r="K299" s="75"/>
      <c r="L299" s="75"/>
      <c r="M299" s="256"/>
      <c r="N299" s="76"/>
    </row>
    <row r="300" spans="1:14" s="38" customFormat="1" ht="12" customHeight="1">
      <c r="A300" s="264">
        <v>910501</v>
      </c>
      <c r="B300" s="262" t="s">
        <v>781</v>
      </c>
      <c r="C300" s="81" t="s">
        <v>491</v>
      </c>
      <c r="D300" s="69"/>
      <c r="E300" s="69">
        <f t="shared" si="5"/>
        <v>106600</v>
      </c>
      <c r="F300" s="75"/>
      <c r="G300" s="75"/>
      <c r="H300" s="75">
        <v>4000</v>
      </c>
      <c r="I300" s="75">
        <v>102600</v>
      </c>
      <c r="J300" s="75"/>
      <c r="K300" s="75"/>
      <c r="L300" s="75"/>
      <c r="M300" s="75"/>
      <c r="N300" s="76"/>
    </row>
    <row r="301" spans="1:14" s="38" customFormat="1" ht="12" customHeight="1">
      <c r="A301" s="264"/>
      <c r="B301" s="262"/>
      <c r="C301" s="82" t="s">
        <v>496</v>
      </c>
      <c r="D301" s="69">
        <v>2000</v>
      </c>
      <c r="E301" s="69">
        <f t="shared" si="5"/>
        <v>128041</v>
      </c>
      <c r="F301" s="75">
        <v>30</v>
      </c>
      <c r="G301" s="75">
        <v>7</v>
      </c>
      <c r="H301" s="75">
        <v>4724</v>
      </c>
      <c r="I301" s="75">
        <v>120080</v>
      </c>
      <c r="J301" s="75"/>
      <c r="K301" s="75"/>
      <c r="L301" s="75">
        <v>1200</v>
      </c>
      <c r="M301" s="75">
        <v>2000</v>
      </c>
      <c r="N301" s="76"/>
    </row>
    <row r="302" spans="1:14" s="38" customFormat="1" ht="12" customHeight="1">
      <c r="A302" s="264"/>
      <c r="B302" s="262"/>
      <c r="C302" s="82" t="s">
        <v>85</v>
      </c>
      <c r="D302" s="69">
        <v>2000</v>
      </c>
      <c r="E302" s="69">
        <f t="shared" si="5"/>
        <v>128041</v>
      </c>
      <c r="F302" s="75">
        <v>30</v>
      </c>
      <c r="G302" s="75">
        <v>7</v>
      </c>
      <c r="H302" s="75">
        <v>4724</v>
      </c>
      <c r="I302" s="75">
        <v>120080</v>
      </c>
      <c r="J302" s="75"/>
      <c r="K302" s="75"/>
      <c r="L302" s="75">
        <v>1200</v>
      </c>
      <c r="M302" s="75">
        <v>2000</v>
      </c>
      <c r="N302" s="76"/>
    </row>
    <row r="303" spans="1:14" s="38" customFormat="1" ht="12" customHeight="1">
      <c r="A303" s="264">
        <v>931202</v>
      </c>
      <c r="B303" s="262" t="s">
        <v>765</v>
      </c>
      <c r="C303" s="81" t="s">
        <v>491</v>
      </c>
      <c r="D303" s="69"/>
      <c r="E303" s="69">
        <f t="shared" si="5"/>
        <v>800</v>
      </c>
      <c r="F303" s="75"/>
      <c r="G303" s="75"/>
      <c r="H303" s="75"/>
      <c r="I303" s="75">
        <v>800</v>
      </c>
      <c r="J303" s="75"/>
      <c r="K303" s="75"/>
      <c r="L303" s="75"/>
      <c r="M303" s="256"/>
      <c r="N303" s="76"/>
    </row>
    <row r="304" spans="1:14" s="38" customFormat="1" ht="12" customHeight="1">
      <c r="A304" s="264"/>
      <c r="B304" s="262"/>
      <c r="C304" s="82" t="s">
        <v>496</v>
      </c>
      <c r="D304" s="69"/>
      <c r="E304" s="69">
        <f t="shared" si="5"/>
        <v>800</v>
      </c>
      <c r="F304" s="75"/>
      <c r="G304" s="75"/>
      <c r="H304" s="75"/>
      <c r="I304" s="75">
        <v>800</v>
      </c>
      <c r="J304" s="75"/>
      <c r="K304" s="75"/>
      <c r="L304" s="75"/>
      <c r="M304" s="256"/>
      <c r="N304" s="76"/>
    </row>
    <row r="305" spans="1:14" s="38" customFormat="1" ht="12" customHeight="1">
      <c r="A305" s="263"/>
      <c r="B305" s="240"/>
      <c r="C305" s="82" t="s">
        <v>85</v>
      </c>
      <c r="D305" s="70"/>
      <c r="E305" s="69">
        <f t="shared" si="5"/>
        <v>800</v>
      </c>
      <c r="F305" s="258"/>
      <c r="G305" s="258"/>
      <c r="H305" s="258"/>
      <c r="I305" s="258">
        <v>800</v>
      </c>
      <c r="J305" s="258"/>
      <c r="K305" s="258"/>
      <c r="L305" s="258"/>
      <c r="M305" s="401"/>
      <c r="N305" s="257"/>
    </row>
    <row r="306" spans="1:14" s="38" customFormat="1" ht="12" customHeight="1">
      <c r="A306" s="263">
        <v>931903</v>
      </c>
      <c r="B306" s="240" t="s">
        <v>764</v>
      </c>
      <c r="C306" s="82" t="s">
        <v>491</v>
      </c>
      <c r="D306" s="70"/>
      <c r="E306" s="70">
        <f t="shared" si="5"/>
        <v>16800</v>
      </c>
      <c r="F306" s="258"/>
      <c r="G306" s="258"/>
      <c r="H306" s="258">
        <v>2000</v>
      </c>
      <c r="I306" s="258">
        <v>14800</v>
      </c>
      <c r="J306" s="258"/>
      <c r="K306" s="258"/>
      <c r="L306" s="258"/>
      <c r="M306" s="401"/>
      <c r="N306" s="257"/>
    </row>
    <row r="307" spans="1:14" s="38" customFormat="1" ht="12" customHeight="1">
      <c r="A307" s="264"/>
      <c r="B307" s="262"/>
      <c r="C307" s="82" t="s">
        <v>496</v>
      </c>
      <c r="D307" s="69">
        <v>1000</v>
      </c>
      <c r="E307" s="69">
        <f t="shared" si="5"/>
        <v>27650</v>
      </c>
      <c r="F307" s="75"/>
      <c r="G307" s="75"/>
      <c r="H307" s="75">
        <v>3450</v>
      </c>
      <c r="I307" s="75">
        <v>24200</v>
      </c>
      <c r="J307" s="75"/>
      <c r="K307" s="75"/>
      <c r="L307" s="75"/>
      <c r="M307" s="256"/>
      <c r="N307" s="76"/>
    </row>
    <row r="308" spans="1:14" s="38" customFormat="1" ht="12" customHeight="1">
      <c r="A308" s="264"/>
      <c r="B308" s="262"/>
      <c r="C308" s="82" t="s">
        <v>85</v>
      </c>
      <c r="D308" s="69">
        <v>1000</v>
      </c>
      <c r="E308" s="69">
        <f t="shared" si="5"/>
        <v>31350</v>
      </c>
      <c r="F308" s="75"/>
      <c r="G308" s="75"/>
      <c r="H308" s="75">
        <v>7150</v>
      </c>
      <c r="I308" s="75">
        <v>24200</v>
      </c>
      <c r="J308" s="75"/>
      <c r="K308" s="75"/>
      <c r="L308" s="75"/>
      <c r="M308" s="256"/>
      <c r="N308" s="76"/>
    </row>
    <row r="309" spans="1:14" s="38" customFormat="1" ht="12" customHeight="1">
      <c r="A309" s="264">
        <v>932911</v>
      </c>
      <c r="B309" s="262" t="s">
        <v>743</v>
      </c>
      <c r="C309" s="81" t="s">
        <v>491</v>
      </c>
      <c r="D309" s="69"/>
      <c r="E309" s="69">
        <f t="shared" si="5"/>
        <v>850</v>
      </c>
      <c r="F309" s="69"/>
      <c r="G309" s="69"/>
      <c r="H309" s="69">
        <v>850</v>
      </c>
      <c r="I309" s="69"/>
      <c r="J309" s="69"/>
      <c r="K309" s="69"/>
      <c r="L309" s="69"/>
      <c r="M309" s="69"/>
      <c r="N309" s="73"/>
    </row>
    <row r="310" spans="1:14" s="38" customFormat="1" ht="12" customHeight="1">
      <c r="A310" s="264"/>
      <c r="B310" s="262"/>
      <c r="C310" s="82" t="s">
        <v>496</v>
      </c>
      <c r="D310" s="69">
        <v>4600</v>
      </c>
      <c r="E310" s="69">
        <f t="shared" si="5"/>
        <v>128437</v>
      </c>
      <c r="F310" s="69"/>
      <c r="G310" s="69"/>
      <c r="H310" s="69">
        <v>850</v>
      </c>
      <c r="I310" s="69"/>
      <c r="J310" s="69"/>
      <c r="K310" s="69"/>
      <c r="L310" s="69">
        <v>100000</v>
      </c>
      <c r="M310" s="69">
        <v>27587</v>
      </c>
      <c r="N310" s="73"/>
    </row>
    <row r="311" spans="1:14" s="38" customFormat="1" ht="12" customHeight="1">
      <c r="A311" s="264"/>
      <c r="B311" s="262"/>
      <c r="C311" s="82" t="s">
        <v>85</v>
      </c>
      <c r="D311" s="69">
        <v>4600</v>
      </c>
      <c r="E311" s="69">
        <f t="shared" si="5"/>
        <v>133586</v>
      </c>
      <c r="F311" s="69"/>
      <c r="G311" s="69"/>
      <c r="H311" s="69">
        <v>850</v>
      </c>
      <c r="I311" s="69"/>
      <c r="J311" s="69"/>
      <c r="K311" s="69">
        <v>5000</v>
      </c>
      <c r="L311" s="69">
        <v>100149</v>
      </c>
      <c r="M311" s="69">
        <v>27587</v>
      </c>
      <c r="N311" s="73"/>
    </row>
    <row r="312" spans="1:14" s="38" customFormat="1" ht="12" customHeight="1">
      <c r="A312" s="264">
        <v>949900</v>
      </c>
      <c r="B312" s="262" t="s">
        <v>734</v>
      </c>
      <c r="C312" s="81" t="s">
        <v>491</v>
      </c>
      <c r="D312" s="69">
        <v>17100</v>
      </c>
      <c r="E312" s="69">
        <f t="shared" si="5"/>
        <v>33000</v>
      </c>
      <c r="F312" s="69"/>
      <c r="G312" s="69"/>
      <c r="H312" s="69">
        <v>18000</v>
      </c>
      <c r="I312" s="69">
        <v>15000</v>
      </c>
      <c r="J312" s="69"/>
      <c r="K312" s="69"/>
      <c r="L312" s="69"/>
      <c r="M312" s="69"/>
      <c r="N312" s="73"/>
    </row>
    <row r="313" spans="1:14" s="38" customFormat="1" ht="12" customHeight="1">
      <c r="A313" s="264"/>
      <c r="B313" s="262"/>
      <c r="C313" s="82" t="s">
        <v>496</v>
      </c>
      <c r="D313" s="69">
        <v>17100</v>
      </c>
      <c r="E313" s="69">
        <f t="shared" si="5"/>
        <v>27810</v>
      </c>
      <c r="F313" s="69"/>
      <c r="G313" s="69"/>
      <c r="H313" s="69">
        <v>18000</v>
      </c>
      <c r="I313" s="69">
        <v>9810</v>
      </c>
      <c r="J313" s="69"/>
      <c r="K313" s="69"/>
      <c r="L313" s="69"/>
      <c r="M313" s="69"/>
      <c r="N313" s="73"/>
    </row>
    <row r="314" spans="1:14" s="38" customFormat="1" ht="12" customHeight="1" thickBot="1">
      <c r="A314" s="269"/>
      <c r="B314" s="270"/>
      <c r="C314" s="233" t="s">
        <v>85</v>
      </c>
      <c r="D314" s="93">
        <v>17100</v>
      </c>
      <c r="E314" s="93">
        <f t="shared" si="5"/>
        <v>27810</v>
      </c>
      <c r="F314" s="93"/>
      <c r="G314" s="93"/>
      <c r="H314" s="93">
        <v>18000</v>
      </c>
      <c r="I314" s="93">
        <v>9810</v>
      </c>
      <c r="J314" s="93"/>
      <c r="K314" s="93"/>
      <c r="L314" s="93"/>
      <c r="M314" s="93"/>
      <c r="N314" s="406"/>
    </row>
    <row r="315" spans="1:14" s="38" customFormat="1" ht="12" customHeight="1" thickTop="1">
      <c r="A315" s="686" t="s">
        <v>553</v>
      </c>
      <c r="B315" s="687"/>
      <c r="C315" s="687"/>
      <c r="D315" s="692" t="s">
        <v>458</v>
      </c>
      <c r="E315" s="695" t="s">
        <v>554</v>
      </c>
      <c r="F315" s="68" t="s">
        <v>555</v>
      </c>
      <c r="G315" s="68"/>
      <c r="H315" s="68"/>
      <c r="I315" s="266"/>
      <c r="J315" s="266"/>
      <c r="K315" s="68" t="s">
        <v>489</v>
      </c>
      <c r="L315" s="68"/>
      <c r="M315" s="698" t="s">
        <v>633</v>
      </c>
      <c r="N315" s="679" t="s">
        <v>534</v>
      </c>
    </row>
    <row r="316" spans="1:14" s="38" customFormat="1" ht="12" customHeight="1">
      <c r="A316" s="688"/>
      <c r="B316" s="689"/>
      <c r="C316" s="689"/>
      <c r="D316" s="693"/>
      <c r="E316" s="696"/>
      <c r="F316" s="682" t="s">
        <v>627</v>
      </c>
      <c r="G316" s="682" t="s">
        <v>628</v>
      </c>
      <c r="H316" s="682" t="s">
        <v>629</v>
      </c>
      <c r="I316" s="682" t="s">
        <v>630</v>
      </c>
      <c r="J316" s="682" t="s">
        <v>632</v>
      </c>
      <c r="K316" s="684" t="s">
        <v>549</v>
      </c>
      <c r="L316" s="684" t="s">
        <v>530</v>
      </c>
      <c r="M316" s="699"/>
      <c r="N316" s="680"/>
    </row>
    <row r="317" spans="1:14" s="38" customFormat="1" ht="39.75" customHeight="1" thickBot="1">
      <c r="A317" s="690"/>
      <c r="B317" s="691"/>
      <c r="C317" s="691"/>
      <c r="D317" s="694"/>
      <c r="E317" s="697"/>
      <c r="F317" s="683"/>
      <c r="G317" s="683"/>
      <c r="H317" s="683"/>
      <c r="I317" s="683"/>
      <c r="J317" s="683"/>
      <c r="K317" s="685"/>
      <c r="L317" s="685"/>
      <c r="M317" s="683"/>
      <c r="N317" s="681"/>
    </row>
    <row r="318" spans="1:14" s="38" customFormat="1" ht="12" customHeight="1" thickTop="1">
      <c r="A318" s="264">
        <v>960302</v>
      </c>
      <c r="B318" s="262" t="s">
        <v>744</v>
      </c>
      <c r="C318" s="81" t="s">
        <v>491</v>
      </c>
      <c r="D318" s="69">
        <v>6400</v>
      </c>
      <c r="E318" s="69">
        <f t="shared" si="5"/>
        <v>12900</v>
      </c>
      <c r="F318" s="69"/>
      <c r="G318" s="69"/>
      <c r="H318" s="69">
        <v>11900</v>
      </c>
      <c r="I318" s="69"/>
      <c r="J318" s="69"/>
      <c r="K318" s="69">
        <v>1000</v>
      </c>
      <c r="L318" s="69"/>
      <c r="M318" s="69"/>
      <c r="N318" s="73"/>
    </row>
    <row r="319" spans="1:14" s="38" customFormat="1" ht="12" customHeight="1">
      <c r="A319" s="314"/>
      <c r="B319" s="315"/>
      <c r="C319" s="485" t="s">
        <v>496</v>
      </c>
      <c r="D319" s="316">
        <v>6400</v>
      </c>
      <c r="E319" s="316">
        <f t="shared" si="5"/>
        <v>12900</v>
      </c>
      <c r="F319" s="316"/>
      <c r="G319" s="316"/>
      <c r="H319" s="316">
        <v>11900</v>
      </c>
      <c r="I319" s="316"/>
      <c r="J319" s="316"/>
      <c r="K319" s="316">
        <v>1000</v>
      </c>
      <c r="L319" s="316"/>
      <c r="M319" s="316"/>
      <c r="N319" s="486"/>
    </row>
    <row r="320" spans="1:14" s="38" customFormat="1" ht="12" customHeight="1">
      <c r="A320" s="264"/>
      <c r="B320" s="262"/>
      <c r="C320" s="81" t="s">
        <v>85</v>
      </c>
      <c r="D320" s="69">
        <v>6400</v>
      </c>
      <c r="E320" s="69">
        <f>SUM(F320:N320)</f>
        <v>12900</v>
      </c>
      <c r="F320" s="69"/>
      <c r="G320" s="69"/>
      <c r="H320" s="69">
        <v>11900</v>
      </c>
      <c r="I320" s="69"/>
      <c r="J320" s="69"/>
      <c r="K320" s="69">
        <v>1000</v>
      </c>
      <c r="L320" s="69"/>
      <c r="M320" s="69"/>
      <c r="N320" s="73"/>
    </row>
    <row r="321" spans="1:14" s="38" customFormat="1" ht="12" customHeight="1">
      <c r="A321" s="263">
        <v>960900</v>
      </c>
      <c r="B321" s="240" t="s">
        <v>763</v>
      </c>
      <c r="C321" s="82" t="s">
        <v>491</v>
      </c>
      <c r="D321" s="70">
        <v>3000</v>
      </c>
      <c r="E321" s="70">
        <f t="shared" si="5"/>
        <v>3000</v>
      </c>
      <c r="F321" s="258">
        <v>1600</v>
      </c>
      <c r="G321" s="258">
        <v>425</v>
      </c>
      <c r="H321" s="258">
        <v>975</v>
      </c>
      <c r="I321" s="258"/>
      <c r="J321" s="258"/>
      <c r="K321" s="258"/>
      <c r="L321" s="258"/>
      <c r="M321" s="401"/>
      <c r="N321" s="257"/>
    </row>
    <row r="322" spans="1:14" s="38" customFormat="1" ht="12" customHeight="1">
      <c r="A322" s="264"/>
      <c r="B322" s="262"/>
      <c r="C322" s="82" t="s">
        <v>496</v>
      </c>
      <c r="D322" s="69">
        <v>3000</v>
      </c>
      <c r="E322" s="69">
        <f>SUM(F322:N322)</f>
        <v>3000</v>
      </c>
      <c r="F322" s="75">
        <v>1600</v>
      </c>
      <c r="G322" s="75">
        <v>425</v>
      </c>
      <c r="H322" s="75">
        <v>975</v>
      </c>
      <c r="I322" s="75"/>
      <c r="J322" s="75"/>
      <c r="K322" s="75"/>
      <c r="L322" s="75"/>
      <c r="M322" s="256"/>
      <c r="N322" s="76"/>
    </row>
    <row r="323" spans="1:14" s="38" customFormat="1" ht="12" customHeight="1">
      <c r="A323" s="264"/>
      <c r="B323" s="262"/>
      <c r="C323" s="82" t="s">
        <v>85</v>
      </c>
      <c r="D323" s="69">
        <v>3000</v>
      </c>
      <c r="E323" s="69">
        <f>SUM(F323:N323)</f>
        <v>3000</v>
      </c>
      <c r="F323" s="75">
        <v>1600</v>
      </c>
      <c r="G323" s="75">
        <v>425</v>
      </c>
      <c r="H323" s="75">
        <v>975</v>
      </c>
      <c r="I323" s="75"/>
      <c r="J323" s="75"/>
      <c r="K323" s="75"/>
      <c r="L323" s="75"/>
      <c r="M323" s="256"/>
      <c r="N323" s="76"/>
    </row>
    <row r="324" spans="1:14" s="38" customFormat="1" ht="12" customHeight="1">
      <c r="A324" s="700" t="s">
        <v>453</v>
      </c>
      <c r="B324" s="706"/>
      <c r="C324" s="83" t="s">
        <v>491</v>
      </c>
      <c r="D324" s="77">
        <f>SUM(D9+D12+D15+D18+D21+D24+D27+D30+D33+D36+D39+D42+D45+D48+D51+D54+D57+D60+D66+D69+D72+D75+D78+D81+D84+D87+D90+D93+D96+D99+D102+D105+D108+D111+D114+D117+D120+D123+D129+D132+D135+D138+D141+D144+D147+D150+D153+D156+D159+D162+D165+D168+D171+D174+D177+D180+D183+D186+D192+D195+D198+D201+D204+D207+D210+D213+D216+D219+D222+D225+D228+D231+D234+D237+D240+D243+D246+D249+D255+D258+D261+D264+D267+D270+D273+D276+D279+D282+D285+D288+D291+D294+D297+D300+D303+D306+D309+D312+D318+D321)</f>
        <v>8408764</v>
      </c>
      <c r="E324" s="77">
        <f aca="true" t="shared" si="6" ref="E324:N324">SUM(E9+E12+E15+E18+E21+E24+E27+E30+E33+E36+E39+E42+E45+E48+E51+E54+E57+E60+E66+E69+E72+E75+E78+E81+E84+E87+E90+E93+E96+E99+E102+E105+E108+E111+E114+E117+E120+E123+E129+E132+E135+E138+E141+E144+E147+E150+E153+E156+E159+E162+E165+E168+E171+E174+E177+E180+E183+E186+E192+E195+E198+E201+E204+E207+E210+E213+E216+E219+E222+E225+E228+E231+E234+E237+E240+E243+E246+E249+E255+E258+E261+E264+E267+E270+E273+E276+E279+E282+E285+E288+E291+E294+E297+E300+E303+E306+E309+E312+E318+E321)</f>
        <v>6996028</v>
      </c>
      <c r="F324" s="77">
        <f t="shared" si="6"/>
        <v>488473</v>
      </c>
      <c r="G324" s="77">
        <f t="shared" si="6"/>
        <v>134643</v>
      </c>
      <c r="H324" s="77">
        <f t="shared" si="6"/>
        <v>809639</v>
      </c>
      <c r="I324" s="77">
        <f t="shared" si="6"/>
        <v>629037</v>
      </c>
      <c r="J324" s="77">
        <f t="shared" si="6"/>
        <v>223696</v>
      </c>
      <c r="K324" s="77">
        <f t="shared" si="6"/>
        <v>195168</v>
      </c>
      <c r="L324" s="77">
        <f t="shared" si="6"/>
        <v>4310906</v>
      </c>
      <c r="M324" s="77">
        <f t="shared" si="6"/>
        <v>22073</v>
      </c>
      <c r="N324" s="78">
        <f t="shared" si="6"/>
        <v>182393</v>
      </c>
    </row>
    <row r="325" spans="1:14" s="38" customFormat="1" ht="12" customHeight="1">
      <c r="A325" s="397"/>
      <c r="B325" s="403"/>
      <c r="C325" s="336" t="s">
        <v>496</v>
      </c>
      <c r="D325" s="77">
        <f aca="true" t="shared" si="7" ref="D325:N326">SUM(D10+D13+D16+D19+D22+D25+D28+D31+D34+D37+D40+D43+D46+D49+D52+D55+D58+D61+D67+D70+D73+D76+D79+D82+D85+D88+D91+D94+D97+D100+D103+D106+D109+D112+D115+D118+D121+D124+D130+D133+D136+D139+D142+D145+D148+D151+D154+D157+D160+D163+D166+D169+D172+D175+D178+D181+D184+D187+D193+D196+D199+D202+D205+D208+D211+D214+D217+D220+D223+D226+D229+D232+D235+D238+D241+D244+D247+D250+D256+D259+D262+D265+D268+D271+D274+D277+D280+D283+D286+D289+D292+D295+D298+D301+D304+D307+D310+D313+D319+D322)</f>
        <v>8608504</v>
      </c>
      <c r="E325" s="77">
        <f t="shared" si="7"/>
        <v>7083472</v>
      </c>
      <c r="F325" s="77">
        <f t="shared" si="7"/>
        <v>515117</v>
      </c>
      <c r="G325" s="77">
        <f t="shared" si="7"/>
        <v>141796</v>
      </c>
      <c r="H325" s="77">
        <f t="shared" si="7"/>
        <v>1005736</v>
      </c>
      <c r="I325" s="77">
        <f t="shared" si="7"/>
        <v>736516</v>
      </c>
      <c r="J325" s="77">
        <f t="shared" si="7"/>
        <v>235126</v>
      </c>
      <c r="K325" s="77">
        <f t="shared" si="7"/>
        <v>213836</v>
      </c>
      <c r="L325" s="77">
        <f t="shared" si="7"/>
        <v>4148107</v>
      </c>
      <c r="M325" s="77">
        <f t="shared" si="7"/>
        <v>73926</v>
      </c>
      <c r="N325" s="78">
        <f t="shared" si="7"/>
        <v>13312</v>
      </c>
    </row>
    <row r="326" spans="1:14" s="38" customFormat="1" ht="12" customHeight="1">
      <c r="A326" s="397"/>
      <c r="B326" s="403"/>
      <c r="C326" s="336" t="s">
        <v>85</v>
      </c>
      <c r="D326" s="77">
        <f t="shared" si="7"/>
        <v>8597909</v>
      </c>
      <c r="E326" s="77">
        <f t="shared" si="7"/>
        <v>7075070</v>
      </c>
      <c r="F326" s="77">
        <f t="shared" si="7"/>
        <v>540194</v>
      </c>
      <c r="G326" s="77">
        <f t="shared" si="7"/>
        <v>137301</v>
      </c>
      <c r="H326" s="77">
        <f t="shared" si="7"/>
        <v>927923</v>
      </c>
      <c r="I326" s="77">
        <f t="shared" si="7"/>
        <v>740135</v>
      </c>
      <c r="J326" s="77">
        <f t="shared" si="7"/>
        <v>230376</v>
      </c>
      <c r="K326" s="77">
        <f t="shared" si="7"/>
        <v>187646</v>
      </c>
      <c r="L326" s="77">
        <f t="shared" si="7"/>
        <v>4148442</v>
      </c>
      <c r="M326" s="77">
        <f t="shared" si="7"/>
        <v>78359</v>
      </c>
      <c r="N326" s="78">
        <f t="shared" si="7"/>
        <v>84694</v>
      </c>
    </row>
    <row r="327" spans="1:14" s="40" customFormat="1" ht="12" customHeight="1">
      <c r="A327" s="707" t="s">
        <v>806</v>
      </c>
      <c r="B327" s="708"/>
      <c r="C327" s="336" t="s">
        <v>491</v>
      </c>
      <c r="D327" s="371">
        <v>3000</v>
      </c>
      <c r="E327" s="371">
        <f>SUM(F327:N327)</f>
        <v>22478</v>
      </c>
      <c r="F327" s="372">
        <v>11282</v>
      </c>
      <c r="G327" s="372">
        <v>2691</v>
      </c>
      <c r="H327" s="372">
        <v>7430</v>
      </c>
      <c r="I327" s="372">
        <v>700</v>
      </c>
      <c r="J327" s="372"/>
      <c r="K327" s="372"/>
      <c r="L327" s="372">
        <v>375</v>
      </c>
      <c r="M327" s="372"/>
      <c r="N327" s="373"/>
    </row>
    <row r="328" spans="1:14" s="40" customFormat="1" ht="12" customHeight="1">
      <c r="A328" s="84"/>
      <c r="B328" s="429"/>
      <c r="C328" s="336" t="s">
        <v>496</v>
      </c>
      <c r="D328" s="77">
        <v>3200</v>
      </c>
      <c r="E328" s="77">
        <f>SUM(F328:N328)</f>
        <v>24535</v>
      </c>
      <c r="F328" s="259">
        <v>12248</v>
      </c>
      <c r="G328" s="259">
        <v>2922</v>
      </c>
      <c r="H328" s="259">
        <v>8290</v>
      </c>
      <c r="I328" s="431">
        <v>700</v>
      </c>
      <c r="J328" s="430"/>
      <c r="K328" s="430"/>
      <c r="L328" s="431">
        <v>375</v>
      </c>
      <c r="M328" s="259"/>
      <c r="N328" s="260"/>
    </row>
    <row r="329" spans="1:14" s="40" customFormat="1" ht="12" customHeight="1">
      <c r="A329" s="84"/>
      <c r="B329" s="429"/>
      <c r="C329" s="336" t="s">
        <v>85</v>
      </c>
      <c r="D329" s="77">
        <v>3200</v>
      </c>
      <c r="E329" s="77">
        <f>SUM(F329:N329)</f>
        <v>24535</v>
      </c>
      <c r="F329" s="259">
        <v>12248</v>
      </c>
      <c r="G329" s="259">
        <v>2922</v>
      </c>
      <c r="H329" s="259">
        <v>8290</v>
      </c>
      <c r="I329" s="431">
        <v>700</v>
      </c>
      <c r="J329" s="430"/>
      <c r="K329" s="430"/>
      <c r="L329" s="431">
        <v>375</v>
      </c>
      <c r="M329" s="259"/>
      <c r="N329" s="260"/>
    </row>
    <row r="330" spans="1:14" s="40" customFormat="1" ht="12" customHeight="1">
      <c r="A330" s="704" t="s">
        <v>557</v>
      </c>
      <c r="B330" s="705"/>
      <c r="C330" s="81"/>
      <c r="D330" s="77"/>
      <c r="E330" s="69"/>
      <c r="F330" s="75"/>
      <c r="G330" s="75"/>
      <c r="H330" s="75"/>
      <c r="I330" s="75"/>
      <c r="J330" s="75"/>
      <c r="K330" s="75"/>
      <c r="L330" s="75"/>
      <c r="M330" s="75"/>
      <c r="N330" s="76"/>
    </row>
    <row r="331" spans="1:14" s="40" customFormat="1" ht="12" customHeight="1">
      <c r="A331" s="74" t="s">
        <v>807</v>
      </c>
      <c r="B331" s="262" t="s">
        <v>454</v>
      </c>
      <c r="C331" s="81" t="s">
        <v>491</v>
      </c>
      <c r="D331" s="69">
        <v>566</v>
      </c>
      <c r="E331" s="69">
        <f aca="true" t="shared" si="8" ref="E331:E339">SUM(F331:N331)</f>
        <v>566</v>
      </c>
      <c r="F331" s="75"/>
      <c r="G331" s="75"/>
      <c r="H331" s="75">
        <v>566</v>
      </c>
      <c r="I331" s="75"/>
      <c r="J331" s="75"/>
      <c r="K331" s="75"/>
      <c r="L331" s="75"/>
      <c r="M331" s="75"/>
      <c r="N331" s="76"/>
    </row>
    <row r="332" spans="1:14" s="40" customFormat="1" ht="12" customHeight="1">
      <c r="A332" s="74"/>
      <c r="B332" s="262"/>
      <c r="C332" s="82" t="s">
        <v>496</v>
      </c>
      <c r="D332" s="69">
        <v>1183</v>
      </c>
      <c r="E332" s="69">
        <f t="shared" si="8"/>
        <v>1183</v>
      </c>
      <c r="F332" s="75"/>
      <c r="G332" s="75"/>
      <c r="H332" s="75">
        <v>1183</v>
      </c>
      <c r="I332" s="75"/>
      <c r="J332" s="75"/>
      <c r="K332" s="75"/>
      <c r="L332" s="75"/>
      <c r="M332" s="75"/>
      <c r="N332" s="76"/>
    </row>
    <row r="333" spans="1:14" s="40" customFormat="1" ht="12" customHeight="1">
      <c r="A333" s="74"/>
      <c r="B333" s="262"/>
      <c r="C333" s="82" t="s">
        <v>85</v>
      </c>
      <c r="D333" s="69">
        <v>1183</v>
      </c>
      <c r="E333" s="69">
        <f t="shared" si="8"/>
        <v>1183</v>
      </c>
      <c r="F333" s="75"/>
      <c r="G333" s="75"/>
      <c r="H333" s="75">
        <v>1183</v>
      </c>
      <c r="I333" s="75"/>
      <c r="J333" s="75"/>
      <c r="K333" s="75"/>
      <c r="L333" s="75"/>
      <c r="M333" s="75"/>
      <c r="N333" s="76"/>
    </row>
    <row r="334" spans="1:14" s="38" customFormat="1" ht="12" customHeight="1">
      <c r="A334" s="74" t="s">
        <v>807</v>
      </c>
      <c r="B334" s="262" t="s">
        <v>455</v>
      </c>
      <c r="C334" s="81" t="s">
        <v>491</v>
      </c>
      <c r="D334" s="69">
        <v>566</v>
      </c>
      <c r="E334" s="69">
        <f t="shared" si="8"/>
        <v>566</v>
      </c>
      <c r="F334" s="75"/>
      <c r="G334" s="75"/>
      <c r="H334" s="75">
        <v>566</v>
      </c>
      <c r="I334" s="75"/>
      <c r="J334" s="75"/>
      <c r="K334" s="75"/>
      <c r="L334" s="75"/>
      <c r="M334" s="75"/>
      <c r="N334" s="76"/>
    </row>
    <row r="335" spans="1:14" s="38" customFormat="1" ht="12" customHeight="1">
      <c r="A335" s="74"/>
      <c r="B335" s="262"/>
      <c r="C335" s="82" t="s">
        <v>496</v>
      </c>
      <c r="D335" s="69">
        <v>1310</v>
      </c>
      <c r="E335" s="69">
        <f t="shared" si="8"/>
        <v>1310</v>
      </c>
      <c r="F335" s="75"/>
      <c r="G335" s="75"/>
      <c r="H335" s="75">
        <v>1280</v>
      </c>
      <c r="I335" s="75">
        <v>30</v>
      </c>
      <c r="J335" s="75"/>
      <c r="K335" s="75"/>
      <c r="L335" s="75"/>
      <c r="M335" s="75"/>
      <c r="N335" s="76"/>
    </row>
    <row r="336" spans="1:14" s="38" customFormat="1" ht="12" customHeight="1">
      <c r="A336" s="74"/>
      <c r="B336" s="262"/>
      <c r="C336" s="82" t="s">
        <v>85</v>
      </c>
      <c r="D336" s="69">
        <v>1310</v>
      </c>
      <c r="E336" s="69">
        <f t="shared" si="8"/>
        <v>1310</v>
      </c>
      <c r="F336" s="75"/>
      <c r="G336" s="75"/>
      <c r="H336" s="75">
        <v>1280</v>
      </c>
      <c r="I336" s="75">
        <v>30</v>
      </c>
      <c r="J336" s="75"/>
      <c r="K336" s="75"/>
      <c r="L336" s="75"/>
      <c r="M336" s="75"/>
      <c r="N336" s="76"/>
    </row>
    <row r="337" spans="1:14" s="38" customFormat="1" ht="12" customHeight="1">
      <c r="A337" s="74" t="s">
        <v>807</v>
      </c>
      <c r="B337" s="262" t="s">
        <v>456</v>
      </c>
      <c r="C337" s="81" t="s">
        <v>491</v>
      </c>
      <c r="D337" s="69">
        <v>566</v>
      </c>
      <c r="E337" s="69">
        <f t="shared" si="8"/>
        <v>566</v>
      </c>
      <c r="F337" s="75"/>
      <c r="G337" s="75"/>
      <c r="H337" s="75">
        <v>566</v>
      </c>
      <c r="I337" s="75"/>
      <c r="J337" s="75"/>
      <c r="K337" s="75"/>
      <c r="L337" s="75"/>
      <c r="M337" s="75"/>
      <c r="N337" s="76"/>
    </row>
    <row r="338" spans="1:14" s="38" customFormat="1" ht="12" customHeight="1">
      <c r="A338" s="74"/>
      <c r="B338" s="262"/>
      <c r="C338" s="82" t="s">
        <v>496</v>
      </c>
      <c r="D338" s="69">
        <v>772</v>
      </c>
      <c r="E338" s="69">
        <f t="shared" si="8"/>
        <v>772</v>
      </c>
      <c r="F338" s="75"/>
      <c r="G338" s="75"/>
      <c r="H338" s="75">
        <v>772</v>
      </c>
      <c r="I338" s="75"/>
      <c r="J338" s="75"/>
      <c r="K338" s="75"/>
      <c r="L338" s="75"/>
      <c r="M338" s="75"/>
      <c r="N338" s="76"/>
    </row>
    <row r="339" spans="1:14" s="38" customFormat="1" ht="12" customHeight="1">
      <c r="A339" s="74"/>
      <c r="B339" s="262"/>
      <c r="C339" s="82" t="s">
        <v>85</v>
      </c>
      <c r="D339" s="69">
        <v>772</v>
      </c>
      <c r="E339" s="69">
        <f t="shared" si="8"/>
        <v>772</v>
      </c>
      <c r="F339" s="75"/>
      <c r="G339" s="75"/>
      <c r="H339" s="75">
        <v>772</v>
      </c>
      <c r="I339" s="75"/>
      <c r="J339" s="75"/>
      <c r="K339" s="75"/>
      <c r="L339" s="75"/>
      <c r="M339" s="75"/>
      <c r="N339" s="76"/>
    </row>
    <row r="340" spans="1:14" s="38" customFormat="1" ht="12" customHeight="1">
      <c r="A340" s="700" t="s">
        <v>457</v>
      </c>
      <c r="B340" s="701"/>
      <c r="C340" s="83" t="s">
        <v>491</v>
      </c>
      <c r="D340" s="77">
        <f aca="true" t="shared" si="9" ref="D340:N340">SUM(D331+D334+D337)</f>
        <v>1698</v>
      </c>
      <c r="E340" s="77">
        <f t="shared" si="9"/>
        <v>1698</v>
      </c>
      <c r="F340" s="259">
        <f t="shared" si="9"/>
        <v>0</v>
      </c>
      <c r="G340" s="259">
        <f t="shared" si="9"/>
        <v>0</v>
      </c>
      <c r="H340" s="259">
        <f t="shared" si="9"/>
        <v>1698</v>
      </c>
      <c r="I340" s="259">
        <f t="shared" si="9"/>
        <v>0</v>
      </c>
      <c r="J340" s="259">
        <f t="shared" si="9"/>
        <v>0</v>
      </c>
      <c r="K340" s="259">
        <f t="shared" si="9"/>
        <v>0</v>
      </c>
      <c r="L340" s="259">
        <f t="shared" si="9"/>
        <v>0</v>
      </c>
      <c r="M340" s="259">
        <f t="shared" si="9"/>
        <v>0</v>
      </c>
      <c r="N340" s="260">
        <f t="shared" si="9"/>
        <v>0</v>
      </c>
    </row>
    <row r="341" spans="1:14" ht="12" customHeight="1">
      <c r="A341" s="323"/>
      <c r="B341" s="324"/>
      <c r="C341" s="336" t="s">
        <v>496</v>
      </c>
      <c r="D341" s="332">
        <f aca="true" t="shared" si="10" ref="D341:N342">SUM(D332+D335+D338)</f>
        <v>3265</v>
      </c>
      <c r="E341" s="332">
        <f t="shared" si="10"/>
        <v>3265</v>
      </c>
      <c r="F341" s="332">
        <f t="shared" si="10"/>
        <v>0</v>
      </c>
      <c r="G341" s="332">
        <f t="shared" si="10"/>
        <v>0</v>
      </c>
      <c r="H341" s="332">
        <f t="shared" si="10"/>
        <v>3235</v>
      </c>
      <c r="I341" s="332">
        <f t="shared" si="10"/>
        <v>30</v>
      </c>
      <c r="J341" s="332">
        <f t="shared" si="10"/>
        <v>0</v>
      </c>
      <c r="K341" s="332">
        <f t="shared" si="10"/>
        <v>0</v>
      </c>
      <c r="L341" s="332">
        <f t="shared" si="10"/>
        <v>0</v>
      </c>
      <c r="M341" s="332">
        <f t="shared" si="10"/>
        <v>0</v>
      </c>
      <c r="N341" s="78">
        <f t="shared" si="10"/>
        <v>0</v>
      </c>
    </row>
    <row r="342" spans="1:14" ht="12" customHeight="1">
      <c r="A342" s="323"/>
      <c r="B342" s="324"/>
      <c r="C342" s="336" t="s">
        <v>85</v>
      </c>
      <c r="D342" s="332">
        <v>3265</v>
      </c>
      <c r="E342" s="332">
        <f t="shared" si="10"/>
        <v>3265</v>
      </c>
      <c r="F342" s="332">
        <f t="shared" si="10"/>
        <v>0</v>
      </c>
      <c r="G342" s="332">
        <f t="shared" si="10"/>
        <v>0</v>
      </c>
      <c r="H342" s="332">
        <f t="shared" si="10"/>
        <v>3235</v>
      </c>
      <c r="I342" s="332">
        <f t="shared" si="10"/>
        <v>30</v>
      </c>
      <c r="J342" s="332">
        <f t="shared" si="10"/>
        <v>0</v>
      </c>
      <c r="K342" s="332">
        <f t="shared" si="10"/>
        <v>0</v>
      </c>
      <c r="L342" s="332">
        <f t="shared" si="10"/>
        <v>0</v>
      </c>
      <c r="M342" s="332">
        <f t="shared" si="10"/>
        <v>0</v>
      </c>
      <c r="N342" s="78">
        <f t="shared" si="10"/>
        <v>0</v>
      </c>
    </row>
    <row r="343" spans="1:14" ht="12" customHeight="1">
      <c r="A343" s="323"/>
      <c r="B343" s="324"/>
      <c r="C343" s="325"/>
      <c r="D343" s="332"/>
      <c r="E343" s="332"/>
      <c r="F343" s="333"/>
      <c r="G343" s="333"/>
      <c r="H343" s="333"/>
      <c r="I343" s="333"/>
      <c r="J343" s="333"/>
      <c r="K343" s="333"/>
      <c r="L343" s="333"/>
      <c r="M343" s="333"/>
      <c r="N343" s="334"/>
    </row>
    <row r="344" spans="1:14" ht="12" customHeight="1">
      <c r="A344" s="702" t="s">
        <v>503</v>
      </c>
      <c r="B344" s="703"/>
      <c r="C344" s="325" t="s">
        <v>490</v>
      </c>
      <c r="D344" s="326">
        <f aca="true" t="shared" si="11" ref="D344:N344">SUM(D324+D327+D340)</f>
        <v>8413462</v>
      </c>
      <c r="E344" s="326">
        <f t="shared" si="11"/>
        <v>7020204</v>
      </c>
      <c r="F344" s="326">
        <f t="shared" si="11"/>
        <v>499755</v>
      </c>
      <c r="G344" s="326">
        <f t="shared" si="11"/>
        <v>137334</v>
      </c>
      <c r="H344" s="326">
        <f t="shared" si="11"/>
        <v>818767</v>
      </c>
      <c r="I344" s="326">
        <f t="shared" si="11"/>
        <v>629737</v>
      </c>
      <c r="J344" s="326">
        <f t="shared" si="11"/>
        <v>223696</v>
      </c>
      <c r="K344" s="326">
        <f t="shared" si="11"/>
        <v>195168</v>
      </c>
      <c r="L344" s="326">
        <f t="shared" si="11"/>
        <v>4311281</v>
      </c>
      <c r="M344" s="326">
        <f t="shared" si="11"/>
        <v>22073</v>
      </c>
      <c r="N344" s="327">
        <f t="shared" si="11"/>
        <v>182393</v>
      </c>
    </row>
    <row r="345" spans="1:14" ht="12.75">
      <c r="A345" s="404"/>
      <c r="B345" s="405"/>
      <c r="C345" s="325" t="s">
        <v>496</v>
      </c>
      <c r="D345" s="326">
        <f aca="true" t="shared" si="12" ref="D345:N346">SUM(D325+D328+D341)</f>
        <v>8614969</v>
      </c>
      <c r="E345" s="326">
        <f t="shared" si="12"/>
        <v>7111272</v>
      </c>
      <c r="F345" s="326">
        <f t="shared" si="12"/>
        <v>527365</v>
      </c>
      <c r="G345" s="326">
        <f t="shared" si="12"/>
        <v>144718</v>
      </c>
      <c r="H345" s="326">
        <f t="shared" si="12"/>
        <v>1017261</v>
      </c>
      <c r="I345" s="326">
        <f t="shared" si="12"/>
        <v>737246</v>
      </c>
      <c r="J345" s="326">
        <f t="shared" si="12"/>
        <v>235126</v>
      </c>
      <c r="K345" s="326">
        <f t="shared" si="12"/>
        <v>213836</v>
      </c>
      <c r="L345" s="326">
        <f t="shared" si="12"/>
        <v>4148482</v>
      </c>
      <c r="M345" s="326">
        <f t="shared" si="12"/>
        <v>73926</v>
      </c>
      <c r="N345" s="327">
        <f t="shared" si="12"/>
        <v>13312</v>
      </c>
    </row>
    <row r="346" spans="1:14" ht="13.5" thickBot="1">
      <c r="A346" s="328"/>
      <c r="B346" s="329"/>
      <c r="C346" s="232" t="s">
        <v>85</v>
      </c>
      <c r="D346" s="585">
        <f t="shared" si="12"/>
        <v>8604374</v>
      </c>
      <c r="E346" s="585">
        <f t="shared" si="12"/>
        <v>7102870</v>
      </c>
      <c r="F346" s="585">
        <f t="shared" si="12"/>
        <v>552442</v>
      </c>
      <c r="G346" s="585">
        <f t="shared" si="12"/>
        <v>140223</v>
      </c>
      <c r="H346" s="585">
        <f t="shared" si="12"/>
        <v>939448</v>
      </c>
      <c r="I346" s="585">
        <f t="shared" si="12"/>
        <v>740865</v>
      </c>
      <c r="J346" s="585">
        <f t="shared" si="12"/>
        <v>230376</v>
      </c>
      <c r="K346" s="585">
        <f t="shared" si="12"/>
        <v>187646</v>
      </c>
      <c r="L346" s="585">
        <f t="shared" si="12"/>
        <v>4148817</v>
      </c>
      <c r="M346" s="585">
        <f t="shared" si="12"/>
        <v>78359</v>
      </c>
      <c r="N346" s="586">
        <f t="shared" si="12"/>
        <v>84694</v>
      </c>
    </row>
    <row r="347" spans="6:14" ht="13.5" thickTop="1">
      <c r="F347" s="35"/>
      <c r="G347" s="35"/>
      <c r="H347" s="35"/>
      <c r="I347" s="35"/>
      <c r="J347" s="35"/>
      <c r="K347" s="35"/>
      <c r="L347" s="35"/>
      <c r="M347" s="261"/>
      <c r="N347" s="35"/>
    </row>
    <row r="348" spans="6:14" ht="12.75">
      <c r="F348" s="35"/>
      <c r="G348" s="35"/>
      <c r="H348" s="35"/>
      <c r="I348" s="35"/>
      <c r="J348" s="35"/>
      <c r="K348" s="35"/>
      <c r="L348" s="35"/>
      <c r="M348" s="261"/>
      <c r="N348" s="35"/>
    </row>
    <row r="349" spans="6:14" ht="12.75">
      <c r="F349" s="35"/>
      <c r="G349" s="35"/>
      <c r="H349" s="35"/>
      <c r="I349" s="35"/>
      <c r="J349" s="35"/>
      <c r="K349" s="35"/>
      <c r="L349" s="35"/>
      <c r="M349" s="261"/>
      <c r="N349" s="35"/>
    </row>
    <row r="350" spans="6:14" ht="12.75">
      <c r="F350" s="35"/>
      <c r="G350" s="35"/>
      <c r="H350" s="35"/>
      <c r="I350" s="35"/>
      <c r="J350" s="35"/>
      <c r="K350" s="35"/>
      <c r="L350" s="35"/>
      <c r="M350" s="261"/>
      <c r="N350" s="35"/>
    </row>
    <row r="351" spans="6:14" ht="12.75">
      <c r="F351" s="35"/>
      <c r="G351" s="35"/>
      <c r="H351" s="35"/>
      <c r="I351" s="35"/>
      <c r="J351" s="35"/>
      <c r="K351" s="35"/>
      <c r="L351" s="35"/>
      <c r="M351" s="261"/>
      <c r="N351" s="35"/>
    </row>
    <row r="352" spans="6:14" ht="12.75">
      <c r="F352" s="35"/>
      <c r="G352" s="35"/>
      <c r="H352" s="35"/>
      <c r="I352" s="35"/>
      <c r="J352" s="35"/>
      <c r="K352" s="35"/>
      <c r="L352" s="35"/>
      <c r="M352" s="261"/>
      <c r="N352" s="35"/>
    </row>
    <row r="353" spans="6:14" ht="12.75">
      <c r="F353" s="35"/>
      <c r="G353" s="35"/>
      <c r="H353" s="35"/>
      <c r="I353" s="35"/>
      <c r="J353" s="35"/>
      <c r="K353" s="35"/>
      <c r="L353" s="35"/>
      <c r="M353" s="261"/>
      <c r="N353" s="35"/>
    </row>
    <row r="354" spans="6:14" ht="12.75">
      <c r="F354" s="35"/>
      <c r="G354" s="35"/>
      <c r="H354" s="35"/>
      <c r="I354" s="35"/>
      <c r="J354" s="35"/>
      <c r="K354" s="35"/>
      <c r="L354" s="35"/>
      <c r="M354" s="261"/>
      <c r="N354" s="35"/>
    </row>
    <row r="355" spans="6:14" ht="12.75">
      <c r="F355" s="35"/>
      <c r="G355" s="35"/>
      <c r="H355" s="35"/>
      <c r="I355" s="35"/>
      <c r="J355" s="35"/>
      <c r="K355" s="35"/>
      <c r="L355" s="35"/>
      <c r="M355" s="261"/>
      <c r="N355" s="35"/>
    </row>
    <row r="356" spans="6:14" ht="12.75">
      <c r="F356" s="35"/>
      <c r="G356" s="35"/>
      <c r="H356" s="35"/>
      <c r="I356" s="35"/>
      <c r="J356" s="35"/>
      <c r="K356" s="35"/>
      <c r="L356" s="35"/>
      <c r="M356" s="261"/>
      <c r="N356" s="35"/>
    </row>
    <row r="357" spans="6:14" ht="12.75">
      <c r="F357" s="35"/>
      <c r="G357" s="35"/>
      <c r="H357" s="35"/>
      <c r="I357" s="35"/>
      <c r="J357" s="35"/>
      <c r="K357" s="35"/>
      <c r="L357" s="35"/>
      <c r="M357" s="261"/>
      <c r="N357" s="35"/>
    </row>
    <row r="358" spans="6:14" ht="12.75">
      <c r="F358" s="35"/>
      <c r="G358" s="35"/>
      <c r="H358" s="35"/>
      <c r="I358" s="35"/>
      <c r="J358" s="35"/>
      <c r="K358" s="35"/>
      <c r="L358" s="35"/>
      <c r="M358" s="261"/>
      <c r="N358" s="35"/>
    </row>
    <row r="359" spans="6:14" ht="12.75">
      <c r="F359" s="35"/>
      <c r="G359" s="35"/>
      <c r="H359" s="35"/>
      <c r="I359" s="35"/>
      <c r="J359" s="35"/>
      <c r="K359" s="35"/>
      <c r="L359" s="35"/>
      <c r="M359" s="261"/>
      <c r="N359" s="35"/>
    </row>
    <row r="360" spans="6:14" ht="12.75">
      <c r="F360" s="35"/>
      <c r="G360" s="35"/>
      <c r="H360" s="35"/>
      <c r="I360" s="35"/>
      <c r="J360" s="35"/>
      <c r="K360" s="35"/>
      <c r="L360" s="35"/>
      <c r="M360" s="261"/>
      <c r="N360" s="35"/>
    </row>
    <row r="361" spans="6:14" ht="12.75">
      <c r="F361" s="35"/>
      <c r="G361" s="35"/>
      <c r="H361" s="35"/>
      <c r="I361" s="35"/>
      <c r="J361" s="35"/>
      <c r="K361" s="35"/>
      <c r="L361" s="35"/>
      <c r="M361" s="261"/>
      <c r="N361" s="35"/>
    </row>
    <row r="362" spans="6:14" ht="12.75">
      <c r="F362" s="35"/>
      <c r="G362" s="35"/>
      <c r="H362" s="35"/>
      <c r="I362" s="35"/>
      <c r="J362" s="35"/>
      <c r="K362" s="35"/>
      <c r="L362" s="35"/>
      <c r="M362" s="261"/>
      <c r="N362" s="35"/>
    </row>
    <row r="363" spans="6:14" ht="12.75">
      <c r="F363" s="35"/>
      <c r="G363" s="35"/>
      <c r="H363" s="35"/>
      <c r="I363" s="35"/>
      <c r="J363" s="35"/>
      <c r="K363" s="35"/>
      <c r="L363" s="35"/>
      <c r="M363" s="261"/>
      <c r="N363" s="35"/>
    </row>
    <row r="364" spans="6:14" ht="12.75">
      <c r="F364" s="35"/>
      <c r="G364" s="35"/>
      <c r="H364" s="35"/>
      <c r="I364" s="35"/>
      <c r="J364" s="35"/>
      <c r="K364" s="35"/>
      <c r="L364" s="35"/>
      <c r="M364" s="261"/>
      <c r="N364" s="35"/>
    </row>
    <row r="365" spans="6:14" ht="12.75">
      <c r="F365" s="35"/>
      <c r="G365" s="35"/>
      <c r="H365" s="35"/>
      <c r="I365" s="35"/>
      <c r="J365" s="35"/>
      <c r="K365" s="35"/>
      <c r="L365" s="35"/>
      <c r="M365" s="261"/>
      <c r="N365" s="35"/>
    </row>
    <row r="366" spans="6:14" ht="12.75">
      <c r="F366" s="35"/>
      <c r="G366" s="35"/>
      <c r="H366" s="35"/>
      <c r="I366" s="35"/>
      <c r="J366" s="35"/>
      <c r="K366" s="35"/>
      <c r="L366" s="35"/>
      <c r="M366" s="261"/>
      <c r="N366" s="35"/>
    </row>
    <row r="367" spans="6:14" ht="12.75">
      <c r="F367" s="35"/>
      <c r="G367" s="35"/>
      <c r="H367" s="35"/>
      <c r="I367" s="35"/>
      <c r="J367" s="35"/>
      <c r="K367" s="35"/>
      <c r="L367" s="35"/>
      <c r="M367" s="261"/>
      <c r="N367" s="35"/>
    </row>
    <row r="368" spans="6:14" ht="12.75">
      <c r="F368" s="35"/>
      <c r="G368" s="35"/>
      <c r="H368" s="35"/>
      <c r="I368" s="35"/>
      <c r="J368" s="35"/>
      <c r="K368" s="35"/>
      <c r="L368" s="35"/>
      <c r="M368" s="261"/>
      <c r="N368" s="35"/>
    </row>
    <row r="369" spans="6:14" ht="12.75">
      <c r="F369" s="35"/>
      <c r="G369" s="35"/>
      <c r="H369" s="35"/>
      <c r="I369" s="35"/>
      <c r="J369" s="35"/>
      <c r="K369" s="35"/>
      <c r="L369" s="35"/>
      <c r="M369" s="261"/>
      <c r="N369" s="35"/>
    </row>
    <row r="370" spans="6:14" ht="12.75">
      <c r="F370" s="35"/>
      <c r="G370" s="35"/>
      <c r="H370" s="35"/>
      <c r="I370" s="35"/>
      <c r="J370" s="35"/>
      <c r="K370" s="35"/>
      <c r="L370" s="35"/>
      <c r="M370" s="261"/>
      <c r="N370" s="35"/>
    </row>
    <row r="371" spans="6:14" ht="12.75">
      <c r="F371" s="35"/>
      <c r="G371" s="35"/>
      <c r="H371" s="35"/>
      <c r="I371" s="35"/>
      <c r="J371" s="35"/>
      <c r="K371" s="35"/>
      <c r="L371" s="35"/>
      <c r="M371" s="261"/>
      <c r="N371" s="35"/>
    </row>
    <row r="372" spans="6:14" ht="12.75">
      <c r="F372" s="35"/>
      <c r="G372" s="35"/>
      <c r="H372" s="35"/>
      <c r="I372" s="35"/>
      <c r="J372" s="35"/>
      <c r="K372" s="35"/>
      <c r="L372" s="35"/>
      <c r="M372" s="261"/>
      <c r="N372" s="35"/>
    </row>
    <row r="373" spans="6:14" ht="12.75">
      <c r="F373" s="35"/>
      <c r="G373" s="35"/>
      <c r="H373" s="35"/>
      <c r="I373" s="35"/>
      <c r="J373" s="35"/>
      <c r="K373" s="35"/>
      <c r="L373" s="35"/>
      <c r="M373" s="261"/>
      <c r="N373" s="35"/>
    </row>
    <row r="374" spans="6:14" ht="12.75">
      <c r="F374" s="35"/>
      <c r="G374" s="35"/>
      <c r="H374" s="35"/>
      <c r="I374" s="35"/>
      <c r="J374" s="35"/>
      <c r="K374" s="35"/>
      <c r="L374" s="35"/>
      <c r="M374" s="261"/>
      <c r="N374" s="35"/>
    </row>
    <row r="375" spans="6:14" ht="12.75">
      <c r="F375" s="35"/>
      <c r="G375" s="35"/>
      <c r="H375" s="35"/>
      <c r="I375" s="35"/>
      <c r="J375" s="35"/>
      <c r="K375" s="35"/>
      <c r="L375" s="35"/>
      <c r="M375" s="261"/>
      <c r="N375" s="35"/>
    </row>
    <row r="376" spans="6:14" ht="12.75">
      <c r="F376" s="35"/>
      <c r="G376" s="35"/>
      <c r="H376" s="35"/>
      <c r="I376" s="35"/>
      <c r="J376" s="35"/>
      <c r="K376" s="35"/>
      <c r="L376" s="35"/>
      <c r="M376" s="261"/>
      <c r="N376" s="35"/>
    </row>
    <row r="377" spans="6:14" ht="12.75">
      <c r="F377" s="35"/>
      <c r="G377" s="35"/>
      <c r="H377" s="35"/>
      <c r="I377" s="35"/>
      <c r="J377" s="35"/>
      <c r="K377" s="35"/>
      <c r="L377" s="35"/>
      <c r="M377" s="261"/>
      <c r="N377" s="35"/>
    </row>
    <row r="378" spans="6:14" ht="12.75">
      <c r="F378" s="35"/>
      <c r="G378" s="35"/>
      <c r="H378" s="35"/>
      <c r="I378" s="35"/>
      <c r="J378" s="35"/>
      <c r="K378" s="35"/>
      <c r="L378" s="35"/>
      <c r="M378" s="261"/>
      <c r="N378" s="35"/>
    </row>
    <row r="379" spans="6:14" ht="12.75">
      <c r="F379" s="35"/>
      <c r="G379" s="35"/>
      <c r="H379" s="35"/>
      <c r="I379" s="35"/>
      <c r="J379" s="35"/>
      <c r="K379" s="35"/>
      <c r="L379" s="35"/>
      <c r="M379" s="261"/>
      <c r="N379" s="35"/>
    </row>
    <row r="380" spans="6:14" ht="12.75">
      <c r="F380" s="35"/>
      <c r="G380" s="35"/>
      <c r="H380" s="35"/>
      <c r="I380" s="35"/>
      <c r="J380" s="35"/>
      <c r="K380" s="35"/>
      <c r="L380" s="35"/>
      <c r="M380" s="261"/>
      <c r="N380" s="35"/>
    </row>
    <row r="381" spans="6:14" ht="12.75">
      <c r="F381" s="35"/>
      <c r="G381" s="35"/>
      <c r="H381" s="35"/>
      <c r="I381" s="35"/>
      <c r="J381" s="35"/>
      <c r="K381" s="35"/>
      <c r="L381" s="35"/>
      <c r="M381" s="261"/>
      <c r="N381" s="35"/>
    </row>
    <row r="382" spans="6:14" ht="12.75">
      <c r="F382" s="35"/>
      <c r="G382" s="35"/>
      <c r="H382" s="35"/>
      <c r="I382" s="35"/>
      <c r="J382" s="35"/>
      <c r="K382" s="35"/>
      <c r="L382" s="35"/>
      <c r="M382" s="261"/>
      <c r="N382" s="35"/>
    </row>
    <row r="383" spans="6:14" ht="12.75">
      <c r="F383" s="35"/>
      <c r="G383" s="35"/>
      <c r="H383" s="35"/>
      <c r="I383" s="35"/>
      <c r="J383" s="35"/>
      <c r="K383" s="35"/>
      <c r="L383" s="35"/>
      <c r="M383" s="261"/>
      <c r="N383" s="35"/>
    </row>
    <row r="384" spans="6:14" ht="12.75">
      <c r="F384" s="35"/>
      <c r="G384" s="35"/>
      <c r="H384" s="35"/>
      <c r="I384" s="35"/>
      <c r="J384" s="35"/>
      <c r="K384" s="35"/>
      <c r="L384" s="35"/>
      <c r="M384" s="261"/>
      <c r="N384" s="35"/>
    </row>
    <row r="385" spans="6:14" ht="12.75">
      <c r="F385" s="35"/>
      <c r="G385" s="35"/>
      <c r="H385" s="35"/>
      <c r="I385" s="35"/>
      <c r="J385" s="35"/>
      <c r="K385" s="35"/>
      <c r="L385" s="35"/>
      <c r="M385" s="261"/>
      <c r="N385" s="35"/>
    </row>
    <row r="386" spans="6:14" ht="12.75">
      <c r="F386" s="35"/>
      <c r="G386" s="35"/>
      <c r="H386" s="35"/>
      <c r="I386" s="35"/>
      <c r="J386" s="35"/>
      <c r="K386" s="35"/>
      <c r="L386" s="35"/>
      <c r="M386" s="261"/>
      <c r="N386" s="35"/>
    </row>
    <row r="387" spans="6:14" ht="12.75">
      <c r="F387" s="35"/>
      <c r="G387" s="35"/>
      <c r="H387" s="35"/>
      <c r="I387" s="35"/>
      <c r="J387" s="35"/>
      <c r="K387" s="35"/>
      <c r="L387" s="35"/>
      <c r="M387" s="261"/>
      <c r="N387" s="35"/>
    </row>
    <row r="388" spans="6:14" ht="12.75">
      <c r="F388" s="35"/>
      <c r="G388" s="35"/>
      <c r="H388" s="35"/>
      <c r="I388" s="35"/>
      <c r="J388" s="35"/>
      <c r="K388" s="35"/>
      <c r="L388" s="35"/>
      <c r="M388" s="261"/>
      <c r="N388" s="35"/>
    </row>
    <row r="389" spans="6:14" ht="12.75">
      <c r="F389" s="35"/>
      <c r="G389" s="35"/>
      <c r="H389" s="35"/>
      <c r="I389" s="35"/>
      <c r="J389" s="35"/>
      <c r="K389" s="35"/>
      <c r="L389" s="35"/>
      <c r="M389" s="261"/>
      <c r="N389" s="35"/>
    </row>
    <row r="390" spans="6:14" ht="12.75">
      <c r="F390" s="35"/>
      <c r="G390" s="35"/>
      <c r="H390" s="35"/>
      <c r="I390" s="35"/>
      <c r="J390" s="35"/>
      <c r="K390" s="35"/>
      <c r="L390" s="35"/>
      <c r="M390" s="261"/>
      <c r="N390" s="35"/>
    </row>
    <row r="391" spans="6:14" ht="12.75">
      <c r="F391" s="35"/>
      <c r="G391" s="35"/>
      <c r="H391" s="35"/>
      <c r="I391" s="35"/>
      <c r="J391" s="35"/>
      <c r="K391" s="35"/>
      <c r="L391" s="35"/>
      <c r="M391" s="261"/>
      <c r="N391" s="35"/>
    </row>
    <row r="392" spans="6:14" ht="12.75">
      <c r="F392" s="35"/>
      <c r="G392" s="35"/>
      <c r="H392" s="35"/>
      <c r="I392" s="35"/>
      <c r="J392" s="35"/>
      <c r="K392" s="35"/>
      <c r="L392" s="35"/>
      <c r="M392" s="261"/>
      <c r="N392" s="35"/>
    </row>
    <row r="393" spans="6:14" ht="12.75">
      <c r="F393" s="35"/>
      <c r="G393" s="35"/>
      <c r="H393" s="35"/>
      <c r="I393" s="35"/>
      <c r="J393" s="35"/>
      <c r="K393" s="35"/>
      <c r="L393" s="35"/>
      <c r="M393" s="261"/>
      <c r="N393" s="35"/>
    </row>
    <row r="394" spans="6:14" ht="12.75">
      <c r="F394" s="35"/>
      <c r="G394" s="35"/>
      <c r="H394" s="35"/>
      <c r="I394" s="35"/>
      <c r="J394" s="35"/>
      <c r="K394" s="35"/>
      <c r="L394" s="35"/>
      <c r="M394" s="261"/>
      <c r="N394" s="35"/>
    </row>
    <row r="395" spans="6:14" ht="12.75">
      <c r="F395" s="35"/>
      <c r="G395" s="35"/>
      <c r="H395" s="35"/>
      <c r="I395" s="35"/>
      <c r="J395" s="35"/>
      <c r="K395" s="35"/>
      <c r="L395" s="35"/>
      <c r="M395" s="261"/>
      <c r="N395" s="35"/>
    </row>
    <row r="396" spans="6:14" ht="12.75">
      <c r="F396" s="35"/>
      <c r="G396" s="35"/>
      <c r="H396" s="35"/>
      <c r="I396" s="35"/>
      <c r="J396" s="35"/>
      <c r="K396" s="35"/>
      <c r="L396" s="35"/>
      <c r="M396" s="261"/>
      <c r="N396" s="35"/>
    </row>
    <row r="397" spans="6:14" ht="12.75">
      <c r="F397" s="35"/>
      <c r="G397" s="35"/>
      <c r="H397" s="35"/>
      <c r="I397" s="35"/>
      <c r="J397" s="35"/>
      <c r="K397" s="35"/>
      <c r="L397" s="35"/>
      <c r="M397" s="261"/>
      <c r="N397" s="35"/>
    </row>
    <row r="398" spans="6:14" ht="12.75">
      <c r="F398" s="35"/>
      <c r="G398" s="35"/>
      <c r="H398" s="35"/>
      <c r="I398" s="35"/>
      <c r="J398" s="35"/>
      <c r="K398" s="35"/>
      <c r="L398" s="35"/>
      <c r="M398" s="261"/>
      <c r="N398" s="35"/>
    </row>
    <row r="399" spans="6:14" ht="12.75">
      <c r="F399" s="35"/>
      <c r="G399" s="35"/>
      <c r="H399" s="35"/>
      <c r="I399" s="35"/>
      <c r="J399" s="35"/>
      <c r="K399" s="35"/>
      <c r="L399" s="35"/>
      <c r="M399" s="261"/>
      <c r="N399" s="35"/>
    </row>
    <row r="400" spans="6:14" ht="12.75">
      <c r="F400" s="35"/>
      <c r="G400" s="35"/>
      <c r="H400" s="35"/>
      <c r="I400" s="35"/>
      <c r="J400" s="35"/>
      <c r="K400" s="35"/>
      <c r="L400" s="35"/>
      <c r="M400" s="261"/>
      <c r="N400" s="35"/>
    </row>
    <row r="401" spans="6:14" ht="12.75">
      <c r="F401" s="35"/>
      <c r="G401" s="35"/>
      <c r="H401" s="35"/>
      <c r="I401" s="35"/>
      <c r="J401" s="35"/>
      <c r="K401" s="35"/>
      <c r="L401" s="35"/>
      <c r="M401" s="261"/>
      <c r="N401" s="35"/>
    </row>
    <row r="402" spans="6:14" ht="12.75">
      <c r="F402" s="35"/>
      <c r="G402" s="35"/>
      <c r="H402" s="35"/>
      <c r="I402" s="35"/>
      <c r="J402" s="35"/>
      <c r="K402" s="35"/>
      <c r="L402" s="35"/>
      <c r="M402" s="261"/>
      <c r="N402" s="35"/>
    </row>
    <row r="403" spans="6:14" ht="12.75">
      <c r="F403" s="35"/>
      <c r="G403" s="35"/>
      <c r="H403" s="35"/>
      <c r="I403" s="35"/>
      <c r="J403" s="35"/>
      <c r="K403" s="35"/>
      <c r="L403" s="35"/>
      <c r="M403" s="261"/>
      <c r="N403" s="35"/>
    </row>
    <row r="404" spans="6:14" ht="12.75">
      <c r="F404" s="35"/>
      <c r="G404" s="35"/>
      <c r="H404" s="35"/>
      <c r="I404" s="35"/>
      <c r="J404" s="35"/>
      <c r="K404" s="35"/>
      <c r="L404" s="35"/>
      <c r="M404" s="261"/>
      <c r="N404" s="35"/>
    </row>
    <row r="405" spans="6:14" ht="12.75">
      <c r="F405" s="35"/>
      <c r="G405" s="35"/>
      <c r="H405" s="35"/>
      <c r="I405" s="35"/>
      <c r="J405" s="35"/>
      <c r="K405" s="35"/>
      <c r="L405" s="35"/>
      <c r="M405" s="261"/>
      <c r="N405" s="35"/>
    </row>
    <row r="406" spans="6:14" ht="12.75">
      <c r="F406" s="35"/>
      <c r="G406" s="35"/>
      <c r="H406" s="35"/>
      <c r="I406" s="35"/>
      <c r="J406" s="35"/>
      <c r="K406" s="35"/>
      <c r="L406" s="35"/>
      <c r="M406" s="261"/>
      <c r="N406" s="35"/>
    </row>
  </sheetData>
  <mergeCells count="79">
    <mergeCell ref="M126:M128"/>
    <mergeCell ref="N126:N128"/>
    <mergeCell ref="F127:F128"/>
    <mergeCell ref="G127:G128"/>
    <mergeCell ref="H127:H128"/>
    <mergeCell ref="I127:I128"/>
    <mergeCell ref="J127:J128"/>
    <mergeCell ref="K127:K128"/>
    <mergeCell ref="L127:L128"/>
    <mergeCell ref="J64:J65"/>
    <mergeCell ref="K64:K65"/>
    <mergeCell ref="L64:L65"/>
    <mergeCell ref="A126:C128"/>
    <mergeCell ref="D126:D128"/>
    <mergeCell ref="E126:E128"/>
    <mergeCell ref="F64:F65"/>
    <mergeCell ref="G64:G65"/>
    <mergeCell ref="H64:H65"/>
    <mergeCell ref="I64:I65"/>
    <mergeCell ref="A3:N3"/>
    <mergeCell ref="D6:D8"/>
    <mergeCell ref="E6:E8"/>
    <mergeCell ref="K7:K8"/>
    <mergeCell ref="L7:L8"/>
    <mergeCell ref="A4:N4"/>
    <mergeCell ref="F7:F8"/>
    <mergeCell ref="G7:G8"/>
    <mergeCell ref="H7:H8"/>
    <mergeCell ref="M6:M8"/>
    <mergeCell ref="A344:B344"/>
    <mergeCell ref="A330:B330"/>
    <mergeCell ref="A324:B324"/>
    <mergeCell ref="A327:B327"/>
    <mergeCell ref="N6:N8"/>
    <mergeCell ref="I7:I8"/>
    <mergeCell ref="J7:J8"/>
    <mergeCell ref="A340:B340"/>
    <mergeCell ref="A6:C8"/>
    <mergeCell ref="A63:C65"/>
    <mergeCell ref="D63:D65"/>
    <mergeCell ref="E63:E65"/>
    <mergeCell ref="M63:M65"/>
    <mergeCell ref="N63:N65"/>
    <mergeCell ref="A189:C191"/>
    <mergeCell ref="D189:D191"/>
    <mergeCell ref="E189:E191"/>
    <mergeCell ref="M189:M191"/>
    <mergeCell ref="N189:N191"/>
    <mergeCell ref="F190:F191"/>
    <mergeCell ref="G190:G191"/>
    <mergeCell ref="H190:H191"/>
    <mergeCell ref="I190:I191"/>
    <mergeCell ref="J190:J191"/>
    <mergeCell ref="K190:K191"/>
    <mergeCell ref="L190:L191"/>
    <mergeCell ref="A252:C254"/>
    <mergeCell ref="D252:D254"/>
    <mergeCell ref="E252:E254"/>
    <mergeCell ref="M252:M254"/>
    <mergeCell ref="N252:N254"/>
    <mergeCell ref="F253:F254"/>
    <mergeCell ref="G253:G254"/>
    <mergeCell ref="H253:H254"/>
    <mergeCell ref="I253:I254"/>
    <mergeCell ref="J253:J254"/>
    <mergeCell ref="K253:K254"/>
    <mergeCell ref="L253:L254"/>
    <mergeCell ref="A315:C317"/>
    <mergeCell ref="D315:D317"/>
    <mergeCell ref="E315:E317"/>
    <mergeCell ref="M315:M317"/>
    <mergeCell ref="N315:N317"/>
    <mergeCell ref="F316:F317"/>
    <mergeCell ref="G316:G317"/>
    <mergeCell ref="H316:H317"/>
    <mergeCell ref="I316:I317"/>
    <mergeCell ref="J316:J317"/>
    <mergeCell ref="K316:K317"/>
    <mergeCell ref="L316:L317"/>
  </mergeCells>
  <printOptions/>
  <pageMargins left="0.1968503937007874" right="0.15748031496062992" top="0.27" bottom="0.17" header="0.15748031496062992" footer="0.27"/>
  <pageSetup horizontalDpi="600" verticalDpi="600" orientation="landscape" paperSize="9" scale="73" r:id="rId1"/>
  <rowBreaks count="2" manualBreakCount="2">
    <brk id="62" max="255" man="1"/>
    <brk id="12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158"/>
  <sheetViews>
    <sheetView zoomScaleSheetLayoutView="100" workbookViewId="0" topLeftCell="D79">
      <selection activeCell="K69" sqref="K69"/>
    </sheetView>
  </sheetViews>
  <sheetFormatPr defaultColWidth="9.00390625" defaultRowHeight="12.75"/>
  <cols>
    <col min="1" max="1" width="20.875" style="605" customWidth="1"/>
    <col min="2" max="2" width="11.00390625" style="633" customWidth="1"/>
    <col min="3" max="4" width="9.75390625" style="602" customWidth="1"/>
    <col min="5" max="8" width="8.75390625" style="602" customWidth="1"/>
    <col min="9" max="9" width="9.375" style="602" customWidth="1"/>
    <col min="10" max="14" width="8.75390625" style="602" customWidth="1"/>
    <col min="15" max="15" width="11.75390625" style="616" customWidth="1"/>
    <col min="16" max="16" width="20.875" style="616" customWidth="1"/>
    <col min="17" max="17" width="11.75390625" style="616" customWidth="1"/>
    <col min="18" max="18" width="9.75390625" style="602" customWidth="1"/>
    <col min="19" max="19" width="8.25390625" style="602" customWidth="1"/>
    <col min="20" max="20" width="9.75390625" style="602" customWidth="1"/>
    <col min="21" max="21" width="13.75390625" style="602" customWidth="1"/>
    <col min="22" max="24" width="8.75390625" style="602" customWidth="1"/>
    <col min="25" max="25" width="11.75390625" style="616" customWidth="1"/>
    <col min="26" max="26" width="11.375" style="602" customWidth="1"/>
    <col min="27" max="16384" width="9.125" style="602" customWidth="1"/>
  </cols>
  <sheetData>
    <row r="1" spans="1:31" ht="20.25" customHeight="1">
      <c r="A1" s="725" t="s">
        <v>263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5" t="s">
        <v>263</v>
      </c>
      <c r="Q1" s="727"/>
      <c r="R1" s="727"/>
      <c r="S1" s="727"/>
      <c r="T1" s="727"/>
      <c r="U1" s="727"/>
      <c r="V1" s="727"/>
      <c r="W1" s="727"/>
      <c r="X1" s="727"/>
      <c r="Y1" s="727"/>
      <c r="Z1" s="604"/>
      <c r="AA1" s="604"/>
      <c r="AB1" s="604"/>
      <c r="AC1" s="604"/>
      <c r="AD1" s="604"/>
      <c r="AE1" s="604"/>
    </row>
    <row r="2" spans="2:31" ht="15" customHeight="1" thickBot="1">
      <c r="B2" s="604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4"/>
      <c r="AA2" s="604"/>
      <c r="AB2" s="604"/>
      <c r="AC2" s="604"/>
      <c r="AD2" s="604"/>
      <c r="AE2" s="604"/>
    </row>
    <row r="3" spans="1:25" ht="14.25" customHeight="1" thickTop="1">
      <c r="A3" s="718" t="s">
        <v>264</v>
      </c>
      <c r="B3" s="712"/>
      <c r="C3" s="712" t="s">
        <v>265</v>
      </c>
      <c r="D3" s="712" t="s">
        <v>266</v>
      </c>
      <c r="E3" s="712" t="s">
        <v>267</v>
      </c>
      <c r="F3" s="712" t="s">
        <v>268</v>
      </c>
      <c r="G3" s="712" t="s">
        <v>269</v>
      </c>
      <c r="H3" s="712"/>
      <c r="I3" s="712" t="s">
        <v>270</v>
      </c>
      <c r="J3" s="712"/>
      <c r="K3" s="712" t="s">
        <v>271</v>
      </c>
      <c r="L3" s="712" t="s">
        <v>272</v>
      </c>
      <c r="M3" s="712" t="s">
        <v>273</v>
      </c>
      <c r="N3" s="712"/>
      <c r="O3" s="715" t="s">
        <v>274</v>
      </c>
      <c r="P3" s="718" t="s">
        <v>264</v>
      </c>
      <c r="Q3" s="712"/>
      <c r="R3" s="714" t="s">
        <v>555</v>
      </c>
      <c r="S3" s="714"/>
      <c r="T3" s="714"/>
      <c r="U3" s="714"/>
      <c r="V3" s="714"/>
      <c r="W3" s="714" t="s">
        <v>489</v>
      </c>
      <c r="X3" s="714"/>
      <c r="Y3" s="715" t="s">
        <v>275</v>
      </c>
    </row>
    <row r="4" spans="1:25" s="603" customFormat="1" ht="44.25" customHeight="1">
      <c r="A4" s="719"/>
      <c r="B4" s="713"/>
      <c r="C4" s="713"/>
      <c r="D4" s="713"/>
      <c r="E4" s="713"/>
      <c r="F4" s="713"/>
      <c r="G4" s="600" t="s">
        <v>276</v>
      </c>
      <c r="H4" s="600" t="s">
        <v>277</v>
      </c>
      <c r="I4" s="600" t="s">
        <v>276</v>
      </c>
      <c r="J4" s="600" t="s">
        <v>277</v>
      </c>
      <c r="K4" s="713"/>
      <c r="L4" s="713"/>
      <c r="M4" s="600" t="s">
        <v>278</v>
      </c>
      <c r="N4" s="600" t="s">
        <v>279</v>
      </c>
      <c r="O4" s="716"/>
      <c r="P4" s="719"/>
      <c r="Q4" s="713"/>
      <c r="R4" s="600" t="s">
        <v>542</v>
      </c>
      <c r="S4" s="600" t="s">
        <v>280</v>
      </c>
      <c r="T4" s="600" t="s">
        <v>281</v>
      </c>
      <c r="U4" s="600" t="s">
        <v>282</v>
      </c>
      <c r="V4" s="600" t="s">
        <v>283</v>
      </c>
      <c r="W4" s="600" t="s">
        <v>530</v>
      </c>
      <c r="X4" s="600" t="s">
        <v>549</v>
      </c>
      <c r="Y4" s="716"/>
    </row>
    <row r="5" spans="1:25" ht="10.5" customHeight="1">
      <c r="A5" s="717" t="s">
        <v>558</v>
      </c>
      <c r="B5" s="607" t="s">
        <v>490</v>
      </c>
      <c r="C5" s="608">
        <v>6031</v>
      </c>
      <c r="D5" s="608">
        <v>4335</v>
      </c>
      <c r="E5" s="608">
        <v>1508</v>
      </c>
      <c r="F5" s="608">
        <v>0</v>
      </c>
      <c r="G5" s="608">
        <v>0</v>
      </c>
      <c r="H5" s="608">
        <v>0</v>
      </c>
      <c r="I5" s="608">
        <v>0</v>
      </c>
      <c r="J5" s="608">
        <v>0</v>
      </c>
      <c r="K5" s="608"/>
      <c r="L5" s="608">
        <v>0</v>
      </c>
      <c r="M5" s="608">
        <v>0</v>
      </c>
      <c r="N5" s="608">
        <v>0</v>
      </c>
      <c r="O5" s="609">
        <f aca="true" t="shared" si="0" ref="O5:O60">SUM(C5:N5)-D5</f>
        <v>7539</v>
      </c>
      <c r="P5" s="717" t="s">
        <v>558</v>
      </c>
      <c r="Q5" s="607" t="s">
        <v>490</v>
      </c>
      <c r="R5" s="608">
        <f>35877</f>
        <v>35877</v>
      </c>
      <c r="S5" s="608">
        <v>9320</v>
      </c>
      <c r="T5" s="608">
        <v>13615</v>
      </c>
      <c r="U5" s="608">
        <v>5102</v>
      </c>
      <c r="V5" s="608">
        <v>0</v>
      </c>
      <c r="W5" s="608">
        <v>0</v>
      </c>
      <c r="X5" s="608">
        <v>1350</v>
      </c>
      <c r="Y5" s="609">
        <f aca="true" t="shared" si="1" ref="Y5:Y60">SUM(R5:X5)-U5</f>
        <v>60162</v>
      </c>
    </row>
    <row r="6" spans="1:25" ht="10.5" customHeight="1">
      <c r="A6" s="717"/>
      <c r="B6" s="607" t="s">
        <v>284</v>
      </c>
      <c r="C6" s="608">
        <v>6031</v>
      </c>
      <c r="D6" s="608">
        <v>4335</v>
      </c>
      <c r="E6" s="608">
        <v>1508</v>
      </c>
      <c r="F6" s="608">
        <v>0</v>
      </c>
      <c r="G6" s="608">
        <v>0</v>
      </c>
      <c r="H6" s="608">
        <v>0</v>
      </c>
      <c r="I6" s="608">
        <v>0</v>
      </c>
      <c r="J6" s="608">
        <v>0</v>
      </c>
      <c r="K6" s="608"/>
      <c r="L6" s="608">
        <v>0</v>
      </c>
      <c r="M6" s="608">
        <v>193</v>
      </c>
      <c r="N6" s="608">
        <v>0</v>
      </c>
      <c r="O6" s="609">
        <f t="shared" si="0"/>
        <v>7732</v>
      </c>
      <c r="P6" s="717"/>
      <c r="Q6" s="607" t="s">
        <v>284</v>
      </c>
      <c r="R6" s="608">
        <f>35877+2043-129</f>
        <v>37791</v>
      </c>
      <c r="S6" s="608">
        <f>9320+552+39</f>
        <v>9911</v>
      </c>
      <c r="T6" s="608">
        <f>13615+120+129+415+193</f>
        <v>14472</v>
      </c>
      <c r="U6" s="608">
        <v>5102</v>
      </c>
      <c r="V6" s="608">
        <v>0</v>
      </c>
      <c r="W6" s="608">
        <v>0</v>
      </c>
      <c r="X6" s="608">
        <v>1350</v>
      </c>
      <c r="Y6" s="609">
        <f t="shared" si="1"/>
        <v>63524</v>
      </c>
    </row>
    <row r="7" spans="1:25" ht="10.5" customHeight="1">
      <c r="A7" s="717"/>
      <c r="B7" s="607" t="s">
        <v>285</v>
      </c>
      <c r="C7" s="608">
        <v>6031</v>
      </c>
      <c r="D7" s="608">
        <v>4335</v>
      </c>
      <c r="E7" s="608">
        <v>1508</v>
      </c>
      <c r="F7" s="608">
        <v>0</v>
      </c>
      <c r="G7" s="608">
        <v>0</v>
      </c>
      <c r="H7" s="608">
        <v>0</v>
      </c>
      <c r="I7" s="608">
        <v>0</v>
      </c>
      <c r="J7" s="608">
        <v>0</v>
      </c>
      <c r="K7" s="608"/>
      <c r="L7" s="608">
        <v>0</v>
      </c>
      <c r="M7" s="608">
        <v>193</v>
      </c>
      <c r="N7" s="608">
        <v>0</v>
      </c>
      <c r="O7" s="609">
        <f t="shared" si="0"/>
        <v>7732</v>
      </c>
      <c r="P7" s="717"/>
      <c r="Q7" s="607" t="s">
        <v>285</v>
      </c>
      <c r="R7" s="608">
        <f>37791+188+250</f>
        <v>38229</v>
      </c>
      <c r="S7" s="608">
        <f>9911+24</f>
        <v>9935</v>
      </c>
      <c r="T7" s="608">
        <f>14472+25+30</f>
        <v>14527</v>
      </c>
      <c r="U7" s="608">
        <v>5102</v>
      </c>
      <c r="V7" s="608">
        <v>0</v>
      </c>
      <c r="W7" s="608">
        <v>0</v>
      </c>
      <c r="X7" s="608">
        <f>1350+2619</f>
        <v>3969</v>
      </c>
      <c r="Y7" s="609">
        <f t="shared" si="1"/>
        <v>66660</v>
      </c>
    </row>
    <row r="8" spans="1:25" ht="10.5" customHeight="1">
      <c r="A8" s="717"/>
      <c r="B8" s="607" t="s">
        <v>286</v>
      </c>
      <c r="C8" s="608">
        <v>6031</v>
      </c>
      <c r="D8" s="608">
        <v>4335</v>
      </c>
      <c r="E8" s="608">
        <f>1508+2132</f>
        <v>3640</v>
      </c>
      <c r="F8" s="608">
        <v>0</v>
      </c>
      <c r="G8" s="608"/>
      <c r="H8" s="608"/>
      <c r="I8" s="608"/>
      <c r="J8" s="608"/>
      <c r="K8" s="608"/>
      <c r="L8" s="608"/>
      <c r="M8" s="608">
        <v>193</v>
      </c>
      <c r="N8" s="608"/>
      <c r="O8" s="609">
        <f t="shared" si="0"/>
        <v>9864</v>
      </c>
      <c r="P8" s="717"/>
      <c r="Q8" s="607" t="s">
        <v>286</v>
      </c>
      <c r="R8" s="608">
        <f>37791+188+250+1679</f>
        <v>39908</v>
      </c>
      <c r="S8" s="608">
        <f>9911+24+453</f>
        <v>10388</v>
      </c>
      <c r="T8" s="608">
        <f>14472+25+30</f>
        <v>14527</v>
      </c>
      <c r="U8" s="608">
        <v>5102</v>
      </c>
      <c r="V8" s="608">
        <v>0</v>
      </c>
      <c r="W8" s="608">
        <v>0</v>
      </c>
      <c r="X8" s="608">
        <f>1350+2619</f>
        <v>3969</v>
      </c>
      <c r="Y8" s="609">
        <f t="shared" si="1"/>
        <v>68792</v>
      </c>
    </row>
    <row r="9" spans="1:25" ht="10.5" customHeight="1">
      <c r="A9" s="717" t="s">
        <v>559</v>
      </c>
      <c r="B9" s="607" t="s">
        <v>490</v>
      </c>
      <c r="C9" s="608">
        <v>3554</v>
      </c>
      <c r="D9" s="608">
        <v>3016</v>
      </c>
      <c r="E9" s="608">
        <v>889</v>
      </c>
      <c r="F9" s="608">
        <v>0</v>
      </c>
      <c r="G9" s="608">
        <v>0</v>
      </c>
      <c r="H9" s="608">
        <v>0</v>
      </c>
      <c r="I9" s="608">
        <v>0</v>
      </c>
      <c r="J9" s="608">
        <v>0</v>
      </c>
      <c r="K9" s="608"/>
      <c r="L9" s="608">
        <v>0</v>
      </c>
      <c r="M9" s="608">
        <v>0</v>
      </c>
      <c r="N9" s="608">
        <v>0</v>
      </c>
      <c r="O9" s="609">
        <f t="shared" si="0"/>
        <v>4443</v>
      </c>
      <c r="P9" s="717" t="s">
        <v>559</v>
      </c>
      <c r="Q9" s="607" t="s">
        <v>490</v>
      </c>
      <c r="R9" s="608">
        <v>25342</v>
      </c>
      <c r="S9" s="608">
        <v>6611</v>
      </c>
      <c r="T9" s="608">
        <v>10485</v>
      </c>
      <c r="U9" s="608">
        <v>4556</v>
      </c>
      <c r="V9" s="608">
        <v>0</v>
      </c>
      <c r="W9" s="608">
        <v>0</v>
      </c>
      <c r="X9" s="608">
        <v>0</v>
      </c>
      <c r="Y9" s="609">
        <f t="shared" si="1"/>
        <v>42438</v>
      </c>
    </row>
    <row r="10" spans="1:25" ht="10.5" customHeight="1">
      <c r="A10" s="717"/>
      <c r="B10" s="607" t="s">
        <v>284</v>
      </c>
      <c r="C10" s="608">
        <v>3554</v>
      </c>
      <c r="D10" s="608">
        <v>3016</v>
      </c>
      <c r="E10" s="608">
        <v>889</v>
      </c>
      <c r="F10" s="608">
        <v>0</v>
      </c>
      <c r="G10" s="608">
        <v>0</v>
      </c>
      <c r="H10" s="608">
        <v>0</v>
      </c>
      <c r="I10" s="608">
        <v>0</v>
      </c>
      <c r="J10" s="608">
        <v>0</v>
      </c>
      <c r="K10" s="608"/>
      <c r="L10" s="608">
        <v>0</v>
      </c>
      <c r="M10" s="608">
        <v>8</v>
      </c>
      <c r="N10" s="608">
        <v>0</v>
      </c>
      <c r="O10" s="609">
        <f t="shared" si="0"/>
        <v>4451</v>
      </c>
      <c r="P10" s="717"/>
      <c r="Q10" s="607" t="s">
        <v>284</v>
      </c>
      <c r="R10" s="608">
        <f>25342+1336+37</f>
        <v>26715</v>
      </c>
      <c r="S10" s="608">
        <f>6611+361+26+10</f>
        <v>7008</v>
      </c>
      <c r="T10" s="608">
        <f>10485+160+8</f>
        <v>10653</v>
      </c>
      <c r="U10" s="608">
        <v>4556</v>
      </c>
      <c r="V10" s="608">
        <v>0</v>
      </c>
      <c r="W10" s="608">
        <v>0</v>
      </c>
      <c r="X10" s="608">
        <v>0</v>
      </c>
      <c r="Y10" s="609">
        <f t="shared" si="1"/>
        <v>44376</v>
      </c>
    </row>
    <row r="11" spans="1:25" ht="10.5" customHeight="1">
      <c r="A11" s="717"/>
      <c r="B11" s="607" t="s">
        <v>285</v>
      </c>
      <c r="C11" s="608">
        <v>3554</v>
      </c>
      <c r="D11" s="608">
        <v>3016</v>
      </c>
      <c r="E11" s="608">
        <v>889</v>
      </c>
      <c r="F11" s="608">
        <v>0</v>
      </c>
      <c r="G11" s="608">
        <v>0</v>
      </c>
      <c r="H11" s="608">
        <v>0</v>
      </c>
      <c r="I11" s="608">
        <v>0</v>
      </c>
      <c r="J11" s="608">
        <v>0</v>
      </c>
      <c r="K11" s="608"/>
      <c r="L11" s="608">
        <v>0</v>
      </c>
      <c r="M11" s="608">
        <v>8</v>
      </c>
      <c r="N11" s="608">
        <v>0</v>
      </c>
      <c r="O11" s="609">
        <f t="shared" si="0"/>
        <v>4451</v>
      </c>
      <c r="P11" s="717"/>
      <c r="Q11" s="607" t="s">
        <v>285</v>
      </c>
      <c r="R11" s="608">
        <f>26715+60+396</f>
        <v>27171</v>
      </c>
      <c r="S11" s="608">
        <f>7008+107</f>
        <v>7115</v>
      </c>
      <c r="T11" s="608">
        <f>10653+15+30</f>
        <v>10698</v>
      </c>
      <c r="U11" s="608">
        <v>4556</v>
      </c>
      <c r="V11" s="608">
        <v>0</v>
      </c>
      <c r="W11" s="608">
        <v>0</v>
      </c>
      <c r="X11" s="608">
        <v>1000</v>
      </c>
      <c r="Y11" s="609">
        <f t="shared" si="1"/>
        <v>45984</v>
      </c>
    </row>
    <row r="12" spans="1:25" ht="10.5" customHeight="1">
      <c r="A12" s="717"/>
      <c r="B12" s="607" t="s">
        <v>286</v>
      </c>
      <c r="C12" s="608">
        <f>3554+503</f>
        <v>4057</v>
      </c>
      <c r="D12" s="608">
        <v>3016</v>
      </c>
      <c r="E12" s="608">
        <v>889</v>
      </c>
      <c r="F12" s="608"/>
      <c r="G12" s="608"/>
      <c r="H12" s="608"/>
      <c r="I12" s="608"/>
      <c r="J12" s="608"/>
      <c r="K12" s="608"/>
      <c r="L12" s="608"/>
      <c r="M12" s="608">
        <v>8</v>
      </c>
      <c r="N12" s="608"/>
      <c r="O12" s="609">
        <f t="shared" si="0"/>
        <v>4954</v>
      </c>
      <c r="P12" s="717"/>
      <c r="Q12" s="607" t="s">
        <v>286</v>
      </c>
      <c r="R12" s="608">
        <f>26715+60+396</f>
        <v>27171</v>
      </c>
      <c r="S12" s="608">
        <f>7008+107</f>
        <v>7115</v>
      </c>
      <c r="T12" s="608">
        <f>10653+15+30-265</f>
        <v>10433</v>
      </c>
      <c r="U12" s="608">
        <v>4556</v>
      </c>
      <c r="V12" s="608">
        <v>0</v>
      </c>
      <c r="W12" s="608">
        <v>0</v>
      </c>
      <c r="X12" s="608">
        <f>1000+265</f>
        <v>1265</v>
      </c>
      <c r="Y12" s="609">
        <f t="shared" si="1"/>
        <v>45984</v>
      </c>
    </row>
    <row r="13" spans="1:25" ht="10.5" customHeight="1">
      <c r="A13" s="717" t="s">
        <v>464</v>
      </c>
      <c r="B13" s="607" t="s">
        <v>490</v>
      </c>
      <c r="C13" s="608">
        <v>1836</v>
      </c>
      <c r="D13" s="608">
        <v>1567</v>
      </c>
      <c r="E13" s="608">
        <v>459</v>
      </c>
      <c r="F13" s="608">
        <v>0</v>
      </c>
      <c r="G13" s="608">
        <v>0</v>
      </c>
      <c r="H13" s="608">
        <v>0</v>
      </c>
      <c r="I13" s="608">
        <v>0</v>
      </c>
      <c r="J13" s="608">
        <v>0</v>
      </c>
      <c r="K13" s="608"/>
      <c r="L13" s="608">
        <v>0</v>
      </c>
      <c r="M13" s="608">
        <v>0</v>
      </c>
      <c r="N13" s="608">
        <v>0</v>
      </c>
      <c r="O13" s="609">
        <f t="shared" si="0"/>
        <v>2295</v>
      </c>
      <c r="P13" s="717" t="s">
        <v>464</v>
      </c>
      <c r="Q13" s="607" t="s">
        <v>490</v>
      </c>
      <c r="R13" s="608">
        <v>13509</v>
      </c>
      <c r="S13" s="608">
        <v>3547</v>
      </c>
      <c r="T13" s="608">
        <v>6609</v>
      </c>
      <c r="U13" s="608">
        <v>2222</v>
      </c>
      <c r="V13" s="608">
        <v>0</v>
      </c>
      <c r="W13" s="608">
        <v>0</v>
      </c>
      <c r="X13" s="608">
        <v>5000</v>
      </c>
      <c r="Y13" s="609">
        <f t="shared" si="1"/>
        <v>28665</v>
      </c>
    </row>
    <row r="14" spans="1:25" ht="10.5" customHeight="1">
      <c r="A14" s="717"/>
      <c r="B14" s="607" t="s">
        <v>284</v>
      </c>
      <c r="C14" s="608">
        <v>1836</v>
      </c>
      <c r="D14" s="608">
        <v>1567</v>
      </c>
      <c r="E14" s="608">
        <v>459</v>
      </c>
      <c r="F14" s="608">
        <v>0</v>
      </c>
      <c r="G14" s="608">
        <v>0</v>
      </c>
      <c r="H14" s="608">
        <v>0</v>
      </c>
      <c r="I14" s="608">
        <v>0</v>
      </c>
      <c r="J14" s="608">
        <v>0</v>
      </c>
      <c r="K14" s="608"/>
      <c r="L14" s="608">
        <v>0</v>
      </c>
      <c r="M14" s="608">
        <v>12</v>
      </c>
      <c r="N14" s="608">
        <v>0</v>
      </c>
      <c r="O14" s="609">
        <f t="shared" si="0"/>
        <v>2307</v>
      </c>
      <c r="P14" s="717"/>
      <c r="Q14" s="607" t="s">
        <v>284</v>
      </c>
      <c r="R14" s="608">
        <f>13509+700+39</f>
        <v>14248</v>
      </c>
      <c r="S14" s="608">
        <f>3547+189+15+11</f>
        <v>3762</v>
      </c>
      <c r="T14" s="608">
        <f>6609+12</f>
        <v>6621</v>
      </c>
      <c r="U14" s="608">
        <v>2222</v>
      </c>
      <c r="V14" s="608">
        <v>0</v>
      </c>
      <c r="W14" s="608">
        <v>0</v>
      </c>
      <c r="X14" s="608">
        <v>5000</v>
      </c>
      <c r="Y14" s="609">
        <f t="shared" si="1"/>
        <v>29631</v>
      </c>
    </row>
    <row r="15" spans="1:25" ht="10.5" customHeight="1">
      <c r="A15" s="717"/>
      <c r="B15" s="607" t="s">
        <v>285</v>
      </c>
      <c r="C15" s="608">
        <v>1836</v>
      </c>
      <c r="D15" s="608">
        <v>1567</v>
      </c>
      <c r="E15" s="608">
        <v>459</v>
      </c>
      <c r="F15" s="608">
        <v>0</v>
      </c>
      <c r="G15" s="608">
        <v>0</v>
      </c>
      <c r="H15" s="608">
        <v>0</v>
      </c>
      <c r="I15" s="608">
        <v>0</v>
      </c>
      <c r="J15" s="608">
        <v>0</v>
      </c>
      <c r="K15" s="608"/>
      <c r="L15" s="608">
        <v>0</v>
      </c>
      <c r="M15" s="608">
        <v>12</v>
      </c>
      <c r="N15" s="608">
        <v>0</v>
      </c>
      <c r="O15" s="609">
        <f t="shared" si="0"/>
        <v>2307</v>
      </c>
      <c r="P15" s="717"/>
      <c r="Q15" s="607" t="s">
        <v>285</v>
      </c>
      <c r="R15" s="608">
        <f>14248+60+976+250</f>
        <v>15534</v>
      </c>
      <c r="S15" s="608">
        <f>3762+264</f>
        <v>4026</v>
      </c>
      <c r="T15" s="608">
        <f>6621+15+30</f>
        <v>6666</v>
      </c>
      <c r="U15" s="608">
        <v>2222</v>
      </c>
      <c r="V15" s="608">
        <v>0</v>
      </c>
      <c r="W15" s="608">
        <v>0</v>
      </c>
      <c r="X15" s="608">
        <v>5000</v>
      </c>
      <c r="Y15" s="609">
        <f t="shared" si="1"/>
        <v>31226</v>
      </c>
    </row>
    <row r="16" spans="1:25" ht="10.5" customHeight="1">
      <c r="A16" s="717"/>
      <c r="B16" s="607" t="s">
        <v>286</v>
      </c>
      <c r="C16" s="608">
        <v>1836</v>
      </c>
      <c r="D16" s="608">
        <v>1567</v>
      </c>
      <c r="E16" s="608">
        <v>459</v>
      </c>
      <c r="F16" s="608"/>
      <c r="G16" s="608"/>
      <c r="H16" s="608"/>
      <c r="I16" s="608"/>
      <c r="J16" s="608"/>
      <c r="K16" s="608"/>
      <c r="L16" s="608"/>
      <c r="M16" s="608">
        <v>12</v>
      </c>
      <c r="N16" s="608"/>
      <c r="O16" s="609">
        <f t="shared" si="0"/>
        <v>2307</v>
      </c>
      <c r="P16" s="717"/>
      <c r="Q16" s="607" t="s">
        <v>286</v>
      </c>
      <c r="R16" s="608">
        <f>14248+60+976+250</f>
        <v>15534</v>
      </c>
      <c r="S16" s="608">
        <f>3762+264</f>
        <v>4026</v>
      </c>
      <c r="T16" s="608">
        <f>6621+15+30</f>
        <v>6666</v>
      </c>
      <c r="U16" s="608">
        <v>2222</v>
      </c>
      <c r="V16" s="608">
        <v>0</v>
      </c>
      <c r="W16" s="608">
        <v>0</v>
      </c>
      <c r="X16" s="608">
        <v>5000</v>
      </c>
      <c r="Y16" s="609">
        <f t="shared" si="1"/>
        <v>31226</v>
      </c>
    </row>
    <row r="17" spans="1:25" ht="10.5" customHeight="1">
      <c r="A17" s="717" t="s">
        <v>560</v>
      </c>
      <c r="B17" s="607" t="s">
        <v>490</v>
      </c>
      <c r="C17" s="608">
        <v>2742</v>
      </c>
      <c r="D17" s="608">
        <v>2358</v>
      </c>
      <c r="E17" s="608">
        <v>685</v>
      </c>
      <c r="F17" s="608">
        <v>0</v>
      </c>
      <c r="G17" s="608">
        <v>0</v>
      </c>
      <c r="H17" s="608">
        <v>0</v>
      </c>
      <c r="I17" s="608">
        <v>0</v>
      </c>
      <c r="J17" s="608">
        <v>0</v>
      </c>
      <c r="K17" s="608"/>
      <c r="L17" s="608">
        <v>0</v>
      </c>
      <c r="M17" s="608">
        <v>0</v>
      </c>
      <c r="N17" s="608">
        <v>0</v>
      </c>
      <c r="O17" s="609">
        <f t="shared" si="0"/>
        <v>3427</v>
      </c>
      <c r="P17" s="717" t="s">
        <v>560</v>
      </c>
      <c r="Q17" s="607" t="s">
        <v>490</v>
      </c>
      <c r="R17" s="608">
        <v>20164</v>
      </c>
      <c r="S17" s="608">
        <v>5222</v>
      </c>
      <c r="T17" s="608">
        <v>7623</v>
      </c>
      <c r="U17" s="608">
        <v>3232</v>
      </c>
      <c r="V17" s="608">
        <v>0</v>
      </c>
      <c r="W17" s="608">
        <v>0</v>
      </c>
      <c r="X17" s="608">
        <v>0</v>
      </c>
      <c r="Y17" s="609">
        <f t="shared" si="1"/>
        <v>33009</v>
      </c>
    </row>
    <row r="18" spans="1:25" ht="10.5" customHeight="1">
      <c r="A18" s="717"/>
      <c r="B18" s="607" t="s">
        <v>284</v>
      </c>
      <c r="C18" s="608">
        <v>2742</v>
      </c>
      <c r="D18" s="608">
        <v>2358</v>
      </c>
      <c r="E18" s="608">
        <v>685</v>
      </c>
      <c r="F18" s="608">
        <v>0</v>
      </c>
      <c r="G18" s="608">
        <v>0</v>
      </c>
      <c r="H18" s="608">
        <v>0</v>
      </c>
      <c r="I18" s="608">
        <v>0</v>
      </c>
      <c r="J18" s="608">
        <v>0</v>
      </c>
      <c r="K18" s="608"/>
      <c r="L18" s="608">
        <v>0</v>
      </c>
      <c r="M18" s="608">
        <v>0</v>
      </c>
      <c r="N18" s="608">
        <v>0</v>
      </c>
      <c r="O18" s="609">
        <f t="shared" si="0"/>
        <v>3427</v>
      </c>
      <c r="P18" s="717"/>
      <c r="Q18" s="607" t="s">
        <v>284</v>
      </c>
      <c r="R18" s="608">
        <f>20164+1011+233+80</f>
        <v>21488</v>
      </c>
      <c r="S18" s="608">
        <f>5222+273+63+19+22</f>
        <v>5599</v>
      </c>
      <c r="T18" s="608">
        <f>7623+50</f>
        <v>7673</v>
      </c>
      <c r="U18" s="608">
        <v>3232</v>
      </c>
      <c r="V18" s="608">
        <v>0</v>
      </c>
      <c r="W18" s="608">
        <v>0</v>
      </c>
      <c r="X18" s="608">
        <v>0</v>
      </c>
      <c r="Y18" s="609">
        <f t="shared" si="1"/>
        <v>34760</v>
      </c>
    </row>
    <row r="19" spans="1:25" ht="10.5" customHeight="1">
      <c r="A19" s="717"/>
      <c r="B19" s="607" t="s">
        <v>285</v>
      </c>
      <c r="C19" s="608">
        <f>2742-851</f>
        <v>1891</v>
      </c>
      <c r="D19" s="608">
        <v>2358</v>
      </c>
      <c r="E19" s="608">
        <f>685-626</f>
        <v>59</v>
      </c>
      <c r="F19" s="608">
        <v>0</v>
      </c>
      <c r="G19" s="608">
        <v>0</v>
      </c>
      <c r="H19" s="608">
        <v>0</v>
      </c>
      <c r="I19" s="608">
        <v>0</v>
      </c>
      <c r="J19" s="608">
        <v>0</v>
      </c>
      <c r="K19" s="608"/>
      <c r="L19" s="608">
        <v>0</v>
      </c>
      <c r="M19" s="608">
        <v>0</v>
      </c>
      <c r="N19" s="608">
        <v>0</v>
      </c>
      <c r="O19" s="609">
        <f t="shared" si="0"/>
        <v>1950</v>
      </c>
      <c r="P19" s="717"/>
      <c r="Q19" s="607" t="s">
        <v>285</v>
      </c>
      <c r="R19" s="608">
        <f>21488-7531</f>
        <v>13957</v>
      </c>
      <c r="S19" s="608">
        <f>5222+273+63+19+22-1934</f>
        <v>3665</v>
      </c>
      <c r="T19" s="608">
        <f>7623+50-3571</f>
        <v>4102</v>
      </c>
      <c r="U19" s="608">
        <v>3232</v>
      </c>
      <c r="V19" s="608">
        <v>0</v>
      </c>
      <c r="W19" s="608">
        <v>0</v>
      </c>
      <c r="X19" s="608">
        <v>0</v>
      </c>
      <c r="Y19" s="609">
        <f t="shared" si="1"/>
        <v>21724</v>
      </c>
    </row>
    <row r="20" spans="1:25" ht="10.5" customHeight="1">
      <c r="A20" s="717"/>
      <c r="B20" s="607" t="s">
        <v>286</v>
      </c>
      <c r="C20" s="608">
        <f>2742-851</f>
        <v>1891</v>
      </c>
      <c r="D20" s="608">
        <v>2358</v>
      </c>
      <c r="E20" s="608">
        <f>685-626</f>
        <v>59</v>
      </c>
      <c r="F20" s="608"/>
      <c r="G20" s="608"/>
      <c r="H20" s="608"/>
      <c r="I20" s="608"/>
      <c r="J20" s="608"/>
      <c r="K20" s="608"/>
      <c r="L20" s="608"/>
      <c r="M20" s="608"/>
      <c r="N20" s="608"/>
      <c r="O20" s="609">
        <f t="shared" si="0"/>
        <v>1950</v>
      </c>
      <c r="P20" s="717"/>
      <c r="Q20" s="607" t="s">
        <v>286</v>
      </c>
      <c r="R20" s="608">
        <f>21488-7531</f>
        <v>13957</v>
      </c>
      <c r="S20" s="608">
        <f>5222+273+63+19+22-1934</f>
        <v>3665</v>
      </c>
      <c r="T20" s="608">
        <f>7623+50-3571</f>
        <v>4102</v>
      </c>
      <c r="U20" s="608">
        <v>3232</v>
      </c>
      <c r="V20" s="608">
        <v>0</v>
      </c>
      <c r="W20" s="608">
        <v>0</v>
      </c>
      <c r="X20" s="608">
        <v>0</v>
      </c>
      <c r="Y20" s="609">
        <f t="shared" si="1"/>
        <v>21724</v>
      </c>
    </row>
    <row r="21" spans="1:25" ht="10.5" customHeight="1">
      <c r="A21" s="717" t="s">
        <v>561</v>
      </c>
      <c r="B21" s="607" t="s">
        <v>490</v>
      </c>
      <c r="C21" s="608">
        <v>4314</v>
      </c>
      <c r="D21" s="608">
        <v>3661</v>
      </c>
      <c r="E21" s="608">
        <v>1078</v>
      </c>
      <c r="F21" s="608">
        <v>0</v>
      </c>
      <c r="G21" s="608">
        <v>0</v>
      </c>
      <c r="H21" s="608">
        <v>0</v>
      </c>
      <c r="I21" s="608">
        <v>0</v>
      </c>
      <c r="J21" s="608">
        <v>0</v>
      </c>
      <c r="K21" s="608"/>
      <c r="L21" s="608">
        <v>0</v>
      </c>
      <c r="M21" s="608">
        <v>0</v>
      </c>
      <c r="N21" s="608">
        <v>0</v>
      </c>
      <c r="O21" s="609">
        <f t="shared" si="0"/>
        <v>5392</v>
      </c>
      <c r="P21" s="717" t="s">
        <v>561</v>
      </c>
      <c r="Q21" s="607" t="s">
        <v>490</v>
      </c>
      <c r="R21" s="608">
        <f>30737-36</f>
        <v>30701</v>
      </c>
      <c r="S21" s="608">
        <v>7970</v>
      </c>
      <c r="T21" s="608">
        <f>10713-9</f>
        <v>10704</v>
      </c>
      <c r="U21" s="608">
        <v>4092</v>
      </c>
      <c r="V21" s="608">
        <v>0</v>
      </c>
      <c r="W21" s="608">
        <v>0</v>
      </c>
      <c r="X21" s="608">
        <v>0</v>
      </c>
      <c r="Y21" s="609">
        <f t="shared" si="1"/>
        <v>49375</v>
      </c>
    </row>
    <row r="22" spans="1:25" ht="10.5" customHeight="1">
      <c r="A22" s="717"/>
      <c r="B22" s="607" t="s">
        <v>284</v>
      </c>
      <c r="C22" s="608">
        <v>4314</v>
      </c>
      <c r="D22" s="608">
        <v>3661</v>
      </c>
      <c r="E22" s="608">
        <v>1078</v>
      </c>
      <c r="F22" s="608">
        <v>0</v>
      </c>
      <c r="G22" s="608">
        <v>0</v>
      </c>
      <c r="H22" s="608">
        <v>0</v>
      </c>
      <c r="I22" s="608">
        <v>0</v>
      </c>
      <c r="J22" s="608">
        <v>0</v>
      </c>
      <c r="K22" s="608"/>
      <c r="L22" s="608">
        <v>0</v>
      </c>
      <c r="M22" s="608">
        <v>249</v>
      </c>
      <c r="N22" s="608">
        <v>0</v>
      </c>
      <c r="O22" s="609">
        <f t="shared" si="0"/>
        <v>5641</v>
      </c>
      <c r="P22" s="717"/>
      <c r="Q22" s="607" t="s">
        <v>284</v>
      </c>
      <c r="R22" s="608">
        <f>30737-36+1699+14+90</f>
        <v>32504</v>
      </c>
      <c r="S22" s="608">
        <f>7970+459+30+4+24</f>
        <v>8487</v>
      </c>
      <c r="T22" s="608">
        <f>10713-9+231</f>
        <v>10935</v>
      </c>
      <c r="U22" s="608">
        <v>4092</v>
      </c>
      <c r="V22" s="608">
        <v>0</v>
      </c>
      <c r="W22" s="608">
        <v>0</v>
      </c>
      <c r="X22" s="608">
        <v>0</v>
      </c>
      <c r="Y22" s="609">
        <f t="shared" si="1"/>
        <v>51926</v>
      </c>
    </row>
    <row r="23" spans="1:25" ht="10.5" customHeight="1">
      <c r="A23" s="717"/>
      <c r="B23" s="607" t="s">
        <v>285</v>
      </c>
      <c r="C23" s="608">
        <v>4314</v>
      </c>
      <c r="D23" s="608">
        <v>3661</v>
      </c>
      <c r="E23" s="608">
        <v>1078</v>
      </c>
      <c r="F23" s="608">
        <v>0</v>
      </c>
      <c r="G23" s="608">
        <v>0</v>
      </c>
      <c r="H23" s="608">
        <v>0</v>
      </c>
      <c r="I23" s="608">
        <v>0</v>
      </c>
      <c r="J23" s="608">
        <v>0</v>
      </c>
      <c r="K23" s="608"/>
      <c r="L23" s="608">
        <v>0</v>
      </c>
      <c r="M23" s="608">
        <v>249</v>
      </c>
      <c r="N23" s="608">
        <v>0</v>
      </c>
      <c r="O23" s="609">
        <f t="shared" si="0"/>
        <v>5641</v>
      </c>
      <c r="P23" s="717"/>
      <c r="Q23" s="607" t="s">
        <v>285</v>
      </c>
      <c r="R23" s="608">
        <f>32504+110</f>
        <v>32614</v>
      </c>
      <c r="S23" s="608">
        <f>7970+459+30+4+24</f>
        <v>8487</v>
      </c>
      <c r="T23" s="608">
        <f>10935+28+30</f>
        <v>10993</v>
      </c>
      <c r="U23" s="608">
        <v>4092</v>
      </c>
      <c r="V23" s="608">
        <v>0</v>
      </c>
      <c r="W23" s="608">
        <v>0</v>
      </c>
      <c r="X23" s="608">
        <v>0</v>
      </c>
      <c r="Y23" s="609">
        <f t="shared" si="1"/>
        <v>52094</v>
      </c>
    </row>
    <row r="24" spans="1:25" ht="10.5" customHeight="1">
      <c r="A24" s="717"/>
      <c r="B24" s="607" t="s">
        <v>286</v>
      </c>
      <c r="C24" s="608">
        <f>4314+30</f>
        <v>4344</v>
      </c>
      <c r="D24" s="608">
        <v>3661</v>
      </c>
      <c r="E24" s="608">
        <v>1078</v>
      </c>
      <c r="F24" s="608"/>
      <c r="G24" s="608"/>
      <c r="H24" s="608"/>
      <c r="I24" s="608"/>
      <c r="J24" s="608"/>
      <c r="K24" s="608"/>
      <c r="L24" s="608"/>
      <c r="M24" s="608">
        <v>249</v>
      </c>
      <c r="N24" s="608"/>
      <c r="O24" s="609">
        <f t="shared" si="0"/>
        <v>5671</v>
      </c>
      <c r="P24" s="717"/>
      <c r="Q24" s="607" t="s">
        <v>286</v>
      </c>
      <c r="R24" s="608">
        <f>32504+110</f>
        <v>32614</v>
      </c>
      <c r="S24" s="608">
        <f>7970+459+30+4+24</f>
        <v>8487</v>
      </c>
      <c r="T24" s="608">
        <f>10935+28+30+30</f>
        <v>11023</v>
      </c>
      <c r="U24" s="608">
        <v>4092</v>
      </c>
      <c r="V24" s="608">
        <v>0</v>
      </c>
      <c r="W24" s="608">
        <v>0</v>
      </c>
      <c r="X24" s="608">
        <v>0</v>
      </c>
      <c r="Y24" s="609">
        <f t="shared" si="1"/>
        <v>52124</v>
      </c>
    </row>
    <row r="25" spans="1:25" ht="10.5" customHeight="1">
      <c r="A25" s="717" t="s">
        <v>287</v>
      </c>
      <c r="B25" s="607" t="s">
        <v>490</v>
      </c>
      <c r="C25" s="608">
        <v>2797</v>
      </c>
      <c r="D25" s="608">
        <v>2358</v>
      </c>
      <c r="E25" s="608">
        <v>699</v>
      </c>
      <c r="F25" s="608">
        <v>0</v>
      </c>
      <c r="G25" s="608">
        <v>0</v>
      </c>
      <c r="H25" s="608">
        <v>0</v>
      </c>
      <c r="I25" s="608">
        <v>0</v>
      </c>
      <c r="J25" s="608">
        <v>0</v>
      </c>
      <c r="K25" s="608"/>
      <c r="L25" s="608">
        <v>0</v>
      </c>
      <c r="M25" s="608">
        <v>0</v>
      </c>
      <c r="N25" s="608">
        <v>0</v>
      </c>
      <c r="O25" s="609">
        <f t="shared" si="0"/>
        <v>3496</v>
      </c>
      <c r="P25" s="717" t="s">
        <v>287</v>
      </c>
      <c r="Q25" s="607" t="s">
        <v>490</v>
      </c>
      <c r="R25" s="608">
        <v>17036</v>
      </c>
      <c r="S25" s="608">
        <v>4347</v>
      </c>
      <c r="T25" s="608">
        <v>7513</v>
      </c>
      <c r="U25" s="608">
        <v>2655</v>
      </c>
      <c r="V25" s="608">
        <v>0</v>
      </c>
      <c r="W25" s="608">
        <v>0</v>
      </c>
      <c r="X25" s="608">
        <v>0</v>
      </c>
      <c r="Y25" s="609">
        <f t="shared" si="1"/>
        <v>28896</v>
      </c>
    </row>
    <row r="26" spans="1:25" ht="10.5" customHeight="1">
      <c r="A26" s="717"/>
      <c r="B26" s="607" t="s">
        <v>284</v>
      </c>
      <c r="C26" s="608">
        <v>2797</v>
      </c>
      <c r="D26" s="608">
        <v>2358</v>
      </c>
      <c r="E26" s="608">
        <v>699</v>
      </c>
      <c r="F26" s="608">
        <v>0</v>
      </c>
      <c r="G26" s="608">
        <v>0</v>
      </c>
      <c r="H26" s="608">
        <v>0</v>
      </c>
      <c r="I26" s="608">
        <v>0</v>
      </c>
      <c r="J26" s="608">
        <v>0</v>
      </c>
      <c r="K26" s="608"/>
      <c r="L26" s="608">
        <v>0</v>
      </c>
      <c r="M26" s="608">
        <v>102</v>
      </c>
      <c r="N26" s="608">
        <v>0</v>
      </c>
      <c r="O26" s="609">
        <f t="shared" si="0"/>
        <v>3598</v>
      </c>
      <c r="P26" s="717"/>
      <c r="Q26" s="607" t="s">
        <v>284</v>
      </c>
      <c r="R26" s="608">
        <f>17036+923+672+91</f>
        <v>18722</v>
      </c>
      <c r="S26" s="608">
        <f>4347+249+181+17+25</f>
        <v>4819</v>
      </c>
      <c r="T26" s="608">
        <f>7513+70+102</f>
        <v>7685</v>
      </c>
      <c r="U26" s="608">
        <v>2655</v>
      </c>
      <c r="V26" s="608">
        <v>0</v>
      </c>
      <c r="W26" s="608">
        <v>0</v>
      </c>
      <c r="X26" s="608">
        <v>0</v>
      </c>
      <c r="Y26" s="609">
        <f t="shared" si="1"/>
        <v>31226</v>
      </c>
    </row>
    <row r="27" spans="1:25" ht="10.5" customHeight="1">
      <c r="A27" s="717"/>
      <c r="B27" s="607" t="s">
        <v>285</v>
      </c>
      <c r="C27" s="608">
        <f>2797+851</f>
        <v>3648</v>
      </c>
      <c r="D27" s="608">
        <v>2358</v>
      </c>
      <c r="E27" s="608">
        <f>699+626</f>
        <v>1325</v>
      </c>
      <c r="F27" s="608">
        <v>0</v>
      </c>
      <c r="G27" s="608">
        <v>0</v>
      </c>
      <c r="H27" s="608">
        <v>0</v>
      </c>
      <c r="I27" s="608">
        <v>0</v>
      </c>
      <c r="J27" s="608">
        <v>0</v>
      </c>
      <c r="K27" s="608"/>
      <c r="L27" s="608">
        <v>0</v>
      </c>
      <c r="M27" s="608">
        <v>102</v>
      </c>
      <c r="N27" s="608">
        <v>0</v>
      </c>
      <c r="O27" s="609">
        <f t="shared" si="0"/>
        <v>5075</v>
      </c>
      <c r="P27" s="717"/>
      <c r="Q27" s="607" t="s">
        <v>285</v>
      </c>
      <c r="R27" s="608">
        <f>17036+923+672+91+60+125+7531</f>
        <v>26438</v>
      </c>
      <c r="S27" s="608">
        <f>4347+249+181+17+25+1934</f>
        <v>6753</v>
      </c>
      <c r="T27" s="608">
        <f>7513+70+102+3571+15</f>
        <v>11271</v>
      </c>
      <c r="U27" s="608">
        <v>2655</v>
      </c>
      <c r="V27" s="608">
        <v>0</v>
      </c>
      <c r="W27" s="608">
        <v>5250</v>
      </c>
      <c r="X27" s="608">
        <v>0</v>
      </c>
      <c r="Y27" s="609">
        <f t="shared" si="1"/>
        <v>49712</v>
      </c>
    </row>
    <row r="28" spans="1:25" ht="10.5" customHeight="1">
      <c r="A28" s="717"/>
      <c r="B28" s="607" t="s">
        <v>286</v>
      </c>
      <c r="C28" s="608">
        <f>2797+851</f>
        <v>3648</v>
      </c>
      <c r="D28" s="608">
        <v>2358</v>
      </c>
      <c r="E28" s="608">
        <f>699+626</f>
        <v>1325</v>
      </c>
      <c r="F28" s="608"/>
      <c r="G28" s="608"/>
      <c r="H28" s="608"/>
      <c r="I28" s="608"/>
      <c r="J28" s="608"/>
      <c r="K28" s="608"/>
      <c r="L28" s="608"/>
      <c r="M28" s="608">
        <v>102</v>
      </c>
      <c r="N28" s="608"/>
      <c r="O28" s="609">
        <f t="shared" si="0"/>
        <v>5075</v>
      </c>
      <c r="P28" s="717"/>
      <c r="Q28" s="607" t="s">
        <v>286</v>
      </c>
      <c r="R28" s="608">
        <f>17036+923+672+91+60+125+7531</f>
        <v>26438</v>
      </c>
      <c r="S28" s="608">
        <f>4347+249+181+17+25+1934</f>
        <v>6753</v>
      </c>
      <c r="T28" s="608">
        <f>7513+70+102+3571+15</f>
        <v>11271</v>
      </c>
      <c r="U28" s="608">
        <v>2655</v>
      </c>
      <c r="V28" s="608">
        <v>0</v>
      </c>
      <c r="W28" s="608">
        <v>5250</v>
      </c>
      <c r="X28" s="608">
        <v>0</v>
      </c>
      <c r="Y28" s="609">
        <f t="shared" si="1"/>
        <v>49712</v>
      </c>
    </row>
    <row r="29" spans="1:25" ht="10.5" customHeight="1">
      <c r="A29" s="717" t="s">
        <v>562</v>
      </c>
      <c r="B29" s="607" t="s">
        <v>490</v>
      </c>
      <c r="C29" s="608">
        <v>5160</v>
      </c>
      <c r="D29" s="608">
        <v>2225</v>
      </c>
      <c r="E29" s="608">
        <v>1290</v>
      </c>
      <c r="F29" s="608">
        <v>0</v>
      </c>
      <c r="G29" s="608">
        <v>0</v>
      </c>
      <c r="H29" s="608">
        <v>0</v>
      </c>
      <c r="I29" s="608">
        <v>0</v>
      </c>
      <c r="J29" s="608">
        <v>0</v>
      </c>
      <c r="K29" s="608"/>
      <c r="L29" s="608">
        <v>0</v>
      </c>
      <c r="M29" s="608">
        <v>0</v>
      </c>
      <c r="N29" s="608">
        <v>0</v>
      </c>
      <c r="O29" s="609">
        <f t="shared" si="0"/>
        <v>6450</v>
      </c>
      <c r="P29" s="717" t="s">
        <v>562</v>
      </c>
      <c r="Q29" s="607" t="s">
        <v>490</v>
      </c>
      <c r="R29" s="608">
        <f>25865-24</f>
        <v>25841</v>
      </c>
      <c r="S29" s="608">
        <v>6699</v>
      </c>
      <c r="T29" s="608">
        <v>11632</v>
      </c>
      <c r="U29" s="608">
        <v>2885</v>
      </c>
      <c r="V29" s="608">
        <v>0</v>
      </c>
      <c r="W29" s="608">
        <v>0</v>
      </c>
      <c r="X29" s="608">
        <v>0</v>
      </c>
      <c r="Y29" s="609">
        <f t="shared" si="1"/>
        <v>44172</v>
      </c>
    </row>
    <row r="30" spans="1:25" ht="10.5" customHeight="1">
      <c r="A30" s="717"/>
      <c r="B30" s="607" t="s">
        <v>284</v>
      </c>
      <c r="C30" s="608">
        <v>5160</v>
      </c>
      <c r="D30" s="608">
        <v>2225</v>
      </c>
      <c r="E30" s="608">
        <v>1290</v>
      </c>
      <c r="F30" s="608">
        <v>0</v>
      </c>
      <c r="G30" s="608">
        <v>0</v>
      </c>
      <c r="H30" s="608">
        <v>0</v>
      </c>
      <c r="I30" s="608">
        <v>0</v>
      </c>
      <c r="J30" s="608">
        <v>0</v>
      </c>
      <c r="K30" s="608"/>
      <c r="L30" s="608">
        <v>0</v>
      </c>
      <c r="M30" s="608">
        <v>306</v>
      </c>
      <c r="N30" s="608">
        <v>0</v>
      </c>
      <c r="O30" s="609">
        <f t="shared" si="0"/>
        <v>6756</v>
      </c>
      <c r="P30" s="717"/>
      <c r="Q30" s="607" t="s">
        <v>284</v>
      </c>
      <c r="R30" s="608">
        <f>25865-24+1589</f>
        <v>27430</v>
      </c>
      <c r="S30" s="608">
        <f>6699+429+24</f>
        <v>7152</v>
      </c>
      <c r="T30" s="608">
        <f>11638-6+50+306</f>
        <v>11988</v>
      </c>
      <c r="U30" s="608">
        <v>2885</v>
      </c>
      <c r="V30" s="608">
        <v>0</v>
      </c>
      <c r="W30" s="608">
        <v>0</v>
      </c>
      <c r="X30" s="608">
        <v>0</v>
      </c>
      <c r="Y30" s="609">
        <f t="shared" si="1"/>
        <v>46570</v>
      </c>
    </row>
    <row r="31" spans="1:25" ht="10.5" customHeight="1">
      <c r="A31" s="717"/>
      <c r="B31" s="607" t="s">
        <v>285</v>
      </c>
      <c r="C31" s="608">
        <v>5160</v>
      </c>
      <c r="D31" s="608">
        <v>2225</v>
      </c>
      <c r="E31" s="608">
        <v>1290</v>
      </c>
      <c r="F31" s="608">
        <v>0</v>
      </c>
      <c r="G31" s="608">
        <v>0</v>
      </c>
      <c r="H31" s="608">
        <v>0</v>
      </c>
      <c r="I31" s="608">
        <v>0</v>
      </c>
      <c r="J31" s="608">
        <v>0</v>
      </c>
      <c r="K31" s="608"/>
      <c r="L31" s="608">
        <v>0</v>
      </c>
      <c r="M31" s="608">
        <v>306</v>
      </c>
      <c r="N31" s="608">
        <v>0</v>
      </c>
      <c r="O31" s="609">
        <f t="shared" si="0"/>
        <v>6756</v>
      </c>
      <c r="P31" s="717"/>
      <c r="Q31" s="607" t="s">
        <v>285</v>
      </c>
      <c r="R31" s="608">
        <f>27430+103+125</f>
        <v>27658</v>
      </c>
      <c r="S31" s="608">
        <f>7152+12</f>
        <v>7164</v>
      </c>
      <c r="T31" s="608">
        <f>11988+15</f>
        <v>12003</v>
      </c>
      <c r="U31" s="608">
        <v>2885</v>
      </c>
      <c r="V31" s="608">
        <v>0</v>
      </c>
      <c r="W31" s="608">
        <f>1600</f>
        <v>1600</v>
      </c>
      <c r="X31" s="608">
        <v>0</v>
      </c>
      <c r="Y31" s="609">
        <f t="shared" si="1"/>
        <v>48425</v>
      </c>
    </row>
    <row r="32" spans="1:25" ht="10.5" customHeight="1">
      <c r="A32" s="717"/>
      <c r="B32" s="607" t="s">
        <v>286</v>
      </c>
      <c r="C32" s="608">
        <v>5160</v>
      </c>
      <c r="D32" s="608">
        <v>2225</v>
      </c>
      <c r="E32" s="608">
        <v>1290</v>
      </c>
      <c r="F32" s="608">
        <v>0</v>
      </c>
      <c r="G32" s="608">
        <v>0</v>
      </c>
      <c r="H32" s="608">
        <v>0</v>
      </c>
      <c r="I32" s="608">
        <v>0</v>
      </c>
      <c r="J32" s="608">
        <v>0</v>
      </c>
      <c r="K32" s="608"/>
      <c r="L32" s="608">
        <v>0</v>
      </c>
      <c r="M32" s="608">
        <v>306</v>
      </c>
      <c r="N32" s="608">
        <v>0</v>
      </c>
      <c r="O32" s="609">
        <f t="shared" si="0"/>
        <v>6756</v>
      </c>
      <c r="P32" s="717"/>
      <c r="Q32" s="607" t="s">
        <v>286</v>
      </c>
      <c r="R32" s="608">
        <f>27430+103+125</f>
        <v>27658</v>
      </c>
      <c r="S32" s="608">
        <f>7152+12</f>
        <v>7164</v>
      </c>
      <c r="T32" s="608">
        <f>11988+15</f>
        <v>12003</v>
      </c>
      <c r="U32" s="608">
        <v>2885</v>
      </c>
      <c r="V32" s="608">
        <v>0</v>
      </c>
      <c r="W32" s="608">
        <f>1600</f>
        <v>1600</v>
      </c>
      <c r="X32" s="608">
        <v>0</v>
      </c>
      <c r="Y32" s="609">
        <f t="shared" si="1"/>
        <v>48425</v>
      </c>
    </row>
    <row r="33" spans="1:25" ht="10.5" customHeight="1">
      <c r="A33" s="717" t="s">
        <v>107</v>
      </c>
      <c r="B33" s="607" t="s">
        <v>490</v>
      </c>
      <c r="C33" s="608">
        <v>4155</v>
      </c>
      <c r="D33" s="608">
        <v>3617</v>
      </c>
      <c r="E33" s="608">
        <v>1039</v>
      </c>
      <c r="F33" s="608">
        <v>0</v>
      </c>
      <c r="G33" s="608">
        <v>0</v>
      </c>
      <c r="H33" s="608">
        <v>0</v>
      </c>
      <c r="I33" s="608">
        <v>0</v>
      </c>
      <c r="J33" s="608">
        <v>0</v>
      </c>
      <c r="K33" s="608"/>
      <c r="L33" s="608">
        <v>0</v>
      </c>
      <c r="M33" s="608">
        <v>0</v>
      </c>
      <c r="N33" s="608">
        <v>0</v>
      </c>
      <c r="O33" s="609">
        <f t="shared" si="0"/>
        <v>5194</v>
      </c>
      <c r="P33" s="717" t="s">
        <v>107</v>
      </c>
      <c r="Q33" s="607" t="s">
        <v>490</v>
      </c>
      <c r="R33" s="608">
        <v>27625</v>
      </c>
      <c r="S33" s="608">
        <v>7185</v>
      </c>
      <c r="T33" s="608">
        <v>11029</v>
      </c>
      <c r="U33" s="608">
        <v>4702</v>
      </c>
      <c r="V33" s="608">
        <v>0</v>
      </c>
      <c r="W33" s="608">
        <v>0</v>
      </c>
      <c r="X33" s="608">
        <v>0</v>
      </c>
      <c r="Y33" s="609">
        <f t="shared" si="1"/>
        <v>45839</v>
      </c>
    </row>
    <row r="34" spans="1:25" ht="10.5" customHeight="1">
      <c r="A34" s="717"/>
      <c r="B34" s="607" t="s">
        <v>284</v>
      </c>
      <c r="C34" s="608">
        <v>4155</v>
      </c>
      <c r="D34" s="608">
        <v>3617</v>
      </c>
      <c r="E34" s="608">
        <v>1039</v>
      </c>
      <c r="F34" s="608">
        <v>0</v>
      </c>
      <c r="G34" s="608">
        <v>0</v>
      </c>
      <c r="H34" s="608">
        <v>0</v>
      </c>
      <c r="I34" s="608">
        <v>0</v>
      </c>
      <c r="J34" s="608">
        <v>0</v>
      </c>
      <c r="K34" s="608"/>
      <c r="L34" s="608">
        <v>0</v>
      </c>
      <c r="M34" s="608">
        <v>65</v>
      </c>
      <c r="N34" s="608">
        <v>0</v>
      </c>
      <c r="O34" s="609">
        <f t="shared" si="0"/>
        <v>5259</v>
      </c>
      <c r="P34" s="717"/>
      <c r="Q34" s="607" t="s">
        <v>284</v>
      </c>
      <c r="R34" s="608">
        <f>27625+1500+99</f>
        <v>29224</v>
      </c>
      <c r="S34" s="608">
        <f>7185+404+27+27</f>
        <v>7643</v>
      </c>
      <c r="T34" s="608">
        <f>11029+100+65</f>
        <v>11194</v>
      </c>
      <c r="U34" s="608">
        <v>4702</v>
      </c>
      <c r="V34" s="608">
        <v>0</v>
      </c>
      <c r="W34" s="608">
        <v>0</v>
      </c>
      <c r="X34" s="608">
        <v>0</v>
      </c>
      <c r="Y34" s="609">
        <f t="shared" si="1"/>
        <v>48061</v>
      </c>
    </row>
    <row r="35" spans="1:25" ht="10.5" customHeight="1">
      <c r="A35" s="717"/>
      <c r="B35" s="607" t="s">
        <v>285</v>
      </c>
      <c r="C35" s="608">
        <v>4155</v>
      </c>
      <c r="D35" s="608">
        <v>3617</v>
      </c>
      <c r="E35" s="608">
        <v>1039</v>
      </c>
      <c r="F35" s="608">
        <v>0</v>
      </c>
      <c r="G35" s="608">
        <v>0</v>
      </c>
      <c r="H35" s="608">
        <v>0</v>
      </c>
      <c r="I35" s="608">
        <v>0</v>
      </c>
      <c r="J35" s="608">
        <v>0</v>
      </c>
      <c r="K35" s="608"/>
      <c r="L35" s="608">
        <v>0</v>
      </c>
      <c r="M35" s="608">
        <v>65</v>
      </c>
      <c r="N35" s="608">
        <v>0</v>
      </c>
      <c r="O35" s="609">
        <f t="shared" si="0"/>
        <v>5259</v>
      </c>
      <c r="P35" s="717"/>
      <c r="Q35" s="607" t="s">
        <v>285</v>
      </c>
      <c r="R35" s="608">
        <f>29224+30</f>
        <v>29254</v>
      </c>
      <c r="S35" s="608">
        <f>7185+404+27+27</f>
        <v>7643</v>
      </c>
      <c r="T35" s="608">
        <f>11194+7+50</f>
        <v>11251</v>
      </c>
      <c r="U35" s="608">
        <v>4702</v>
      </c>
      <c r="V35" s="608">
        <v>0</v>
      </c>
      <c r="W35" s="608">
        <v>0</v>
      </c>
      <c r="X35" s="608">
        <v>0</v>
      </c>
      <c r="Y35" s="609">
        <f t="shared" si="1"/>
        <v>48148</v>
      </c>
    </row>
    <row r="36" spans="1:25" ht="10.5" customHeight="1">
      <c r="A36" s="717"/>
      <c r="B36" s="607" t="s">
        <v>286</v>
      </c>
      <c r="C36" s="608">
        <v>4155</v>
      </c>
      <c r="D36" s="608">
        <v>3617</v>
      </c>
      <c r="E36" s="608">
        <v>1039</v>
      </c>
      <c r="F36" s="608"/>
      <c r="G36" s="608">
        <v>50</v>
      </c>
      <c r="H36" s="608"/>
      <c r="I36" s="608"/>
      <c r="J36" s="608"/>
      <c r="K36" s="608"/>
      <c r="L36" s="608"/>
      <c r="M36" s="608">
        <v>65</v>
      </c>
      <c r="N36" s="608"/>
      <c r="O36" s="609">
        <f t="shared" si="0"/>
        <v>5309</v>
      </c>
      <c r="P36" s="717"/>
      <c r="Q36" s="607" t="s">
        <v>286</v>
      </c>
      <c r="R36" s="608">
        <f>29224+30</f>
        <v>29254</v>
      </c>
      <c r="S36" s="608">
        <f>7185+404+27+27</f>
        <v>7643</v>
      </c>
      <c r="T36" s="608">
        <f>11194+7+50+50</f>
        <v>11301</v>
      </c>
      <c r="U36" s="608">
        <v>4702</v>
      </c>
      <c r="V36" s="608">
        <v>0</v>
      </c>
      <c r="W36" s="608">
        <v>0</v>
      </c>
      <c r="X36" s="608">
        <v>0</v>
      </c>
      <c r="Y36" s="609">
        <f t="shared" si="1"/>
        <v>48198</v>
      </c>
    </row>
    <row r="37" spans="1:25" ht="10.5" customHeight="1">
      <c r="A37" s="717" t="s">
        <v>563</v>
      </c>
      <c r="B37" s="607" t="s">
        <v>490</v>
      </c>
      <c r="C37" s="608">
        <v>974</v>
      </c>
      <c r="D37" s="608">
        <v>820</v>
      </c>
      <c r="E37" s="608">
        <v>243</v>
      </c>
      <c r="F37" s="608">
        <v>0</v>
      </c>
      <c r="G37" s="608">
        <v>0</v>
      </c>
      <c r="H37" s="608">
        <v>0</v>
      </c>
      <c r="I37" s="608">
        <v>0</v>
      </c>
      <c r="J37" s="608">
        <v>0</v>
      </c>
      <c r="K37" s="608"/>
      <c r="L37" s="608">
        <v>0</v>
      </c>
      <c r="M37" s="608">
        <v>0</v>
      </c>
      <c r="N37" s="608">
        <v>0</v>
      </c>
      <c r="O37" s="609">
        <f t="shared" si="0"/>
        <v>1217</v>
      </c>
      <c r="P37" s="717" t="s">
        <v>563</v>
      </c>
      <c r="Q37" s="607" t="s">
        <v>490</v>
      </c>
      <c r="R37" s="608">
        <f>7864-24</f>
        <v>7840</v>
      </c>
      <c r="S37" s="608">
        <v>2069</v>
      </c>
      <c r="T37" s="608">
        <f>3518-6</f>
        <v>3512</v>
      </c>
      <c r="U37" s="608">
        <v>1070</v>
      </c>
      <c r="V37" s="608">
        <v>0</v>
      </c>
      <c r="W37" s="608">
        <v>0</v>
      </c>
      <c r="X37" s="608">
        <v>0</v>
      </c>
      <c r="Y37" s="609">
        <f t="shared" si="1"/>
        <v>13421</v>
      </c>
    </row>
    <row r="38" spans="1:25" ht="10.5" customHeight="1">
      <c r="A38" s="717"/>
      <c r="B38" s="607" t="s">
        <v>284</v>
      </c>
      <c r="C38" s="608">
        <v>974</v>
      </c>
      <c r="D38" s="608">
        <v>820</v>
      </c>
      <c r="E38" s="608">
        <v>243</v>
      </c>
      <c r="F38" s="608">
        <v>0</v>
      </c>
      <c r="G38" s="608">
        <v>0</v>
      </c>
      <c r="H38" s="608">
        <v>0</v>
      </c>
      <c r="I38" s="608">
        <v>0</v>
      </c>
      <c r="J38" s="608">
        <v>0</v>
      </c>
      <c r="K38" s="608"/>
      <c r="L38" s="608">
        <v>0</v>
      </c>
      <c r="M38" s="608">
        <v>21</v>
      </c>
      <c r="N38" s="608">
        <v>0</v>
      </c>
      <c r="O38" s="609">
        <f t="shared" si="0"/>
        <v>1238</v>
      </c>
      <c r="P38" s="717"/>
      <c r="Q38" s="607" t="s">
        <v>284</v>
      </c>
      <c r="R38" s="608">
        <f>7864-24+355+40</f>
        <v>8235</v>
      </c>
      <c r="S38" s="608">
        <f>2069+95+7+11</f>
        <v>2182</v>
      </c>
      <c r="T38" s="608">
        <f>3518-6+21</f>
        <v>3533</v>
      </c>
      <c r="U38" s="608">
        <v>1070</v>
      </c>
      <c r="V38" s="608">
        <v>0</v>
      </c>
      <c r="W38" s="608">
        <v>0</v>
      </c>
      <c r="X38" s="608">
        <v>0</v>
      </c>
      <c r="Y38" s="609">
        <f t="shared" si="1"/>
        <v>13950</v>
      </c>
    </row>
    <row r="39" spans="1:25" ht="10.5" customHeight="1">
      <c r="A39" s="717"/>
      <c r="B39" s="607" t="s">
        <v>285</v>
      </c>
      <c r="C39" s="608">
        <v>974</v>
      </c>
      <c r="D39" s="608">
        <v>820</v>
      </c>
      <c r="E39" s="608">
        <v>243</v>
      </c>
      <c r="F39" s="608">
        <v>0</v>
      </c>
      <c r="G39" s="608">
        <v>0</v>
      </c>
      <c r="H39" s="608">
        <v>0</v>
      </c>
      <c r="I39" s="608">
        <v>0</v>
      </c>
      <c r="J39" s="608">
        <v>0</v>
      </c>
      <c r="K39" s="608"/>
      <c r="L39" s="608">
        <v>0</v>
      </c>
      <c r="M39" s="608">
        <v>21</v>
      </c>
      <c r="N39" s="608">
        <v>0</v>
      </c>
      <c r="O39" s="609">
        <f t="shared" si="0"/>
        <v>1238</v>
      </c>
      <c r="P39" s="717"/>
      <c r="Q39" s="607" t="s">
        <v>285</v>
      </c>
      <c r="R39" s="608">
        <f>8235-52</f>
        <v>8183</v>
      </c>
      <c r="S39" s="608">
        <f>2182-22</f>
        <v>2160</v>
      </c>
      <c r="T39" s="608">
        <f>3533+8+30</f>
        <v>3571</v>
      </c>
      <c r="U39" s="608">
        <v>1070</v>
      </c>
      <c r="V39" s="608">
        <v>0</v>
      </c>
      <c r="W39" s="608">
        <v>0</v>
      </c>
      <c r="X39" s="608">
        <v>0</v>
      </c>
      <c r="Y39" s="609">
        <f t="shared" si="1"/>
        <v>13914</v>
      </c>
    </row>
    <row r="40" spans="1:25" ht="10.5" customHeight="1">
      <c r="A40" s="717"/>
      <c r="B40" s="607" t="s">
        <v>286</v>
      </c>
      <c r="C40" s="608">
        <v>974</v>
      </c>
      <c r="D40" s="608">
        <v>820</v>
      </c>
      <c r="E40" s="608">
        <v>243</v>
      </c>
      <c r="F40" s="608"/>
      <c r="G40" s="608"/>
      <c r="H40" s="608"/>
      <c r="I40" s="608"/>
      <c r="J40" s="608"/>
      <c r="K40" s="608"/>
      <c r="L40" s="608"/>
      <c r="M40" s="608">
        <v>21</v>
      </c>
      <c r="N40" s="608"/>
      <c r="O40" s="609">
        <f t="shared" si="0"/>
        <v>1238</v>
      </c>
      <c r="P40" s="717"/>
      <c r="Q40" s="607" t="s">
        <v>286</v>
      </c>
      <c r="R40" s="608">
        <f>8235-52</f>
        <v>8183</v>
      </c>
      <c r="S40" s="608">
        <f>2182-22</f>
        <v>2160</v>
      </c>
      <c r="T40" s="608">
        <f>3533+8+30</f>
        <v>3571</v>
      </c>
      <c r="U40" s="608">
        <v>1070</v>
      </c>
      <c r="V40" s="608">
        <v>0</v>
      </c>
      <c r="W40" s="608">
        <v>0</v>
      </c>
      <c r="X40" s="608">
        <v>0</v>
      </c>
      <c r="Y40" s="609">
        <f t="shared" si="1"/>
        <v>13914</v>
      </c>
    </row>
    <row r="41" spans="1:25" ht="10.5" customHeight="1">
      <c r="A41" s="717" t="s">
        <v>288</v>
      </c>
      <c r="B41" s="607" t="s">
        <v>490</v>
      </c>
      <c r="C41" s="608">
        <v>4903</v>
      </c>
      <c r="D41" s="608">
        <v>3604</v>
      </c>
      <c r="E41" s="608">
        <v>1226</v>
      </c>
      <c r="F41" s="608">
        <v>0</v>
      </c>
      <c r="G41" s="608">
        <v>0</v>
      </c>
      <c r="H41" s="608">
        <v>0</v>
      </c>
      <c r="I41" s="608">
        <v>0</v>
      </c>
      <c r="J41" s="608">
        <v>0</v>
      </c>
      <c r="K41" s="608"/>
      <c r="L41" s="608">
        <v>0</v>
      </c>
      <c r="M41" s="608">
        <v>0</v>
      </c>
      <c r="N41" s="608">
        <v>0</v>
      </c>
      <c r="O41" s="609">
        <f t="shared" si="0"/>
        <v>6129</v>
      </c>
      <c r="P41" s="717" t="s">
        <v>288</v>
      </c>
      <c r="Q41" s="607" t="s">
        <v>490</v>
      </c>
      <c r="R41" s="608">
        <v>36077</v>
      </c>
      <c r="S41" s="608">
        <v>9226</v>
      </c>
      <c r="T41" s="608">
        <f>20146</f>
        <v>20146</v>
      </c>
      <c r="U41" s="608">
        <v>4028</v>
      </c>
      <c r="V41" s="608">
        <v>0</v>
      </c>
      <c r="W41" s="608">
        <v>2400</v>
      </c>
      <c r="X41" s="608">
        <v>0</v>
      </c>
      <c r="Y41" s="609">
        <f t="shared" si="1"/>
        <v>67849</v>
      </c>
    </row>
    <row r="42" spans="1:25" ht="10.5" customHeight="1">
      <c r="A42" s="717"/>
      <c r="B42" s="607" t="s">
        <v>284</v>
      </c>
      <c r="C42" s="608">
        <v>4903</v>
      </c>
      <c r="D42" s="608">
        <v>3604</v>
      </c>
      <c r="E42" s="608">
        <v>1226</v>
      </c>
      <c r="F42" s="608">
        <v>0</v>
      </c>
      <c r="G42" s="608">
        <v>0</v>
      </c>
      <c r="H42" s="608">
        <v>0</v>
      </c>
      <c r="I42" s="608">
        <v>0</v>
      </c>
      <c r="J42" s="608">
        <v>0</v>
      </c>
      <c r="K42" s="608"/>
      <c r="L42" s="608">
        <v>0</v>
      </c>
      <c r="M42" s="608">
        <v>987</v>
      </c>
      <c r="N42" s="608">
        <v>0</v>
      </c>
      <c r="O42" s="609">
        <f t="shared" si="0"/>
        <v>7116</v>
      </c>
      <c r="P42" s="717"/>
      <c r="Q42" s="607" t="s">
        <v>284</v>
      </c>
      <c r="R42" s="608">
        <f>36077+2770+33</f>
        <v>38880</v>
      </c>
      <c r="S42" s="608">
        <f>9226+748+53+9</f>
        <v>10036</v>
      </c>
      <c r="T42" s="608">
        <f>20146+50+987</f>
        <v>21183</v>
      </c>
      <c r="U42" s="608">
        <v>4028</v>
      </c>
      <c r="V42" s="608">
        <v>0</v>
      </c>
      <c r="W42" s="608">
        <v>2400</v>
      </c>
      <c r="X42" s="608">
        <v>0</v>
      </c>
      <c r="Y42" s="609">
        <f t="shared" si="1"/>
        <v>72499</v>
      </c>
    </row>
    <row r="43" spans="1:25" ht="10.5" customHeight="1">
      <c r="A43" s="717"/>
      <c r="B43" s="607" t="s">
        <v>285</v>
      </c>
      <c r="C43" s="608">
        <f>4903+149+93</f>
        <v>5145</v>
      </c>
      <c r="D43" s="608">
        <v>3604</v>
      </c>
      <c r="E43" s="608">
        <v>1226</v>
      </c>
      <c r="F43" s="608">
        <v>0</v>
      </c>
      <c r="G43" s="608">
        <v>0</v>
      </c>
      <c r="H43" s="608">
        <v>0</v>
      </c>
      <c r="I43" s="608">
        <v>0</v>
      </c>
      <c r="J43" s="608">
        <v>0</v>
      </c>
      <c r="K43" s="608"/>
      <c r="L43" s="608">
        <v>0</v>
      </c>
      <c r="M43" s="608">
        <v>987</v>
      </c>
      <c r="N43" s="608">
        <v>0</v>
      </c>
      <c r="O43" s="609">
        <f t="shared" si="0"/>
        <v>7358</v>
      </c>
      <c r="P43" s="717"/>
      <c r="Q43" s="607" t="s">
        <v>285</v>
      </c>
      <c r="R43" s="608">
        <f>38880+160</f>
        <v>39040</v>
      </c>
      <c r="S43" s="608">
        <f>9226+748+53+9</f>
        <v>10036</v>
      </c>
      <c r="T43" s="608">
        <f>21183+40</f>
        <v>21223</v>
      </c>
      <c r="U43" s="608">
        <v>4028</v>
      </c>
      <c r="V43" s="608">
        <v>0</v>
      </c>
      <c r="W43" s="608">
        <f>2400+149+93</f>
        <v>2642</v>
      </c>
      <c r="X43" s="608">
        <f>788</f>
        <v>788</v>
      </c>
      <c r="Y43" s="609">
        <f t="shared" si="1"/>
        <v>73729</v>
      </c>
    </row>
    <row r="44" spans="1:25" ht="10.5" customHeight="1">
      <c r="A44" s="717"/>
      <c r="B44" s="607" t="s">
        <v>286</v>
      </c>
      <c r="C44" s="608">
        <f>4903+149+93</f>
        <v>5145</v>
      </c>
      <c r="D44" s="608">
        <v>3604</v>
      </c>
      <c r="E44" s="608">
        <v>1226</v>
      </c>
      <c r="F44" s="608"/>
      <c r="G44" s="608"/>
      <c r="H44" s="608"/>
      <c r="I44" s="608"/>
      <c r="J44" s="608"/>
      <c r="K44" s="608"/>
      <c r="L44" s="608"/>
      <c r="M44" s="608">
        <v>987</v>
      </c>
      <c r="N44" s="608"/>
      <c r="O44" s="609">
        <f t="shared" si="0"/>
        <v>7358</v>
      </c>
      <c r="P44" s="717"/>
      <c r="Q44" s="607" t="s">
        <v>286</v>
      </c>
      <c r="R44" s="608">
        <f>38880+160</f>
        <v>39040</v>
      </c>
      <c r="S44" s="608">
        <f>9226+748+53+9</f>
        <v>10036</v>
      </c>
      <c r="T44" s="608">
        <f>21183+40</f>
        <v>21223</v>
      </c>
      <c r="U44" s="608">
        <v>4028</v>
      </c>
      <c r="V44" s="608">
        <v>0</v>
      </c>
      <c r="W44" s="608">
        <f>2400+149+93-242</f>
        <v>2400</v>
      </c>
      <c r="X44" s="608">
        <f>788+242</f>
        <v>1030</v>
      </c>
      <c r="Y44" s="609">
        <f t="shared" si="1"/>
        <v>73729</v>
      </c>
    </row>
    <row r="45" spans="1:25" ht="10.5" customHeight="1">
      <c r="A45" s="717" t="s">
        <v>289</v>
      </c>
      <c r="B45" s="607" t="s">
        <v>490</v>
      </c>
      <c r="C45" s="608">
        <v>19326</v>
      </c>
      <c r="D45" s="608">
        <v>14348</v>
      </c>
      <c r="E45" s="608">
        <v>3723</v>
      </c>
      <c r="F45" s="608">
        <v>0</v>
      </c>
      <c r="G45" s="608">
        <v>0</v>
      </c>
      <c r="H45" s="608">
        <v>0</v>
      </c>
      <c r="I45" s="608">
        <v>0</v>
      </c>
      <c r="J45" s="608">
        <v>0</v>
      </c>
      <c r="K45" s="608"/>
      <c r="L45" s="608">
        <v>0</v>
      </c>
      <c r="M45" s="608">
        <v>0</v>
      </c>
      <c r="N45" s="608">
        <v>0</v>
      </c>
      <c r="O45" s="609">
        <f t="shared" si="0"/>
        <v>23049</v>
      </c>
      <c r="P45" s="717" t="s">
        <v>289</v>
      </c>
      <c r="Q45" s="607" t="s">
        <v>490</v>
      </c>
      <c r="R45" s="608">
        <v>166406</v>
      </c>
      <c r="S45" s="608">
        <v>43706</v>
      </c>
      <c r="T45" s="608">
        <f>71590-6</f>
        <v>71584</v>
      </c>
      <c r="U45" s="608">
        <v>31621</v>
      </c>
      <c r="V45" s="608">
        <v>3790</v>
      </c>
      <c r="W45" s="608">
        <v>0</v>
      </c>
      <c r="X45" s="608">
        <v>2400</v>
      </c>
      <c r="Y45" s="609">
        <f t="shared" si="1"/>
        <v>287886</v>
      </c>
    </row>
    <row r="46" spans="1:25" ht="10.5" customHeight="1">
      <c r="A46" s="717"/>
      <c r="B46" s="607" t="s">
        <v>284</v>
      </c>
      <c r="C46" s="608">
        <v>19326</v>
      </c>
      <c r="D46" s="608">
        <v>14348</v>
      </c>
      <c r="E46" s="608">
        <v>3723</v>
      </c>
      <c r="F46" s="608">
        <v>0</v>
      </c>
      <c r="G46" s="608">
        <v>0</v>
      </c>
      <c r="H46" s="608">
        <v>0</v>
      </c>
      <c r="I46" s="608">
        <v>0</v>
      </c>
      <c r="J46" s="608">
        <v>0</v>
      </c>
      <c r="K46" s="608"/>
      <c r="L46" s="608">
        <v>0</v>
      </c>
      <c r="M46" s="608">
        <v>2863</v>
      </c>
      <c r="N46" s="608">
        <v>0</v>
      </c>
      <c r="O46" s="609">
        <f t="shared" si="0"/>
        <v>25912</v>
      </c>
      <c r="P46" s="717"/>
      <c r="Q46" s="607" t="s">
        <v>284</v>
      </c>
      <c r="R46" s="608">
        <f>165976+7530+1102+420+119</f>
        <v>175147</v>
      </c>
      <c r="S46" s="608">
        <f>43590+2034+298+159+113+32</f>
        <v>46226</v>
      </c>
      <c r="T46" s="608">
        <f>71590-6+375+2291+39</f>
        <v>74289</v>
      </c>
      <c r="U46" s="608">
        <v>31621</v>
      </c>
      <c r="V46" s="608">
        <v>3790</v>
      </c>
      <c r="W46" s="608">
        <v>0</v>
      </c>
      <c r="X46" s="608">
        <v>2400</v>
      </c>
      <c r="Y46" s="609">
        <f t="shared" si="1"/>
        <v>301852</v>
      </c>
    </row>
    <row r="47" spans="1:25" ht="10.5" customHeight="1">
      <c r="A47" s="717"/>
      <c r="B47" s="607" t="s">
        <v>285</v>
      </c>
      <c r="C47" s="608">
        <f>19326+279</f>
        <v>19605</v>
      </c>
      <c r="D47" s="608">
        <v>14348</v>
      </c>
      <c r="E47" s="608">
        <v>3723</v>
      </c>
      <c r="F47" s="608">
        <v>0</v>
      </c>
      <c r="G47" s="608">
        <v>50</v>
      </c>
      <c r="H47" s="608">
        <v>0</v>
      </c>
      <c r="I47" s="608">
        <f>50+50+50+250+45+700</f>
        <v>1145</v>
      </c>
      <c r="J47" s="608">
        <v>0</v>
      </c>
      <c r="K47" s="608"/>
      <c r="L47" s="608">
        <v>0</v>
      </c>
      <c r="M47" s="608">
        <v>2863</v>
      </c>
      <c r="N47" s="608">
        <v>0</v>
      </c>
      <c r="O47" s="609">
        <f t="shared" si="0"/>
        <v>27386</v>
      </c>
      <c r="P47" s="717"/>
      <c r="Q47" s="607" t="s">
        <v>285</v>
      </c>
      <c r="R47" s="608">
        <f>175147+390-1003+615+375+197+30</f>
        <v>175751</v>
      </c>
      <c r="S47" s="608">
        <f>46226-271+166+53+9</f>
        <v>46183</v>
      </c>
      <c r="T47" s="608">
        <f>74289+158+50+50+50+50+45+661+50+279+2800</f>
        <v>78482</v>
      </c>
      <c r="U47" s="608">
        <v>31621</v>
      </c>
      <c r="V47" s="608">
        <v>3790</v>
      </c>
      <c r="W47" s="608">
        <v>0</v>
      </c>
      <c r="X47" s="608">
        <f>2400+3500</f>
        <v>5900</v>
      </c>
      <c r="Y47" s="609">
        <f t="shared" si="1"/>
        <v>310106</v>
      </c>
    </row>
    <row r="48" spans="1:25" ht="10.5" customHeight="1">
      <c r="A48" s="717"/>
      <c r="B48" s="607" t="s">
        <v>286</v>
      </c>
      <c r="C48" s="608">
        <f>19326+279+78+31</f>
        <v>19714</v>
      </c>
      <c r="D48" s="608">
        <v>14348</v>
      </c>
      <c r="E48" s="608">
        <v>3723</v>
      </c>
      <c r="F48" s="608"/>
      <c r="G48" s="608">
        <f>50+25</f>
        <v>75</v>
      </c>
      <c r="H48" s="608"/>
      <c r="I48" s="608">
        <f>50+50+50+250+45+700-45</f>
        <v>1100</v>
      </c>
      <c r="J48" s="608"/>
      <c r="K48" s="608"/>
      <c r="L48" s="608"/>
      <c r="M48" s="608">
        <v>2863</v>
      </c>
      <c r="N48" s="608"/>
      <c r="O48" s="609">
        <f t="shared" si="0"/>
        <v>27475</v>
      </c>
      <c r="P48" s="717"/>
      <c r="Q48" s="607" t="s">
        <v>286</v>
      </c>
      <c r="R48" s="608">
        <f>175147+390-1003+615+375+197+30-588</f>
        <v>175163</v>
      </c>
      <c r="S48" s="608">
        <f>46226-271+166+53+9-159</f>
        <v>46024</v>
      </c>
      <c r="T48" s="608">
        <f>74289+158+50+50+50+50+661+50+279+2800+78+31+25+45-45</f>
        <v>78571</v>
      </c>
      <c r="U48" s="608">
        <v>31621</v>
      </c>
      <c r="V48" s="608">
        <v>3790</v>
      </c>
      <c r="W48" s="608">
        <v>0</v>
      </c>
      <c r="X48" s="608">
        <f>2400+3500-400</f>
        <v>5500</v>
      </c>
      <c r="Y48" s="609">
        <f t="shared" si="1"/>
        <v>309048</v>
      </c>
    </row>
    <row r="49" spans="1:25" ht="10.5" customHeight="1">
      <c r="A49" s="717" t="s">
        <v>290</v>
      </c>
      <c r="B49" s="607" t="s">
        <v>490</v>
      </c>
      <c r="C49" s="608">
        <v>0</v>
      </c>
      <c r="D49" s="608">
        <v>0</v>
      </c>
      <c r="E49" s="608">
        <v>0</v>
      </c>
      <c r="F49" s="608">
        <v>0</v>
      </c>
      <c r="G49" s="608">
        <v>0</v>
      </c>
      <c r="H49" s="608">
        <v>0</v>
      </c>
      <c r="I49" s="608">
        <v>0</v>
      </c>
      <c r="J49" s="608">
        <v>0</v>
      </c>
      <c r="K49" s="608"/>
      <c r="L49" s="608">
        <v>0</v>
      </c>
      <c r="M49" s="608">
        <v>0</v>
      </c>
      <c r="N49" s="608">
        <v>0</v>
      </c>
      <c r="O49" s="609">
        <f t="shared" si="0"/>
        <v>0</v>
      </c>
      <c r="P49" s="717" t="s">
        <v>290</v>
      </c>
      <c r="Q49" s="607" t="s">
        <v>490</v>
      </c>
      <c r="R49" s="608">
        <v>20102</v>
      </c>
      <c r="S49" s="608">
        <v>5218</v>
      </c>
      <c r="T49" s="608">
        <f>2624-17</f>
        <v>2607</v>
      </c>
      <c r="U49" s="608">
        <v>0</v>
      </c>
      <c r="V49" s="608">
        <v>0</v>
      </c>
      <c r="W49" s="608">
        <v>0</v>
      </c>
      <c r="X49" s="608">
        <v>0</v>
      </c>
      <c r="Y49" s="609">
        <f t="shared" si="1"/>
        <v>27927</v>
      </c>
    </row>
    <row r="50" spans="1:25" ht="10.5" customHeight="1">
      <c r="A50" s="717"/>
      <c r="B50" s="607" t="s">
        <v>284</v>
      </c>
      <c r="C50" s="608">
        <v>0</v>
      </c>
      <c r="D50" s="608">
        <v>0</v>
      </c>
      <c r="E50" s="608">
        <v>0</v>
      </c>
      <c r="F50" s="608">
        <v>0</v>
      </c>
      <c r="G50" s="608">
        <v>0</v>
      </c>
      <c r="H50" s="608">
        <v>0</v>
      </c>
      <c r="I50" s="608">
        <v>0</v>
      </c>
      <c r="J50" s="608">
        <v>0</v>
      </c>
      <c r="K50" s="608"/>
      <c r="L50" s="608">
        <v>0</v>
      </c>
      <c r="M50" s="608">
        <v>1731</v>
      </c>
      <c r="N50" s="608">
        <v>0</v>
      </c>
      <c r="O50" s="609">
        <f t="shared" si="0"/>
        <v>1731</v>
      </c>
      <c r="P50" s="717"/>
      <c r="Q50" s="607" t="s">
        <v>284</v>
      </c>
      <c r="R50" s="608">
        <f>20532+36</f>
        <v>20568</v>
      </c>
      <c r="S50" s="608">
        <f>5334+10</f>
        <v>5344</v>
      </c>
      <c r="T50" s="608">
        <f>2624-17+1135+550</f>
        <v>4292</v>
      </c>
      <c r="U50" s="608">
        <v>0</v>
      </c>
      <c r="V50" s="608">
        <v>0</v>
      </c>
      <c r="W50" s="608">
        <v>0</v>
      </c>
      <c r="X50" s="608">
        <v>0</v>
      </c>
      <c r="Y50" s="609">
        <f t="shared" si="1"/>
        <v>30204</v>
      </c>
    </row>
    <row r="51" spans="1:25" ht="10.5" customHeight="1">
      <c r="A51" s="717"/>
      <c r="B51" s="607" t="s">
        <v>285</v>
      </c>
      <c r="C51" s="608">
        <v>0</v>
      </c>
      <c r="D51" s="608">
        <v>0</v>
      </c>
      <c r="E51" s="608">
        <v>0</v>
      </c>
      <c r="F51" s="608">
        <v>0</v>
      </c>
      <c r="G51" s="608">
        <v>0</v>
      </c>
      <c r="H51" s="608">
        <v>0</v>
      </c>
      <c r="I51" s="608">
        <f>2970+194+400</f>
        <v>3564</v>
      </c>
      <c r="J51" s="608">
        <v>0</v>
      </c>
      <c r="K51" s="608"/>
      <c r="L51" s="608">
        <v>0</v>
      </c>
      <c r="M51" s="608">
        <v>1731</v>
      </c>
      <c r="N51" s="608">
        <v>0</v>
      </c>
      <c r="O51" s="609">
        <f t="shared" si="0"/>
        <v>5295</v>
      </c>
      <c r="P51" s="717"/>
      <c r="Q51" s="607" t="s">
        <v>285</v>
      </c>
      <c r="R51" s="608">
        <f>20568+10-1391+250</f>
        <v>19437</v>
      </c>
      <c r="S51" s="608">
        <f>5344-376</f>
        <v>4968</v>
      </c>
      <c r="T51" s="608">
        <f>4292+3+1391+376+2970+194+400+240</f>
        <v>9866</v>
      </c>
      <c r="U51" s="608">
        <v>0</v>
      </c>
      <c r="V51" s="608">
        <v>0</v>
      </c>
      <c r="W51" s="608">
        <v>0</v>
      </c>
      <c r="X51" s="608">
        <v>0</v>
      </c>
      <c r="Y51" s="609">
        <f t="shared" si="1"/>
        <v>34271</v>
      </c>
    </row>
    <row r="52" spans="1:25" ht="10.5" customHeight="1">
      <c r="A52" s="717"/>
      <c r="B52" s="607" t="s">
        <v>286</v>
      </c>
      <c r="C52" s="608"/>
      <c r="D52" s="608"/>
      <c r="E52" s="608"/>
      <c r="F52" s="608"/>
      <c r="G52" s="608">
        <v>6</v>
      </c>
      <c r="H52" s="608"/>
      <c r="I52" s="608">
        <f>2970+194+400-2970-194-400</f>
        <v>0</v>
      </c>
      <c r="J52" s="608"/>
      <c r="K52" s="608"/>
      <c r="L52" s="608"/>
      <c r="M52" s="608">
        <v>1731</v>
      </c>
      <c r="N52" s="608"/>
      <c r="O52" s="609">
        <f t="shared" si="0"/>
        <v>1737</v>
      </c>
      <c r="P52" s="717"/>
      <c r="Q52" s="607" t="s">
        <v>286</v>
      </c>
      <c r="R52" s="608">
        <f>20568+10-1391+250+5+588</f>
        <v>20030</v>
      </c>
      <c r="S52" s="608">
        <f>5344-376+1+159</f>
        <v>5128</v>
      </c>
      <c r="T52" s="608">
        <f>4292+3+1391+376+240+2970+194+400-2970-194-400</f>
        <v>6302</v>
      </c>
      <c r="U52" s="608">
        <v>0</v>
      </c>
      <c r="V52" s="608">
        <v>0</v>
      </c>
      <c r="W52" s="608">
        <v>0</v>
      </c>
      <c r="X52" s="608">
        <v>0</v>
      </c>
      <c r="Y52" s="609">
        <f t="shared" si="1"/>
        <v>31460</v>
      </c>
    </row>
    <row r="53" spans="1:25" ht="10.5" customHeight="1">
      <c r="A53" s="717" t="s">
        <v>291</v>
      </c>
      <c r="B53" s="607" t="s">
        <v>490</v>
      </c>
      <c r="C53" s="608">
        <v>8021</v>
      </c>
      <c r="D53" s="608">
        <v>7351</v>
      </c>
      <c r="E53" s="608">
        <v>1963</v>
      </c>
      <c r="F53" s="608">
        <v>0</v>
      </c>
      <c r="G53" s="608">
        <v>0</v>
      </c>
      <c r="H53" s="608">
        <v>0</v>
      </c>
      <c r="I53" s="608">
        <v>0</v>
      </c>
      <c r="J53" s="608">
        <v>0</v>
      </c>
      <c r="K53" s="608"/>
      <c r="L53" s="608">
        <v>0</v>
      </c>
      <c r="M53" s="608">
        <v>0</v>
      </c>
      <c r="N53" s="608">
        <v>0</v>
      </c>
      <c r="O53" s="609">
        <f t="shared" si="0"/>
        <v>9984</v>
      </c>
      <c r="P53" s="717" t="s">
        <v>291</v>
      </c>
      <c r="Q53" s="607" t="s">
        <v>490</v>
      </c>
      <c r="R53" s="608">
        <v>42695</v>
      </c>
      <c r="S53" s="608">
        <v>11251</v>
      </c>
      <c r="T53" s="608">
        <v>25598</v>
      </c>
      <c r="U53" s="608">
        <v>15195</v>
      </c>
      <c r="V53" s="608">
        <v>945</v>
      </c>
      <c r="W53" s="608">
        <v>0</v>
      </c>
      <c r="X53" s="608">
        <v>0</v>
      </c>
      <c r="Y53" s="609">
        <f t="shared" si="1"/>
        <v>80489</v>
      </c>
    </row>
    <row r="54" spans="1:25" ht="10.5" customHeight="1">
      <c r="A54" s="717"/>
      <c r="B54" s="607" t="s">
        <v>284</v>
      </c>
      <c r="C54" s="608">
        <v>8021</v>
      </c>
      <c r="D54" s="608">
        <v>7351</v>
      </c>
      <c r="E54" s="608">
        <v>1963</v>
      </c>
      <c r="F54" s="608">
        <v>0</v>
      </c>
      <c r="G54" s="608">
        <v>0</v>
      </c>
      <c r="H54" s="608">
        <v>0</v>
      </c>
      <c r="I54" s="608">
        <v>0</v>
      </c>
      <c r="J54" s="608">
        <v>0</v>
      </c>
      <c r="K54" s="608"/>
      <c r="L54" s="608">
        <v>0</v>
      </c>
      <c r="M54" s="608">
        <v>0</v>
      </c>
      <c r="N54" s="608">
        <v>0</v>
      </c>
      <c r="O54" s="609">
        <f t="shared" si="0"/>
        <v>9984</v>
      </c>
      <c r="P54" s="717"/>
      <c r="Q54" s="607" t="s">
        <v>284</v>
      </c>
      <c r="R54" s="608">
        <f>42695+1936+1030</f>
        <v>45661</v>
      </c>
      <c r="S54" s="608">
        <f>11251+523+278+41</f>
        <v>12093</v>
      </c>
      <c r="T54" s="608">
        <f>25598+225</f>
        <v>25823</v>
      </c>
      <c r="U54" s="608">
        <v>15195</v>
      </c>
      <c r="V54" s="608">
        <v>945</v>
      </c>
      <c r="W54" s="608">
        <v>750</v>
      </c>
      <c r="X54" s="608">
        <v>0</v>
      </c>
      <c r="Y54" s="609">
        <f t="shared" si="1"/>
        <v>85272</v>
      </c>
    </row>
    <row r="55" spans="1:25" ht="10.5" customHeight="1">
      <c r="A55" s="717"/>
      <c r="B55" s="607" t="s">
        <v>285</v>
      </c>
      <c r="C55" s="608">
        <f>8021+495+8</f>
        <v>8524</v>
      </c>
      <c r="D55" s="608">
        <v>7351</v>
      </c>
      <c r="E55" s="608">
        <v>1963</v>
      </c>
      <c r="F55" s="608">
        <v>0</v>
      </c>
      <c r="G55" s="608">
        <v>0</v>
      </c>
      <c r="H55" s="608">
        <v>0</v>
      </c>
      <c r="I55" s="608">
        <v>165</v>
      </c>
      <c r="J55" s="608">
        <v>0</v>
      </c>
      <c r="K55" s="608"/>
      <c r="L55" s="608">
        <v>0</v>
      </c>
      <c r="M55" s="608">
        <v>0</v>
      </c>
      <c r="N55" s="608">
        <v>0</v>
      </c>
      <c r="O55" s="609">
        <f t="shared" si="0"/>
        <v>10652</v>
      </c>
      <c r="P55" s="717"/>
      <c r="Q55" s="607" t="s">
        <v>285</v>
      </c>
      <c r="R55" s="608">
        <f>45661+390+130+29+1003+158+131</f>
        <v>47502</v>
      </c>
      <c r="S55" s="608">
        <f>12093+105+8+271+43+34</f>
        <v>12554</v>
      </c>
      <c r="T55" s="608">
        <f>25823+8+33+50</f>
        <v>25914</v>
      </c>
      <c r="U55" s="608">
        <v>15195</v>
      </c>
      <c r="V55" s="608">
        <v>945</v>
      </c>
      <c r="W55" s="608">
        <v>750</v>
      </c>
      <c r="X55" s="608">
        <v>0</v>
      </c>
      <c r="Y55" s="609">
        <f t="shared" si="1"/>
        <v>87665</v>
      </c>
    </row>
    <row r="56" spans="1:25" ht="10.5" customHeight="1">
      <c r="A56" s="717"/>
      <c r="B56" s="607" t="s">
        <v>286</v>
      </c>
      <c r="C56" s="608">
        <f>8021+495+8+19+37</f>
        <v>8580</v>
      </c>
      <c r="D56" s="608">
        <v>7351</v>
      </c>
      <c r="E56" s="608">
        <v>1963</v>
      </c>
      <c r="F56" s="608"/>
      <c r="G56" s="608"/>
      <c r="H56" s="608"/>
      <c r="I56" s="608">
        <v>165</v>
      </c>
      <c r="J56" s="608"/>
      <c r="K56" s="608"/>
      <c r="L56" s="608"/>
      <c r="M56" s="608"/>
      <c r="N56" s="608"/>
      <c r="O56" s="609">
        <f t="shared" si="0"/>
        <v>10708</v>
      </c>
      <c r="P56" s="717"/>
      <c r="Q56" s="607" t="s">
        <v>286</v>
      </c>
      <c r="R56" s="608">
        <f>45661+390+130+29+1003+158+131-450</f>
        <v>47052</v>
      </c>
      <c r="S56" s="608">
        <f>12093+105+8+271+43+34</f>
        <v>12554</v>
      </c>
      <c r="T56" s="608">
        <f>25823+8+33+50+19+450</f>
        <v>26383</v>
      </c>
      <c r="U56" s="608">
        <v>15195</v>
      </c>
      <c r="V56" s="608">
        <v>945</v>
      </c>
      <c r="W56" s="608">
        <f>750</f>
        <v>750</v>
      </c>
      <c r="X56" s="608">
        <f>400</f>
        <v>400</v>
      </c>
      <c r="Y56" s="609">
        <f t="shared" si="1"/>
        <v>88084</v>
      </c>
    </row>
    <row r="57" spans="1:25" ht="10.5" customHeight="1">
      <c r="A57" s="717" t="s">
        <v>292</v>
      </c>
      <c r="B57" s="607" t="s">
        <v>490</v>
      </c>
      <c r="C57" s="608">
        <v>1966</v>
      </c>
      <c r="D57" s="608">
        <v>1966</v>
      </c>
      <c r="E57" s="608">
        <v>492</v>
      </c>
      <c r="F57" s="608">
        <v>0</v>
      </c>
      <c r="G57" s="608">
        <v>0</v>
      </c>
      <c r="H57" s="608">
        <v>0</v>
      </c>
      <c r="I57" s="608">
        <v>0</v>
      </c>
      <c r="J57" s="608">
        <v>0</v>
      </c>
      <c r="K57" s="608"/>
      <c r="L57" s="608">
        <v>0</v>
      </c>
      <c r="M57" s="608">
        <v>0</v>
      </c>
      <c r="N57" s="608">
        <v>0</v>
      </c>
      <c r="O57" s="609">
        <f t="shared" si="0"/>
        <v>2458</v>
      </c>
      <c r="P57" s="724" t="s">
        <v>292</v>
      </c>
      <c r="Q57" s="635" t="s">
        <v>490</v>
      </c>
      <c r="R57" s="636">
        <v>33490</v>
      </c>
      <c r="S57" s="636">
        <v>8793</v>
      </c>
      <c r="T57" s="636">
        <v>12562</v>
      </c>
      <c r="U57" s="636">
        <v>4230</v>
      </c>
      <c r="V57" s="636">
        <v>637</v>
      </c>
      <c r="W57" s="636">
        <v>0</v>
      </c>
      <c r="X57" s="636">
        <v>0</v>
      </c>
      <c r="Y57" s="637">
        <f t="shared" si="1"/>
        <v>55482</v>
      </c>
    </row>
    <row r="58" spans="1:25" ht="10.5" customHeight="1">
      <c r="A58" s="717"/>
      <c r="B58" s="607" t="s">
        <v>284</v>
      </c>
      <c r="C58" s="608">
        <v>1966</v>
      </c>
      <c r="D58" s="608">
        <v>1966</v>
      </c>
      <c r="E58" s="608">
        <v>492</v>
      </c>
      <c r="F58" s="608">
        <v>0</v>
      </c>
      <c r="G58" s="608">
        <v>0</v>
      </c>
      <c r="H58" s="608">
        <v>0</v>
      </c>
      <c r="I58" s="608">
        <v>0</v>
      </c>
      <c r="J58" s="608">
        <v>0</v>
      </c>
      <c r="K58" s="608"/>
      <c r="L58" s="608">
        <v>0</v>
      </c>
      <c r="M58" s="608">
        <v>102</v>
      </c>
      <c r="N58" s="608">
        <v>0</v>
      </c>
      <c r="O58" s="609">
        <f t="shared" si="0"/>
        <v>2560</v>
      </c>
      <c r="P58" s="717"/>
      <c r="Q58" s="607" t="s">
        <v>284</v>
      </c>
      <c r="R58" s="608">
        <f>33490+1291+72</f>
        <v>34853</v>
      </c>
      <c r="S58" s="608">
        <f>8793+348+27+19</f>
        <v>9187</v>
      </c>
      <c r="T58" s="608">
        <f>12562+11</f>
        <v>12573</v>
      </c>
      <c r="U58" s="608">
        <v>4230</v>
      </c>
      <c r="V58" s="608">
        <v>637</v>
      </c>
      <c r="W58" s="608">
        <v>0</v>
      </c>
      <c r="X58" s="608">
        <v>0</v>
      </c>
      <c r="Y58" s="609">
        <f t="shared" si="1"/>
        <v>57250</v>
      </c>
    </row>
    <row r="59" spans="1:25" ht="10.5" customHeight="1">
      <c r="A59" s="717"/>
      <c r="B59" s="607" t="s">
        <v>285</v>
      </c>
      <c r="C59" s="608">
        <v>1966</v>
      </c>
      <c r="D59" s="608">
        <v>1966</v>
      </c>
      <c r="E59" s="608">
        <v>492</v>
      </c>
      <c r="F59" s="608">
        <v>0</v>
      </c>
      <c r="G59" s="608">
        <v>0</v>
      </c>
      <c r="H59" s="608">
        <v>0</v>
      </c>
      <c r="I59" s="608">
        <f>166+562+40</f>
        <v>768</v>
      </c>
      <c r="J59" s="608">
        <v>0</v>
      </c>
      <c r="K59" s="608"/>
      <c r="L59" s="608">
        <v>0</v>
      </c>
      <c r="M59" s="608">
        <v>102</v>
      </c>
      <c r="N59" s="608">
        <v>0</v>
      </c>
      <c r="O59" s="609">
        <f t="shared" si="0"/>
        <v>3328</v>
      </c>
      <c r="P59" s="717"/>
      <c r="Q59" s="607" t="s">
        <v>285</v>
      </c>
      <c r="R59" s="608">
        <f>34853+90+627+159+131+443</f>
        <v>36303</v>
      </c>
      <c r="S59" s="608">
        <f>9187+169+43+35+119</f>
        <v>9553</v>
      </c>
      <c r="T59" s="608">
        <f>12573+22+40</f>
        <v>12635</v>
      </c>
      <c r="U59" s="608">
        <v>4230</v>
      </c>
      <c r="V59" s="608">
        <v>637</v>
      </c>
      <c r="W59" s="608">
        <v>0</v>
      </c>
      <c r="X59" s="608">
        <v>0</v>
      </c>
      <c r="Y59" s="609">
        <f t="shared" si="1"/>
        <v>59128</v>
      </c>
    </row>
    <row r="60" spans="1:25" ht="10.5" customHeight="1">
      <c r="A60" s="717"/>
      <c r="B60" s="607" t="s">
        <v>286</v>
      </c>
      <c r="C60" s="608">
        <v>1966</v>
      </c>
      <c r="D60" s="608">
        <v>1966</v>
      </c>
      <c r="E60" s="608">
        <v>492</v>
      </c>
      <c r="F60" s="608"/>
      <c r="G60" s="608"/>
      <c r="H60" s="608"/>
      <c r="I60" s="608">
        <f>166+562+40</f>
        <v>768</v>
      </c>
      <c r="J60" s="608"/>
      <c r="K60" s="608"/>
      <c r="L60" s="608"/>
      <c r="M60" s="608">
        <v>102</v>
      </c>
      <c r="N60" s="608"/>
      <c r="O60" s="609">
        <f t="shared" si="0"/>
        <v>3328</v>
      </c>
      <c r="P60" s="717"/>
      <c r="Q60" s="607" t="s">
        <v>286</v>
      </c>
      <c r="R60" s="608">
        <f>34853+90+627+159+131+443-774</f>
        <v>35529</v>
      </c>
      <c r="S60" s="608">
        <f>9187+169+43+35+119</f>
        <v>9553</v>
      </c>
      <c r="T60" s="608">
        <f>12573+22+40+774</f>
        <v>13409</v>
      </c>
      <c r="U60" s="608">
        <v>4230</v>
      </c>
      <c r="V60" s="608">
        <v>637</v>
      </c>
      <c r="W60" s="608">
        <v>0</v>
      </c>
      <c r="X60" s="608">
        <v>0</v>
      </c>
      <c r="Y60" s="609">
        <f t="shared" si="1"/>
        <v>59128</v>
      </c>
    </row>
    <row r="61" spans="1:25" s="616" customFormat="1" ht="10.5" customHeight="1">
      <c r="A61" s="720" t="s">
        <v>293</v>
      </c>
      <c r="B61" s="607" t="s">
        <v>490</v>
      </c>
      <c r="C61" s="615">
        <f aca="true" t="shared" si="2" ref="C61:Y64">+C45+C49+C53+C57</f>
        <v>29313</v>
      </c>
      <c r="D61" s="615">
        <f t="shared" si="2"/>
        <v>23665</v>
      </c>
      <c r="E61" s="615">
        <f t="shared" si="2"/>
        <v>6178</v>
      </c>
      <c r="F61" s="615">
        <f t="shared" si="2"/>
        <v>0</v>
      </c>
      <c r="G61" s="615">
        <f t="shared" si="2"/>
        <v>0</v>
      </c>
      <c r="H61" s="615">
        <f t="shared" si="2"/>
        <v>0</v>
      </c>
      <c r="I61" s="615">
        <f t="shared" si="2"/>
        <v>0</v>
      </c>
      <c r="J61" s="615">
        <f t="shared" si="2"/>
        <v>0</v>
      </c>
      <c r="K61" s="615">
        <f t="shared" si="2"/>
        <v>0</v>
      </c>
      <c r="L61" s="615">
        <f t="shared" si="2"/>
        <v>0</v>
      </c>
      <c r="M61" s="615">
        <f t="shared" si="2"/>
        <v>0</v>
      </c>
      <c r="N61" s="615">
        <f t="shared" si="2"/>
        <v>0</v>
      </c>
      <c r="O61" s="609">
        <f t="shared" si="2"/>
        <v>35491</v>
      </c>
      <c r="P61" s="720" t="s">
        <v>293</v>
      </c>
      <c r="Q61" s="607" t="s">
        <v>490</v>
      </c>
      <c r="R61" s="615">
        <f t="shared" si="2"/>
        <v>262693</v>
      </c>
      <c r="S61" s="615">
        <f t="shared" si="2"/>
        <v>68968</v>
      </c>
      <c r="T61" s="615">
        <f t="shared" si="2"/>
        <v>112351</v>
      </c>
      <c r="U61" s="615">
        <f t="shared" si="2"/>
        <v>51046</v>
      </c>
      <c r="V61" s="615">
        <f t="shared" si="2"/>
        <v>5372</v>
      </c>
      <c r="W61" s="615">
        <f t="shared" si="2"/>
        <v>0</v>
      </c>
      <c r="X61" s="615">
        <f t="shared" si="2"/>
        <v>2400</v>
      </c>
      <c r="Y61" s="609">
        <f t="shared" si="2"/>
        <v>451784</v>
      </c>
    </row>
    <row r="62" spans="1:25" s="616" customFormat="1" ht="10.5" customHeight="1">
      <c r="A62" s="720"/>
      <c r="B62" s="607" t="s">
        <v>284</v>
      </c>
      <c r="C62" s="615">
        <f t="shared" si="2"/>
        <v>29313</v>
      </c>
      <c r="D62" s="615">
        <f t="shared" si="2"/>
        <v>23665</v>
      </c>
      <c r="E62" s="615">
        <f t="shared" si="2"/>
        <v>6178</v>
      </c>
      <c r="F62" s="615">
        <f t="shared" si="2"/>
        <v>0</v>
      </c>
      <c r="G62" s="615">
        <f t="shared" si="2"/>
        <v>0</v>
      </c>
      <c r="H62" s="615">
        <f t="shared" si="2"/>
        <v>0</v>
      </c>
      <c r="I62" s="615">
        <f t="shared" si="2"/>
        <v>0</v>
      </c>
      <c r="J62" s="615">
        <f t="shared" si="2"/>
        <v>0</v>
      </c>
      <c r="K62" s="615">
        <f t="shared" si="2"/>
        <v>0</v>
      </c>
      <c r="L62" s="615">
        <f t="shared" si="2"/>
        <v>0</v>
      </c>
      <c r="M62" s="615">
        <f t="shared" si="2"/>
        <v>4696</v>
      </c>
      <c r="N62" s="615">
        <f t="shared" si="2"/>
        <v>0</v>
      </c>
      <c r="O62" s="609">
        <f t="shared" si="2"/>
        <v>40187</v>
      </c>
      <c r="P62" s="720"/>
      <c r="Q62" s="607" t="s">
        <v>284</v>
      </c>
      <c r="R62" s="615">
        <f t="shared" si="2"/>
        <v>276229</v>
      </c>
      <c r="S62" s="615">
        <f t="shared" si="2"/>
        <v>72850</v>
      </c>
      <c r="T62" s="615">
        <f t="shared" si="2"/>
        <v>116977</v>
      </c>
      <c r="U62" s="615">
        <f t="shared" si="2"/>
        <v>51046</v>
      </c>
      <c r="V62" s="615">
        <f t="shared" si="2"/>
        <v>5372</v>
      </c>
      <c r="W62" s="615">
        <f t="shared" si="2"/>
        <v>750</v>
      </c>
      <c r="X62" s="615">
        <f t="shared" si="2"/>
        <v>2400</v>
      </c>
      <c r="Y62" s="609">
        <f t="shared" si="2"/>
        <v>474578</v>
      </c>
    </row>
    <row r="63" spans="1:25" s="616" customFormat="1" ht="10.5" customHeight="1">
      <c r="A63" s="720"/>
      <c r="B63" s="607" t="s">
        <v>285</v>
      </c>
      <c r="C63" s="615">
        <f>+C47+C51+C55+C59</f>
        <v>30095</v>
      </c>
      <c r="D63" s="615">
        <v>23665</v>
      </c>
      <c r="E63" s="615">
        <v>6178</v>
      </c>
      <c r="F63" s="615">
        <f t="shared" si="2"/>
        <v>0</v>
      </c>
      <c r="G63" s="615">
        <f t="shared" si="2"/>
        <v>50</v>
      </c>
      <c r="H63" s="615">
        <f t="shared" si="2"/>
        <v>0</v>
      </c>
      <c r="I63" s="615">
        <f t="shared" si="2"/>
        <v>5642</v>
      </c>
      <c r="J63" s="615">
        <f t="shared" si="2"/>
        <v>0</v>
      </c>
      <c r="K63" s="615">
        <f t="shared" si="2"/>
        <v>0</v>
      </c>
      <c r="L63" s="615">
        <f t="shared" si="2"/>
        <v>0</v>
      </c>
      <c r="M63" s="615">
        <f t="shared" si="2"/>
        <v>4696</v>
      </c>
      <c r="N63" s="615">
        <f t="shared" si="2"/>
        <v>0</v>
      </c>
      <c r="O63" s="609">
        <f t="shared" si="2"/>
        <v>46661</v>
      </c>
      <c r="P63" s="720"/>
      <c r="Q63" s="607" t="s">
        <v>285</v>
      </c>
      <c r="R63" s="615">
        <f t="shared" si="2"/>
        <v>278993</v>
      </c>
      <c r="S63" s="615">
        <f t="shared" si="2"/>
        <v>73258</v>
      </c>
      <c r="T63" s="615">
        <f t="shared" si="2"/>
        <v>126897</v>
      </c>
      <c r="U63" s="615">
        <f t="shared" si="2"/>
        <v>51046</v>
      </c>
      <c r="V63" s="615">
        <f t="shared" si="2"/>
        <v>5372</v>
      </c>
      <c r="W63" s="615">
        <f t="shared" si="2"/>
        <v>750</v>
      </c>
      <c r="X63" s="615">
        <f t="shared" si="2"/>
        <v>5900</v>
      </c>
      <c r="Y63" s="609">
        <f t="shared" si="2"/>
        <v>491170</v>
      </c>
    </row>
    <row r="64" spans="1:25" s="616" customFormat="1" ht="10.5" customHeight="1" thickBot="1">
      <c r="A64" s="721"/>
      <c r="B64" s="610" t="s">
        <v>286</v>
      </c>
      <c r="C64" s="623">
        <f>+C48+C52+C56+C60</f>
        <v>30260</v>
      </c>
      <c r="D64" s="623">
        <f>+D48+D52+D56+D60</f>
        <v>23665</v>
      </c>
      <c r="E64" s="623">
        <f>+E48+E52+E56+E60</f>
        <v>6178</v>
      </c>
      <c r="F64" s="623">
        <f t="shared" si="2"/>
        <v>0</v>
      </c>
      <c r="G64" s="623">
        <f t="shared" si="2"/>
        <v>81</v>
      </c>
      <c r="H64" s="623">
        <f t="shared" si="2"/>
        <v>0</v>
      </c>
      <c r="I64" s="623">
        <f t="shared" si="2"/>
        <v>2033</v>
      </c>
      <c r="J64" s="623">
        <f t="shared" si="2"/>
        <v>0</v>
      </c>
      <c r="K64" s="623">
        <f t="shared" si="2"/>
        <v>0</v>
      </c>
      <c r="L64" s="623">
        <f t="shared" si="2"/>
        <v>0</v>
      </c>
      <c r="M64" s="623">
        <f t="shared" si="2"/>
        <v>4696</v>
      </c>
      <c r="N64" s="623">
        <f t="shared" si="2"/>
        <v>0</v>
      </c>
      <c r="O64" s="611">
        <f t="shared" si="2"/>
        <v>43248</v>
      </c>
      <c r="P64" s="721"/>
      <c r="Q64" s="610" t="s">
        <v>286</v>
      </c>
      <c r="R64" s="623">
        <f t="shared" si="2"/>
        <v>277774</v>
      </c>
      <c r="S64" s="623">
        <f t="shared" si="2"/>
        <v>73259</v>
      </c>
      <c r="T64" s="623">
        <f t="shared" si="2"/>
        <v>124665</v>
      </c>
      <c r="U64" s="623">
        <f t="shared" si="2"/>
        <v>51046</v>
      </c>
      <c r="V64" s="623">
        <f t="shared" si="2"/>
        <v>5372</v>
      </c>
      <c r="W64" s="623">
        <f t="shared" si="2"/>
        <v>750</v>
      </c>
      <c r="X64" s="623">
        <f t="shared" si="2"/>
        <v>5900</v>
      </c>
      <c r="Y64" s="611">
        <f t="shared" si="2"/>
        <v>487720</v>
      </c>
    </row>
    <row r="65" spans="1:25" ht="10.5" customHeight="1" thickTop="1">
      <c r="A65" s="722" t="s">
        <v>361</v>
      </c>
      <c r="B65" s="612" t="s">
        <v>490</v>
      </c>
      <c r="C65" s="613">
        <v>21426</v>
      </c>
      <c r="D65" s="613">
        <v>18326</v>
      </c>
      <c r="E65" s="613">
        <v>4781</v>
      </c>
      <c r="F65" s="613">
        <v>0</v>
      </c>
      <c r="G65" s="613">
        <v>0</v>
      </c>
      <c r="H65" s="613">
        <v>0</v>
      </c>
      <c r="I65" s="613">
        <v>0</v>
      </c>
      <c r="J65" s="613">
        <v>0</v>
      </c>
      <c r="K65" s="613"/>
      <c r="L65" s="613">
        <v>0</v>
      </c>
      <c r="M65" s="613">
        <v>0</v>
      </c>
      <c r="N65" s="613">
        <v>0</v>
      </c>
      <c r="O65" s="614">
        <f aca="true" t="shared" si="3" ref="O65:O72">SUM(C65:N65)-D65</f>
        <v>26207</v>
      </c>
      <c r="P65" s="722" t="s">
        <v>361</v>
      </c>
      <c r="Q65" s="612" t="s">
        <v>490</v>
      </c>
      <c r="R65" s="613">
        <f>145073-24</f>
        <v>145049</v>
      </c>
      <c r="S65" s="613">
        <v>38130</v>
      </c>
      <c r="T65" s="613">
        <f>78288-6</f>
        <v>78282</v>
      </c>
      <c r="U65" s="613">
        <v>38096</v>
      </c>
      <c r="V65" s="613">
        <v>2720</v>
      </c>
      <c r="W65" s="613">
        <v>0</v>
      </c>
      <c r="X65" s="613">
        <v>8250</v>
      </c>
      <c r="Y65" s="614">
        <f aca="true" t="shared" si="4" ref="Y65:Y72">SUM(R65:X65)-U65</f>
        <v>272431</v>
      </c>
    </row>
    <row r="66" spans="1:25" ht="10.5" customHeight="1">
      <c r="A66" s="717"/>
      <c r="B66" s="607" t="s">
        <v>284</v>
      </c>
      <c r="C66" s="608">
        <v>21426</v>
      </c>
      <c r="D66" s="608">
        <v>18326</v>
      </c>
      <c r="E66" s="608">
        <v>4781</v>
      </c>
      <c r="F66" s="608">
        <v>0</v>
      </c>
      <c r="G66" s="608">
        <v>0</v>
      </c>
      <c r="H66" s="608">
        <v>0</v>
      </c>
      <c r="I66" s="608">
        <v>0</v>
      </c>
      <c r="J66" s="608">
        <v>0</v>
      </c>
      <c r="K66" s="608"/>
      <c r="L66" s="608">
        <v>0</v>
      </c>
      <c r="M66" s="608">
        <v>328</v>
      </c>
      <c r="N66" s="608">
        <v>0</v>
      </c>
      <c r="O66" s="609">
        <f t="shared" si="3"/>
        <v>26535</v>
      </c>
      <c r="P66" s="717"/>
      <c r="Q66" s="607" t="s">
        <v>284</v>
      </c>
      <c r="R66" s="608">
        <f>145073-24+5709+121+100</f>
        <v>150979</v>
      </c>
      <c r="S66" s="608">
        <f>38130+1542+115+33+27</f>
        <v>39847</v>
      </c>
      <c r="T66" s="608">
        <f>78288-6+720+174</f>
        <v>79176</v>
      </c>
      <c r="U66" s="608">
        <v>38096</v>
      </c>
      <c r="V66" s="608">
        <v>2720</v>
      </c>
      <c r="W66" s="608">
        <v>0</v>
      </c>
      <c r="X66" s="608">
        <v>8250</v>
      </c>
      <c r="Y66" s="609">
        <f t="shared" si="4"/>
        <v>280972</v>
      </c>
    </row>
    <row r="67" spans="1:25" ht="10.5" customHeight="1">
      <c r="A67" s="717"/>
      <c r="B67" s="607" t="s">
        <v>285</v>
      </c>
      <c r="C67" s="608">
        <f>21426+1239</f>
        <v>22665</v>
      </c>
      <c r="D67" s="608">
        <v>18326</v>
      </c>
      <c r="E67" s="608">
        <v>4781</v>
      </c>
      <c r="F67" s="608">
        <v>0</v>
      </c>
      <c r="G67" s="608">
        <f>100+1620+1608</f>
        <v>3328</v>
      </c>
      <c r="H67" s="608">
        <v>0</v>
      </c>
      <c r="I67" s="608">
        <f>50+50+166</f>
        <v>266</v>
      </c>
      <c r="J67" s="608">
        <v>0</v>
      </c>
      <c r="K67" s="608"/>
      <c r="L67" s="608">
        <v>0</v>
      </c>
      <c r="M67" s="608">
        <v>328</v>
      </c>
      <c r="N67" s="608">
        <v>0</v>
      </c>
      <c r="O67" s="609">
        <f t="shared" si="3"/>
        <v>31368</v>
      </c>
      <c r="P67" s="717"/>
      <c r="Q67" s="607" t="s">
        <v>285</v>
      </c>
      <c r="R67" s="608">
        <f>150979+354+250-181+476+500+131</f>
        <v>152509</v>
      </c>
      <c r="S67" s="608">
        <f>39847+96-49+129+35</f>
        <v>40058</v>
      </c>
      <c r="T67" s="608">
        <f>79176+789+63+200+181+49+250+50+50+1620+1608+2100</f>
        <v>86136</v>
      </c>
      <c r="U67" s="608">
        <v>38096</v>
      </c>
      <c r="V67" s="608">
        <v>2720</v>
      </c>
      <c r="W67" s="608">
        <v>350</v>
      </c>
      <c r="X67" s="608">
        <v>8250</v>
      </c>
      <c r="Y67" s="609">
        <f t="shared" si="4"/>
        <v>290023</v>
      </c>
    </row>
    <row r="68" spans="1:25" ht="10.5" customHeight="1">
      <c r="A68" s="717"/>
      <c r="B68" s="607" t="s">
        <v>286</v>
      </c>
      <c r="C68" s="608">
        <f>21426+1239</f>
        <v>22665</v>
      </c>
      <c r="D68" s="608">
        <v>18326</v>
      </c>
      <c r="E68" s="608">
        <v>4781</v>
      </c>
      <c r="F68" s="608">
        <v>0</v>
      </c>
      <c r="G68" s="608">
        <f>100+1620+1608+106</f>
        <v>3434</v>
      </c>
      <c r="H68" s="608">
        <v>0</v>
      </c>
      <c r="I68" s="608">
        <f>50+50+166</f>
        <v>266</v>
      </c>
      <c r="J68" s="608">
        <v>0</v>
      </c>
      <c r="K68" s="608">
        <v>2120</v>
      </c>
      <c r="L68" s="608">
        <v>0</v>
      </c>
      <c r="M68" s="608">
        <v>328</v>
      </c>
      <c r="N68" s="608">
        <v>0</v>
      </c>
      <c r="O68" s="609">
        <f t="shared" si="3"/>
        <v>33594</v>
      </c>
      <c r="P68" s="717"/>
      <c r="Q68" s="607" t="s">
        <v>286</v>
      </c>
      <c r="R68" s="608">
        <f>150979+354+250-181+476+500+131</f>
        <v>152509</v>
      </c>
      <c r="S68" s="608">
        <f>39847+96-49+129+35</f>
        <v>40058</v>
      </c>
      <c r="T68" s="608">
        <f>79176+789+63+200+181+49+250+50+50+1620+1608+2100+106+1870</f>
        <v>88112</v>
      </c>
      <c r="U68" s="608">
        <v>38096</v>
      </c>
      <c r="V68" s="608">
        <v>2720</v>
      </c>
      <c r="W68" s="608">
        <v>350</v>
      </c>
      <c r="X68" s="608">
        <v>8250</v>
      </c>
      <c r="Y68" s="609">
        <f t="shared" si="4"/>
        <v>291999</v>
      </c>
    </row>
    <row r="69" spans="1:25" ht="10.5" customHeight="1">
      <c r="A69" s="717" t="s">
        <v>294</v>
      </c>
      <c r="B69" s="607" t="s">
        <v>490</v>
      </c>
      <c r="C69" s="608">
        <v>4902</v>
      </c>
      <c r="D69" s="608">
        <v>4232</v>
      </c>
      <c r="E69" s="608">
        <v>1168</v>
      </c>
      <c r="F69" s="608">
        <v>0</v>
      </c>
      <c r="G69" s="608">
        <v>0</v>
      </c>
      <c r="H69" s="608">
        <v>0</v>
      </c>
      <c r="I69" s="608">
        <v>0</v>
      </c>
      <c r="J69" s="608">
        <v>0</v>
      </c>
      <c r="K69" s="608"/>
      <c r="L69" s="608">
        <v>0</v>
      </c>
      <c r="M69" s="608">
        <v>0</v>
      </c>
      <c r="N69" s="608">
        <v>0</v>
      </c>
      <c r="O69" s="609">
        <f t="shared" si="3"/>
        <v>6070</v>
      </c>
      <c r="P69" s="717" t="s">
        <v>294</v>
      </c>
      <c r="Q69" s="607" t="s">
        <v>490</v>
      </c>
      <c r="R69" s="608">
        <v>51036</v>
      </c>
      <c r="S69" s="608">
        <v>13344</v>
      </c>
      <c r="T69" s="608">
        <v>26953</v>
      </c>
      <c r="U69" s="608">
        <v>12061</v>
      </c>
      <c r="V69" s="608">
        <v>1286</v>
      </c>
      <c r="W69" s="608">
        <v>0</v>
      </c>
      <c r="X69" s="608">
        <v>0</v>
      </c>
      <c r="Y69" s="609">
        <f t="shared" si="4"/>
        <v>92619</v>
      </c>
    </row>
    <row r="70" spans="1:25" ht="10.5" customHeight="1">
      <c r="A70" s="717"/>
      <c r="B70" s="607" t="s">
        <v>284</v>
      </c>
      <c r="C70" s="608">
        <v>4902</v>
      </c>
      <c r="D70" s="608">
        <v>4232</v>
      </c>
      <c r="E70" s="608">
        <v>1168</v>
      </c>
      <c r="F70" s="608">
        <v>0</v>
      </c>
      <c r="G70" s="608">
        <v>0</v>
      </c>
      <c r="H70" s="608">
        <v>0</v>
      </c>
      <c r="I70" s="608">
        <v>0</v>
      </c>
      <c r="J70" s="608">
        <v>0</v>
      </c>
      <c r="K70" s="608"/>
      <c r="L70" s="608">
        <v>0</v>
      </c>
      <c r="M70" s="608">
        <v>244</v>
      </c>
      <c r="N70" s="608">
        <v>0</v>
      </c>
      <c r="O70" s="609">
        <f t="shared" si="3"/>
        <v>6314</v>
      </c>
      <c r="P70" s="717"/>
      <c r="Q70" s="607" t="s">
        <v>284</v>
      </c>
      <c r="R70" s="608">
        <f>51036+2079+240</f>
        <v>53355</v>
      </c>
      <c r="S70" s="608">
        <f>13344+561+42</f>
        <v>13947</v>
      </c>
      <c r="T70" s="608">
        <f>26953+50+4</f>
        <v>27007</v>
      </c>
      <c r="U70" s="608">
        <v>12061</v>
      </c>
      <c r="V70" s="608">
        <v>1286</v>
      </c>
      <c r="W70" s="608">
        <v>0</v>
      </c>
      <c r="X70" s="608">
        <v>0</v>
      </c>
      <c r="Y70" s="609">
        <f t="shared" si="4"/>
        <v>95595</v>
      </c>
    </row>
    <row r="71" spans="1:25" ht="10.5" customHeight="1">
      <c r="A71" s="717"/>
      <c r="B71" s="607" t="s">
        <v>285</v>
      </c>
      <c r="C71" s="608">
        <v>4902</v>
      </c>
      <c r="D71" s="608">
        <v>4232</v>
      </c>
      <c r="E71" s="608">
        <v>1168</v>
      </c>
      <c r="F71" s="608">
        <v>0</v>
      </c>
      <c r="G71" s="608">
        <v>0</v>
      </c>
      <c r="H71" s="608">
        <v>0</v>
      </c>
      <c r="I71" s="608">
        <f>166+50</f>
        <v>216</v>
      </c>
      <c r="J71" s="608">
        <v>0</v>
      </c>
      <c r="K71" s="608"/>
      <c r="L71" s="608">
        <v>0</v>
      </c>
      <c r="M71" s="608">
        <v>244</v>
      </c>
      <c r="N71" s="608">
        <v>0</v>
      </c>
      <c r="O71" s="609">
        <f t="shared" si="3"/>
        <v>6530</v>
      </c>
      <c r="P71" s="717"/>
      <c r="Q71" s="607" t="s">
        <v>285</v>
      </c>
      <c r="R71" s="608">
        <f>53355+100+179+131</f>
        <v>53765</v>
      </c>
      <c r="S71" s="608">
        <f>13344+561+42+48+35</f>
        <v>14030</v>
      </c>
      <c r="T71" s="608">
        <f>27007+25+50+50+100</f>
        <v>27232</v>
      </c>
      <c r="U71" s="608">
        <v>12061</v>
      </c>
      <c r="V71" s="608">
        <v>1286</v>
      </c>
      <c r="W71" s="608">
        <v>0</v>
      </c>
      <c r="X71" s="608">
        <v>2000</v>
      </c>
      <c r="Y71" s="609">
        <f t="shared" si="4"/>
        <v>98313</v>
      </c>
    </row>
    <row r="72" spans="1:25" ht="10.5" customHeight="1">
      <c r="A72" s="717"/>
      <c r="B72" s="607" t="s">
        <v>286</v>
      </c>
      <c r="C72" s="608">
        <f>4902+22+3</f>
        <v>4927</v>
      </c>
      <c r="D72" s="608">
        <v>4232</v>
      </c>
      <c r="E72" s="608">
        <v>1168</v>
      </c>
      <c r="F72" s="608">
        <v>0</v>
      </c>
      <c r="G72" s="608">
        <v>0</v>
      </c>
      <c r="H72" s="608">
        <v>0</v>
      </c>
      <c r="I72" s="608">
        <f>166+50</f>
        <v>216</v>
      </c>
      <c r="J72" s="608">
        <v>0</v>
      </c>
      <c r="K72" s="608"/>
      <c r="L72" s="608">
        <v>0</v>
      </c>
      <c r="M72" s="608">
        <v>244</v>
      </c>
      <c r="N72" s="608">
        <v>0</v>
      </c>
      <c r="O72" s="609">
        <f t="shared" si="3"/>
        <v>6555</v>
      </c>
      <c r="P72" s="717"/>
      <c r="Q72" s="607" t="s">
        <v>286</v>
      </c>
      <c r="R72" s="608">
        <f>53355+100+179+131</f>
        <v>53765</v>
      </c>
      <c r="S72" s="608">
        <f>13344+561+42+48+35</f>
        <v>14030</v>
      </c>
      <c r="T72" s="608">
        <f>27007+25+50+50+100+22+3+91</f>
        <v>27348</v>
      </c>
      <c r="U72" s="608">
        <v>12061</v>
      </c>
      <c r="V72" s="608">
        <v>1286</v>
      </c>
      <c r="W72" s="608">
        <v>0</v>
      </c>
      <c r="X72" s="608">
        <v>2000</v>
      </c>
      <c r="Y72" s="609">
        <f t="shared" si="4"/>
        <v>98429</v>
      </c>
    </row>
    <row r="73" spans="1:25" s="616" customFormat="1" ht="10.5" customHeight="1">
      <c r="A73" s="720" t="s">
        <v>295</v>
      </c>
      <c r="B73" s="607" t="s">
        <v>490</v>
      </c>
      <c r="C73" s="615">
        <f aca="true" t="shared" si="5" ref="C73:Y76">+C65+C69</f>
        <v>26328</v>
      </c>
      <c r="D73" s="615">
        <f t="shared" si="5"/>
        <v>22558</v>
      </c>
      <c r="E73" s="615">
        <f t="shared" si="5"/>
        <v>5949</v>
      </c>
      <c r="F73" s="615">
        <f t="shared" si="5"/>
        <v>0</v>
      </c>
      <c r="G73" s="615">
        <f t="shared" si="5"/>
        <v>0</v>
      </c>
      <c r="H73" s="615">
        <f t="shared" si="5"/>
        <v>0</v>
      </c>
      <c r="I73" s="615">
        <f t="shared" si="5"/>
        <v>0</v>
      </c>
      <c r="J73" s="615">
        <f t="shared" si="5"/>
        <v>0</v>
      </c>
      <c r="K73" s="615">
        <f t="shared" si="5"/>
        <v>0</v>
      </c>
      <c r="L73" s="615">
        <f t="shared" si="5"/>
        <v>0</v>
      </c>
      <c r="M73" s="615">
        <f t="shared" si="5"/>
        <v>0</v>
      </c>
      <c r="N73" s="615">
        <f t="shared" si="5"/>
        <v>0</v>
      </c>
      <c r="O73" s="609">
        <f t="shared" si="5"/>
        <v>32277</v>
      </c>
      <c r="P73" s="720" t="s">
        <v>295</v>
      </c>
      <c r="Q73" s="607" t="s">
        <v>490</v>
      </c>
      <c r="R73" s="615">
        <f t="shared" si="5"/>
        <v>196085</v>
      </c>
      <c r="S73" s="615">
        <f t="shared" si="5"/>
        <v>51474</v>
      </c>
      <c r="T73" s="615">
        <f t="shared" si="5"/>
        <v>105235</v>
      </c>
      <c r="U73" s="615">
        <f t="shared" si="5"/>
        <v>50157</v>
      </c>
      <c r="V73" s="615">
        <f t="shared" si="5"/>
        <v>4006</v>
      </c>
      <c r="W73" s="615">
        <f t="shared" si="5"/>
        <v>0</v>
      </c>
      <c r="X73" s="615">
        <f t="shared" si="5"/>
        <v>8250</v>
      </c>
      <c r="Y73" s="609">
        <f t="shared" si="5"/>
        <v>365050</v>
      </c>
    </row>
    <row r="74" spans="1:25" s="616" customFormat="1" ht="10.5" customHeight="1">
      <c r="A74" s="720"/>
      <c r="B74" s="607" t="s">
        <v>284</v>
      </c>
      <c r="C74" s="615">
        <f t="shared" si="5"/>
        <v>26328</v>
      </c>
      <c r="D74" s="615">
        <f t="shared" si="5"/>
        <v>22558</v>
      </c>
      <c r="E74" s="615">
        <f t="shared" si="5"/>
        <v>5949</v>
      </c>
      <c r="F74" s="615">
        <f t="shared" si="5"/>
        <v>0</v>
      </c>
      <c r="G74" s="615">
        <f t="shared" si="5"/>
        <v>0</v>
      </c>
      <c r="H74" s="615">
        <f t="shared" si="5"/>
        <v>0</v>
      </c>
      <c r="I74" s="615">
        <f t="shared" si="5"/>
        <v>0</v>
      </c>
      <c r="J74" s="615">
        <f t="shared" si="5"/>
        <v>0</v>
      </c>
      <c r="K74" s="615">
        <f t="shared" si="5"/>
        <v>0</v>
      </c>
      <c r="L74" s="615">
        <f t="shared" si="5"/>
        <v>0</v>
      </c>
      <c r="M74" s="615">
        <f t="shared" si="5"/>
        <v>572</v>
      </c>
      <c r="N74" s="615">
        <f t="shared" si="5"/>
        <v>0</v>
      </c>
      <c r="O74" s="609">
        <f t="shared" si="5"/>
        <v>32849</v>
      </c>
      <c r="P74" s="720"/>
      <c r="Q74" s="607" t="s">
        <v>284</v>
      </c>
      <c r="R74" s="615">
        <f t="shared" si="5"/>
        <v>204334</v>
      </c>
      <c r="S74" s="615">
        <f t="shared" si="5"/>
        <v>53794</v>
      </c>
      <c r="T74" s="615">
        <f t="shared" si="5"/>
        <v>106183</v>
      </c>
      <c r="U74" s="615">
        <f t="shared" si="5"/>
        <v>50157</v>
      </c>
      <c r="V74" s="615">
        <f t="shared" si="5"/>
        <v>4006</v>
      </c>
      <c r="W74" s="615">
        <f t="shared" si="5"/>
        <v>0</v>
      </c>
      <c r="X74" s="615">
        <f t="shared" si="5"/>
        <v>8250</v>
      </c>
      <c r="Y74" s="609">
        <f t="shared" si="5"/>
        <v>376567</v>
      </c>
    </row>
    <row r="75" spans="1:25" s="616" customFormat="1" ht="10.5" customHeight="1">
      <c r="A75" s="720"/>
      <c r="B75" s="607" t="s">
        <v>285</v>
      </c>
      <c r="C75" s="615">
        <f t="shared" si="5"/>
        <v>27567</v>
      </c>
      <c r="D75" s="615">
        <f t="shared" si="5"/>
        <v>22558</v>
      </c>
      <c r="E75" s="615">
        <f t="shared" si="5"/>
        <v>5949</v>
      </c>
      <c r="F75" s="615">
        <f t="shared" si="5"/>
        <v>0</v>
      </c>
      <c r="G75" s="615">
        <f t="shared" si="5"/>
        <v>3328</v>
      </c>
      <c r="H75" s="615">
        <f t="shared" si="5"/>
        <v>0</v>
      </c>
      <c r="I75" s="615">
        <f t="shared" si="5"/>
        <v>482</v>
      </c>
      <c r="J75" s="615">
        <f t="shared" si="5"/>
        <v>0</v>
      </c>
      <c r="K75" s="615">
        <f t="shared" si="5"/>
        <v>0</v>
      </c>
      <c r="L75" s="615">
        <f t="shared" si="5"/>
        <v>0</v>
      </c>
      <c r="M75" s="615">
        <f t="shared" si="5"/>
        <v>572</v>
      </c>
      <c r="N75" s="615">
        <f t="shared" si="5"/>
        <v>0</v>
      </c>
      <c r="O75" s="609">
        <f t="shared" si="5"/>
        <v>37898</v>
      </c>
      <c r="P75" s="720"/>
      <c r="Q75" s="607" t="s">
        <v>285</v>
      </c>
      <c r="R75" s="615">
        <f t="shared" si="5"/>
        <v>206274</v>
      </c>
      <c r="S75" s="615">
        <f t="shared" si="5"/>
        <v>54088</v>
      </c>
      <c r="T75" s="615">
        <f t="shared" si="5"/>
        <v>113368</v>
      </c>
      <c r="U75" s="615">
        <f t="shared" si="5"/>
        <v>50157</v>
      </c>
      <c r="V75" s="615">
        <f t="shared" si="5"/>
        <v>4006</v>
      </c>
      <c r="W75" s="615">
        <f t="shared" si="5"/>
        <v>350</v>
      </c>
      <c r="X75" s="615">
        <f t="shared" si="5"/>
        <v>10250</v>
      </c>
      <c r="Y75" s="609">
        <f t="shared" si="5"/>
        <v>388336</v>
      </c>
    </row>
    <row r="76" spans="1:25" s="616" customFormat="1" ht="10.5" customHeight="1">
      <c r="A76" s="720"/>
      <c r="B76" s="607" t="s">
        <v>286</v>
      </c>
      <c r="C76" s="615">
        <f t="shared" si="5"/>
        <v>27592</v>
      </c>
      <c r="D76" s="615">
        <f t="shared" si="5"/>
        <v>22558</v>
      </c>
      <c r="E76" s="615">
        <f t="shared" si="5"/>
        <v>5949</v>
      </c>
      <c r="F76" s="615">
        <f t="shared" si="5"/>
        <v>0</v>
      </c>
      <c r="G76" s="615">
        <f t="shared" si="5"/>
        <v>3434</v>
      </c>
      <c r="H76" s="615">
        <f t="shared" si="5"/>
        <v>0</v>
      </c>
      <c r="I76" s="615">
        <f t="shared" si="5"/>
        <v>482</v>
      </c>
      <c r="J76" s="615">
        <f t="shared" si="5"/>
        <v>0</v>
      </c>
      <c r="K76" s="615">
        <f t="shared" si="5"/>
        <v>2120</v>
      </c>
      <c r="L76" s="615">
        <f t="shared" si="5"/>
        <v>0</v>
      </c>
      <c r="M76" s="615">
        <f t="shared" si="5"/>
        <v>572</v>
      </c>
      <c r="N76" s="615">
        <f t="shared" si="5"/>
        <v>0</v>
      </c>
      <c r="O76" s="609">
        <f t="shared" si="5"/>
        <v>40149</v>
      </c>
      <c r="P76" s="720"/>
      <c r="Q76" s="607" t="s">
        <v>286</v>
      </c>
      <c r="R76" s="615">
        <f t="shared" si="5"/>
        <v>206274</v>
      </c>
      <c r="S76" s="615">
        <f t="shared" si="5"/>
        <v>54088</v>
      </c>
      <c r="T76" s="615">
        <f t="shared" si="5"/>
        <v>115460</v>
      </c>
      <c r="U76" s="615">
        <f t="shared" si="5"/>
        <v>50157</v>
      </c>
      <c r="V76" s="615">
        <f t="shared" si="5"/>
        <v>4006</v>
      </c>
      <c r="W76" s="615">
        <f t="shared" si="5"/>
        <v>350</v>
      </c>
      <c r="X76" s="615">
        <f t="shared" si="5"/>
        <v>10250</v>
      </c>
      <c r="Y76" s="609">
        <f t="shared" si="5"/>
        <v>390428</v>
      </c>
    </row>
    <row r="77" spans="1:25" ht="10.5" customHeight="1">
      <c r="A77" s="717" t="s">
        <v>296</v>
      </c>
      <c r="B77" s="607" t="s">
        <v>490</v>
      </c>
      <c r="C77" s="608">
        <v>4400</v>
      </c>
      <c r="D77" s="608">
        <v>0</v>
      </c>
      <c r="E77" s="608">
        <v>0</v>
      </c>
      <c r="F77" s="608">
        <v>0</v>
      </c>
      <c r="G77" s="608">
        <v>0</v>
      </c>
      <c r="H77" s="608">
        <v>0</v>
      </c>
      <c r="I77" s="608">
        <v>0</v>
      </c>
      <c r="J77" s="608">
        <v>0</v>
      </c>
      <c r="K77" s="608"/>
      <c r="L77" s="608">
        <v>0</v>
      </c>
      <c r="M77" s="608">
        <v>0</v>
      </c>
      <c r="N77" s="608">
        <v>0</v>
      </c>
      <c r="O77" s="609">
        <f aca="true" t="shared" si="6" ref="O77:O108">SUM(C77:N77)-D77</f>
        <v>4400</v>
      </c>
      <c r="P77" s="717" t="s">
        <v>296</v>
      </c>
      <c r="Q77" s="607" t="s">
        <v>490</v>
      </c>
      <c r="R77" s="608">
        <v>48040</v>
      </c>
      <c r="S77" s="608">
        <v>10365</v>
      </c>
      <c r="T77" s="608">
        <v>6343</v>
      </c>
      <c r="U77" s="608">
        <v>0</v>
      </c>
      <c r="V77" s="608">
        <v>0</v>
      </c>
      <c r="W77" s="608">
        <v>0</v>
      </c>
      <c r="X77" s="608">
        <v>0</v>
      </c>
      <c r="Y77" s="609">
        <f aca="true" t="shared" si="7" ref="Y77:Y108">SUM(R77:X77)-U77</f>
        <v>64748</v>
      </c>
    </row>
    <row r="78" spans="1:25" ht="10.5" customHeight="1">
      <c r="A78" s="717"/>
      <c r="B78" s="607" t="s">
        <v>284</v>
      </c>
      <c r="C78" s="608">
        <v>4400</v>
      </c>
      <c r="D78" s="608">
        <v>0</v>
      </c>
      <c r="E78" s="608">
        <v>0</v>
      </c>
      <c r="F78" s="608">
        <v>0</v>
      </c>
      <c r="G78" s="608">
        <v>0</v>
      </c>
      <c r="H78" s="608">
        <v>0</v>
      </c>
      <c r="I78" s="608">
        <v>0</v>
      </c>
      <c r="J78" s="608">
        <v>0</v>
      </c>
      <c r="K78" s="608"/>
      <c r="L78" s="608">
        <v>0</v>
      </c>
      <c r="M78" s="608">
        <v>107</v>
      </c>
      <c r="N78" s="608">
        <v>0</v>
      </c>
      <c r="O78" s="609">
        <f t="shared" si="6"/>
        <v>4507</v>
      </c>
      <c r="P78" s="717"/>
      <c r="Q78" s="607" t="s">
        <v>284</v>
      </c>
      <c r="R78" s="608">
        <f>48040+2109+84</f>
        <v>50233</v>
      </c>
      <c r="S78" s="608">
        <f>10365+570+2176+27+23</f>
        <v>13161</v>
      </c>
      <c r="T78" s="608">
        <f>6343+170</f>
        <v>6513</v>
      </c>
      <c r="U78" s="608">
        <v>0</v>
      </c>
      <c r="V78" s="608">
        <v>0</v>
      </c>
      <c r="W78" s="608">
        <v>0</v>
      </c>
      <c r="X78" s="608">
        <v>0</v>
      </c>
      <c r="Y78" s="609">
        <f t="shared" si="7"/>
        <v>69907</v>
      </c>
    </row>
    <row r="79" spans="1:25" ht="10.5" customHeight="1">
      <c r="A79" s="717"/>
      <c r="B79" s="607" t="s">
        <v>285</v>
      </c>
      <c r="C79" s="608">
        <v>4400</v>
      </c>
      <c r="D79" s="608">
        <v>0</v>
      </c>
      <c r="E79" s="608">
        <v>0</v>
      </c>
      <c r="F79" s="608">
        <v>0</v>
      </c>
      <c r="G79" s="608">
        <f>100</f>
        <v>100</v>
      </c>
      <c r="H79" s="608">
        <v>0</v>
      </c>
      <c r="I79" s="608">
        <v>0</v>
      </c>
      <c r="J79" s="608">
        <v>0</v>
      </c>
      <c r="K79" s="608"/>
      <c r="L79" s="608">
        <v>0</v>
      </c>
      <c r="M79" s="608">
        <v>107</v>
      </c>
      <c r="N79" s="608">
        <v>0</v>
      </c>
      <c r="O79" s="609">
        <f t="shared" si="6"/>
        <v>4607</v>
      </c>
      <c r="P79" s="717"/>
      <c r="Q79" s="607" t="s">
        <v>285</v>
      </c>
      <c r="R79" s="608">
        <f>50233+602+125</f>
        <v>50960</v>
      </c>
      <c r="S79" s="608">
        <f>13161+138</f>
        <v>13299</v>
      </c>
      <c r="T79" s="608">
        <f>6513+22+100+1404</f>
        <v>8039</v>
      </c>
      <c r="U79" s="608">
        <v>0</v>
      </c>
      <c r="V79" s="608">
        <v>0</v>
      </c>
      <c r="W79" s="608">
        <v>0</v>
      </c>
      <c r="X79" s="608">
        <v>0</v>
      </c>
      <c r="Y79" s="609">
        <f t="shared" si="7"/>
        <v>72298</v>
      </c>
    </row>
    <row r="80" spans="1:25" ht="10.5" customHeight="1">
      <c r="A80" s="717"/>
      <c r="B80" s="607" t="s">
        <v>286</v>
      </c>
      <c r="C80" s="608">
        <v>4400</v>
      </c>
      <c r="D80" s="608">
        <v>0</v>
      </c>
      <c r="E80" s="608">
        <v>0</v>
      </c>
      <c r="F80" s="608">
        <v>0</v>
      </c>
      <c r="G80" s="608">
        <f>100</f>
        <v>100</v>
      </c>
      <c r="H80" s="608">
        <v>0</v>
      </c>
      <c r="I80" s="608">
        <v>0</v>
      </c>
      <c r="J80" s="608">
        <v>0</v>
      </c>
      <c r="K80" s="608"/>
      <c r="L80" s="608">
        <v>0</v>
      </c>
      <c r="M80" s="608">
        <v>107</v>
      </c>
      <c r="N80" s="608">
        <v>0</v>
      </c>
      <c r="O80" s="609">
        <f t="shared" si="6"/>
        <v>4607</v>
      </c>
      <c r="P80" s="717"/>
      <c r="Q80" s="607" t="s">
        <v>286</v>
      </c>
      <c r="R80" s="608">
        <f>50233+602+125</f>
        <v>50960</v>
      </c>
      <c r="S80" s="608">
        <f>13161+138</f>
        <v>13299</v>
      </c>
      <c r="T80" s="608">
        <f>6513+22+100+1404</f>
        <v>8039</v>
      </c>
      <c r="U80" s="608">
        <v>0</v>
      </c>
      <c r="V80" s="608">
        <v>0</v>
      </c>
      <c r="W80" s="608">
        <v>0</v>
      </c>
      <c r="X80" s="608">
        <v>0</v>
      </c>
      <c r="Y80" s="609">
        <f t="shared" si="7"/>
        <v>72298</v>
      </c>
    </row>
    <row r="81" spans="1:25" ht="10.5" customHeight="1">
      <c r="A81" s="717" t="s">
        <v>297</v>
      </c>
      <c r="B81" s="607" t="s">
        <v>490</v>
      </c>
      <c r="C81" s="608">
        <v>1130</v>
      </c>
      <c r="D81" s="608">
        <v>0</v>
      </c>
      <c r="E81" s="608">
        <v>283</v>
      </c>
      <c r="F81" s="608">
        <v>0</v>
      </c>
      <c r="G81" s="608">
        <v>0</v>
      </c>
      <c r="H81" s="608">
        <v>0</v>
      </c>
      <c r="I81" s="608">
        <v>0</v>
      </c>
      <c r="J81" s="608">
        <v>0</v>
      </c>
      <c r="K81" s="608"/>
      <c r="L81" s="608">
        <v>0</v>
      </c>
      <c r="M81" s="608">
        <v>0</v>
      </c>
      <c r="N81" s="608">
        <v>0</v>
      </c>
      <c r="O81" s="609">
        <f t="shared" si="6"/>
        <v>1413</v>
      </c>
      <c r="P81" s="717" t="s">
        <v>297</v>
      </c>
      <c r="Q81" s="607" t="s">
        <v>490</v>
      </c>
      <c r="R81" s="608">
        <f>20063-72</f>
        <v>19991</v>
      </c>
      <c r="S81" s="608">
        <v>5196</v>
      </c>
      <c r="T81" s="608">
        <f>18144-18</f>
        <v>18126</v>
      </c>
      <c r="U81" s="608">
        <v>0</v>
      </c>
      <c r="V81" s="608">
        <v>0</v>
      </c>
      <c r="W81" s="608">
        <v>0</v>
      </c>
      <c r="X81" s="608">
        <v>0</v>
      </c>
      <c r="Y81" s="609">
        <f t="shared" si="7"/>
        <v>43313</v>
      </c>
    </row>
    <row r="82" spans="1:25" ht="10.5" customHeight="1">
      <c r="A82" s="717"/>
      <c r="B82" s="607" t="s">
        <v>284</v>
      </c>
      <c r="C82" s="608">
        <f>1130+1352</f>
        <v>2482</v>
      </c>
      <c r="D82" s="608">
        <v>0</v>
      </c>
      <c r="E82" s="608">
        <v>283</v>
      </c>
      <c r="F82" s="608">
        <v>0</v>
      </c>
      <c r="G82" s="608">
        <v>0</v>
      </c>
      <c r="H82" s="608">
        <v>0</v>
      </c>
      <c r="I82" s="608">
        <v>0</v>
      </c>
      <c r="J82" s="608">
        <v>1600</v>
      </c>
      <c r="K82" s="608"/>
      <c r="L82" s="608">
        <v>0</v>
      </c>
      <c r="M82" s="608">
        <v>1118</v>
      </c>
      <c r="N82" s="608">
        <v>0</v>
      </c>
      <c r="O82" s="609">
        <f t="shared" si="6"/>
        <v>5483</v>
      </c>
      <c r="P82" s="717"/>
      <c r="Q82" s="607" t="s">
        <v>284</v>
      </c>
      <c r="R82" s="608">
        <f>20063-72+976+8+40</f>
        <v>21015</v>
      </c>
      <c r="S82" s="608">
        <f>5196+264+19+2+11</f>
        <v>5492</v>
      </c>
      <c r="T82" s="608">
        <f>18144-18+535+573</f>
        <v>19234</v>
      </c>
      <c r="U82" s="608">
        <v>0</v>
      </c>
      <c r="V82" s="608">
        <v>0</v>
      </c>
      <c r="W82" s="608">
        <f>1600+1352</f>
        <v>2952</v>
      </c>
      <c r="X82" s="608">
        <v>0</v>
      </c>
      <c r="Y82" s="609">
        <f t="shared" si="7"/>
        <v>48693</v>
      </c>
    </row>
    <row r="83" spans="1:25" ht="10.5" customHeight="1">
      <c r="A83" s="717"/>
      <c r="B83" s="607" t="s">
        <v>285</v>
      </c>
      <c r="C83" s="608">
        <f>2482+126+784</f>
        <v>3392</v>
      </c>
      <c r="D83" s="608">
        <v>0</v>
      </c>
      <c r="E83" s="608">
        <v>283</v>
      </c>
      <c r="F83" s="608">
        <v>0</v>
      </c>
      <c r="G83" s="608">
        <v>0</v>
      </c>
      <c r="H83" s="608">
        <v>0</v>
      </c>
      <c r="I83" s="608">
        <v>0</v>
      </c>
      <c r="J83" s="608">
        <v>1600</v>
      </c>
      <c r="K83" s="608"/>
      <c r="L83" s="608">
        <v>0</v>
      </c>
      <c r="M83" s="608">
        <v>1118</v>
      </c>
      <c r="N83" s="608">
        <v>0</v>
      </c>
      <c r="O83" s="609">
        <f t="shared" si="6"/>
        <v>6393</v>
      </c>
      <c r="P83" s="717"/>
      <c r="Q83" s="607" t="s">
        <v>285</v>
      </c>
      <c r="R83" s="608">
        <f>21015+50+1602</f>
        <v>22667</v>
      </c>
      <c r="S83" s="608">
        <f>5196+264+19+2+11+425</f>
        <v>5917</v>
      </c>
      <c r="T83" s="608">
        <f>19234+126+13+2570+7+996</f>
        <v>22946</v>
      </c>
      <c r="U83" s="608">
        <v>0</v>
      </c>
      <c r="V83" s="608">
        <v>0</v>
      </c>
      <c r="W83" s="608">
        <f>1600+1352</f>
        <v>2952</v>
      </c>
      <c r="X83" s="608">
        <v>0</v>
      </c>
      <c r="Y83" s="609">
        <f t="shared" si="7"/>
        <v>54482</v>
      </c>
    </row>
    <row r="84" spans="1:25" ht="10.5" customHeight="1">
      <c r="A84" s="717"/>
      <c r="B84" s="607" t="s">
        <v>286</v>
      </c>
      <c r="C84" s="608">
        <f>2482+126+784</f>
        <v>3392</v>
      </c>
      <c r="D84" s="608">
        <v>0</v>
      </c>
      <c r="E84" s="608">
        <f>283+1600</f>
        <v>1883</v>
      </c>
      <c r="F84" s="608">
        <v>0</v>
      </c>
      <c r="G84" s="608">
        <v>0</v>
      </c>
      <c r="H84" s="608">
        <v>0</v>
      </c>
      <c r="I84" s="608">
        <v>0</v>
      </c>
      <c r="J84" s="608">
        <f>1600-1600</f>
        <v>0</v>
      </c>
      <c r="K84" s="608">
        <v>2313</v>
      </c>
      <c r="L84" s="608">
        <v>0</v>
      </c>
      <c r="M84" s="608">
        <v>1118</v>
      </c>
      <c r="N84" s="608">
        <v>0</v>
      </c>
      <c r="O84" s="609">
        <f t="shared" si="6"/>
        <v>8706</v>
      </c>
      <c r="P84" s="717"/>
      <c r="Q84" s="607" t="s">
        <v>286</v>
      </c>
      <c r="R84" s="608">
        <f>21015+50+1602-1602+350</f>
        <v>21415</v>
      </c>
      <c r="S84" s="608">
        <f>5196+264+19+2+11+425-425+94</f>
        <v>5586</v>
      </c>
      <c r="T84" s="608">
        <f>19234+126+13+2570+7+996-7+90</f>
        <v>23029</v>
      </c>
      <c r="U84" s="608">
        <v>0</v>
      </c>
      <c r="V84" s="608">
        <v>0</v>
      </c>
      <c r="W84" s="608">
        <f>1600+1352+1779-1600+1600</f>
        <v>4731</v>
      </c>
      <c r="X84" s="608">
        <v>0</v>
      </c>
      <c r="Y84" s="609">
        <f t="shared" si="7"/>
        <v>54761</v>
      </c>
    </row>
    <row r="85" spans="1:25" ht="10.5" customHeight="1">
      <c r="A85" s="723" t="s">
        <v>298</v>
      </c>
      <c r="B85" s="607" t="s">
        <v>490</v>
      </c>
      <c r="C85" s="608">
        <v>480</v>
      </c>
      <c r="D85" s="608"/>
      <c r="E85" s="608">
        <v>120</v>
      </c>
      <c r="F85" s="608"/>
      <c r="G85" s="608"/>
      <c r="H85" s="608"/>
      <c r="I85" s="608"/>
      <c r="J85" s="608"/>
      <c r="K85" s="608"/>
      <c r="L85" s="608"/>
      <c r="M85" s="608"/>
      <c r="N85" s="608"/>
      <c r="O85" s="609">
        <f t="shared" si="6"/>
        <v>600</v>
      </c>
      <c r="P85" s="723" t="s">
        <v>298</v>
      </c>
      <c r="Q85" s="607" t="s">
        <v>490</v>
      </c>
      <c r="R85" s="608">
        <v>1220</v>
      </c>
      <c r="S85" s="608">
        <v>329</v>
      </c>
      <c r="T85" s="608">
        <v>1052</v>
      </c>
      <c r="U85" s="608"/>
      <c r="V85" s="608"/>
      <c r="W85" s="608"/>
      <c r="X85" s="608"/>
      <c r="Y85" s="609">
        <f t="shared" si="7"/>
        <v>2601</v>
      </c>
    </row>
    <row r="86" spans="1:25" ht="10.5" customHeight="1">
      <c r="A86" s="723"/>
      <c r="B86" s="607" t="s">
        <v>284</v>
      </c>
      <c r="C86" s="608">
        <v>480</v>
      </c>
      <c r="D86" s="608"/>
      <c r="E86" s="608">
        <v>120</v>
      </c>
      <c r="F86" s="608"/>
      <c r="G86" s="608"/>
      <c r="H86" s="608"/>
      <c r="I86" s="608"/>
      <c r="J86" s="608"/>
      <c r="K86" s="608"/>
      <c r="L86" s="608"/>
      <c r="M86" s="608">
        <v>85</v>
      </c>
      <c r="N86" s="608"/>
      <c r="O86" s="609">
        <f t="shared" si="6"/>
        <v>685</v>
      </c>
      <c r="P86" s="723"/>
      <c r="Q86" s="607" t="s">
        <v>284</v>
      </c>
      <c r="R86" s="608">
        <v>1220</v>
      </c>
      <c r="S86" s="608">
        <v>329</v>
      </c>
      <c r="T86" s="608">
        <f>1052+85</f>
        <v>1137</v>
      </c>
      <c r="U86" s="608"/>
      <c r="V86" s="608"/>
      <c r="W86" s="608"/>
      <c r="X86" s="608"/>
      <c r="Y86" s="609">
        <f t="shared" si="7"/>
        <v>2686</v>
      </c>
    </row>
    <row r="87" spans="1:25" ht="10.5" customHeight="1">
      <c r="A87" s="723"/>
      <c r="B87" s="607" t="s">
        <v>285</v>
      </c>
      <c r="C87" s="608">
        <v>480</v>
      </c>
      <c r="D87" s="608"/>
      <c r="E87" s="608">
        <v>120</v>
      </c>
      <c r="F87" s="608"/>
      <c r="G87" s="608"/>
      <c r="H87" s="608"/>
      <c r="I87" s="608"/>
      <c r="J87" s="608"/>
      <c r="K87" s="608"/>
      <c r="L87" s="608"/>
      <c r="M87" s="608">
        <v>85</v>
      </c>
      <c r="N87" s="608"/>
      <c r="O87" s="609">
        <f t="shared" si="6"/>
        <v>685</v>
      </c>
      <c r="P87" s="723"/>
      <c r="Q87" s="607" t="s">
        <v>285</v>
      </c>
      <c r="R87" s="608">
        <v>1220</v>
      </c>
      <c r="S87" s="608">
        <v>329</v>
      </c>
      <c r="T87" s="608">
        <f>1052+85+1050</f>
        <v>2187</v>
      </c>
      <c r="U87" s="608"/>
      <c r="V87" s="608"/>
      <c r="W87" s="608"/>
      <c r="X87" s="608"/>
      <c r="Y87" s="609">
        <f t="shared" si="7"/>
        <v>3736</v>
      </c>
    </row>
    <row r="88" spans="1:25" ht="10.5" customHeight="1">
      <c r="A88" s="723"/>
      <c r="B88" s="607" t="s">
        <v>286</v>
      </c>
      <c r="C88" s="608">
        <v>480</v>
      </c>
      <c r="D88" s="608"/>
      <c r="E88" s="608">
        <v>120</v>
      </c>
      <c r="F88" s="608"/>
      <c r="G88" s="608"/>
      <c r="H88" s="608"/>
      <c r="I88" s="608"/>
      <c r="J88" s="608"/>
      <c r="K88" s="608"/>
      <c r="L88" s="608"/>
      <c r="M88" s="608">
        <v>85</v>
      </c>
      <c r="N88" s="608"/>
      <c r="O88" s="609">
        <f t="shared" si="6"/>
        <v>685</v>
      </c>
      <c r="P88" s="723"/>
      <c r="Q88" s="607" t="s">
        <v>286</v>
      </c>
      <c r="R88" s="608">
        <v>1220</v>
      </c>
      <c r="S88" s="608">
        <v>329</v>
      </c>
      <c r="T88" s="608">
        <f>1052+85+1050</f>
        <v>2187</v>
      </c>
      <c r="U88" s="608"/>
      <c r="V88" s="608"/>
      <c r="W88" s="608"/>
      <c r="X88" s="608"/>
      <c r="Y88" s="609">
        <f t="shared" si="7"/>
        <v>3736</v>
      </c>
    </row>
    <row r="89" spans="1:25" ht="10.5" customHeight="1">
      <c r="A89" s="723" t="s">
        <v>299</v>
      </c>
      <c r="B89" s="607" t="s">
        <v>490</v>
      </c>
      <c r="C89" s="608">
        <v>38</v>
      </c>
      <c r="D89" s="608"/>
      <c r="E89" s="608">
        <v>10</v>
      </c>
      <c r="F89" s="608"/>
      <c r="G89" s="608"/>
      <c r="H89" s="608"/>
      <c r="I89" s="608"/>
      <c r="J89" s="608"/>
      <c r="K89" s="608"/>
      <c r="L89" s="608"/>
      <c r="M89" s="608"/>
      <c r="N89" s="608"/>
      <c r="O89" s="609">
        <f t="shared" si="6"/>
        <v>48</v>
      </c>
      <c r="P89" s="723" t="s">
        <v>299</v>
      </c>
      <c r="Q89" s="607" t="s">
        <v>490</v>
      </c>
      <c r="R89" s="608">
        <v>9933</v>
      </c>
      <c r="S89" s="608">
        <v>2549</v>
      </c>
      <c r="T89" s="608">
        <v>4004</v>
      </c>
      <c r="U89" s="608"/>
      <c r="V89" s="608"/>
      <c r="W89" s="608"/>
      <c r="X89" s="608"/>
      <c r="Y89" s="609">
        <f t="shared" si="7"/>
        <v>16486</v>
      </c>
    </row>
    <row r="90" spans="1:25" ht="10.5" customHeight="1">
      <c r="A90" s="723"/>
      <c r="B90" s="607" t="s">
        <v>284</v>
      </c>
      <c r="C90" s="608">
        <v>38</v>
      </c>
      <c r="D90" s="608"/>
      <c r="E90" s="608">
        <v>10</v>
      </c>
      <c r="F90" s="608"/>
      <c r="G90" s="608"/>
      <c r="H90" s="608"/>
      <c r="I90" s="608"/>
      <c r="J90" s="608"/>
      <c r="K90" s="608"/>
      <c r="L90" s="608"/>
      <c r="M90" s="608">
        <v>8</v>
      </c>
      <c r="N90" s="608"/>
      <c r="O90" s="609">
        <f t="shared" si="6"/>
        <v>56</v>
      </c>
      <c r="P90" s="723"/>
      <c r="Q90" s="607" t="s">
        <v>284</v>
      </c>
      <c r="R90" s="608">
        <v>9933</v>
      </c>
      <c r="S90" s="608">
        <v>2549</v>
      </c>
      <c r="T90" s="608">
        <f>4004+8</f>
        <v>4012</v>
      </c>
      <c r="U90" s="608"/>
      <c r="V90" s="608"/>
      <c r="W90" s="608"/>
      <c r="X90" s="608"/>
      <c r="Y90" s="609">
        <f t="shared" si="7"/>
        <v>16494</v>
      </c>
    </row>
    <row r="91" spans="1:25" ht="10.5" customHeight="1">
      <c r="A91" s="723"/>
      <c r="B91" s="607" t="s">
        <v>285</v>
      </c>
      <c r="C91" s="608">
        <v>38</v>
      </c>
      <c r="D91" s="608"/>
      <c r="E91" s="608">
        <v>10</v>
      </c>
      <c r="F91" s="608"/>
      <c r="G91" s="608"/>
      <c r="H91" s="608"/>
      <c r="I91" s="608"/>
      <c r="J91" s="608"/>
      <c r="K91" s="608"/>
      <c r="L91" s="608"/>
      <c r="M91" s="608">
        <v>8</v>
      </c>
      <c r="N91" s="608"/>
      <c r="O91" s="609">
        <f t="shared" si="6"/>
        <v>56</v>
      </c>
      <c r="P91" s="723"/>
      <c r="Q91" s="607" t="s">
        <v>285</v>
      </c>
      <c r="R91" s="608">
        <v>9933</v>
      </c>
      <c r="S91" s="608">
        <v>2549</v>
      </c>
      <c r="T91" s="608">
        <f>4004+8</f>
        <v>4012</v>
      </c>
      <c r="U91" s="608"/>
      <c r="V91" s="608"/>
      <c r="W91" s="608"/>
      <c r="X91" s="608"/>
      <c r="Y91" s="609">
        <f t="shared" si="7"/>
        <v>16494</v>
      </c>
    </row>
    <row r="92" spans="1:25" ht="10.5" customHeight="1">
      <c r="A92" s="723"/>
      <c r="B92" s="607" t="s">
        <v>286</v>
      </c>
      <c r="C92" s="608">
        <v>38</v>
      </c>
      <c r="D92" s="608"/>
      <c r="E92" s="608">
        <v>10</v>
      </c>
      <c r="F92" s="608"/>
      <c r="G92" s="608"/>
      <c r="H92" s="608"/>
      <c r="I92" s="608"/>
      <c r="J92" s="608"/>
      <c r="K92" s="608"/>
      <c r="L92" s="608"/>
      <c r="M92" s="608">
        <v>8</v>
      </c>
      <c r="N92" s="608"/>
      <c r="O92" s="609">
        <f t="shared" si="6"/>
        <v>56</v>
      </c>
      <c r="P92" s="723"/>
      <c r="Q92" s="607" t="s">
        <v>286</v>
      </c>
      <c r="R92" s="608">
        <v>9933</v>
      </c>
      <c r="S92" s="608">
        <v>2549</v>
      </c>
      <c r="T92" s="608">
        <f>4004+8</f>
        <v>4012</v>
      </c>
      <c r="U92" s="608"/>
      <c r="V92" s="608"/>
      <c r="W92" s="608"/>
      <c r="X92" s="608"/>
      <c r="Y92" s="609">
        <f t="shared" si="7"/>
        <v>16494</v>
      </c>
    </row>
    <row r="93" spans="1:25" ht="10.5" customHeight="1">
      <c r="A93" s="723" t="s">
        <v>300</v>
      </c>
      <c r="B93" s="607" t="s">
        <v>490</v>
      </c>
      <c r="C93" s="608">
        <v>115</v>
      </c>
      <c r="D93" s="608"/>
      <c r="E93" s="608">
        <v>29</v>
      </c>
      <c r="F93" s="608"/>
      <c r="G93" s="608"/>
      <c r="H93" s="608"/>
      <c r="I93" s="608"/>
      <c r="J93" s="608"/>
      <c r="K93" s="608"/>
      <c r="L93" s="608"/>
      <c r="M93" s="608"/>
      <c r="N93" s="608"/>
      <c r="O93" s="609">
        <f t="shared" si="6"/>
        <v>144</v>
      </c>
      <c r="P93" s="723" t="s">
        <v>300</v>
      </c>
      <c r="Q93" s="607" t="s">
        <v>490</v>
      </c>
      <c r="R93" s="608">
        <v>3974</v>
      </c>
      <c r="S93" s="608">
        <v>1034</v>
      </c>
      <c r="T93" s="608">
        <v>1976</v>
      </c>
      <c r="U93" s="608"/>
      <c r="V93" s="608"/>
      <c r="W93" s="608"/>
      <c r="X93" s="608"/>
      <c r="Y93" s="609">
        <f t="shared" si="7"/>
        <v>6984</v>
      </c>
    </row>
    <row r="94" spans="1:25" ht="10.5" customHeight="1">
      <c r="A94" s="723"/>
      <c r="B94" s="607" t="s">
        <v>284</v>
      </c>
      <c r="C94" s="608">
        <v>115</v>
      </c>
      <c r="D94" s="608"/>
      <c r="E94" s="608">
        <v>29</v>
      </c>
      <c r="F94" s="608"/>
      <c r="G94" s="608"/>
      <c r="H94" s="608"/>
      <c r="I94" s="608"/>
      <c r="J94" s="608"/>
      <c r="K94" s="608"/>
      <c r="L94" s="608"/>
      <c r="M94" s="608"/>
      <c r="N94" s="608"/>
      <c r="O94" s="609">
        <f t="shared" si="6"/>
        <v>144</v>
      </c>
      <c r="P94" s="723"/>
      <c r="Q94" s="607" t="s">
        <v>284</v>
      </c>
      <c r="R94" s="608">
        <v>3974</v>
      </c>
      <c r="S94" s="608">
        <v>1034</v>
      </c>
      <c r="T94" s="608">
        <v>1976</v>
      </c>
      <c r="U94" s="608"/>
      <c r="V94" s="608"/>
      <c r="W94" s="608"/>
      <c r="X94" s="608"/>
      <c r="Y94" s="609">
        <f t="shared" si="7"/>
        <v>6984</v>
      </c>
    </row>
    <row r="95" spans="1:25" ht="10.5" customHeight="1">
      <c r="A95" s="723"/>
      <c r="B95" s="607" t="s">
        <v>285</v>
      </c>
      <c r="C95" s="608">
        <v>115</v>
      </c>
      <c r="D95" s="608"/>
      <c r="E95" s="608">
        <v>29</v>
      </c>
      <c r="F95" s="608"/>
      <c r="G95" s="608">
        <f>779+3766</f>
        <v>4545</v>
      </c>
      <c r="H95" s="608"/>
      <c r="I95" s="608">
        <v>1002</v>
      </c>
      <c r="J95" s="608"/>
      <c r="K95" s="608"/>
      <c r="L95" s="608"/>
      <c r="M95" s="608"/>
      <c r="N95" s="608"/>
      <c r="O95" s="609">
        <f t="shared" si="6"/>
        <v>5691</v>
      </c>
      <c r="P95" s="723"/>
      <c r="Q95" s="607" t="s">
        <v>285</v>
      </c>
      <c r="R95" s="608">
        <f>3974+789</f>
        <v>4763</v>
      </c>
      <c r="S95" s="608">
        <f>1034+213</f>
        <v>1247</v>
      </c>
      <c r="T95" s="608">
        <v>1976</v>
      </c>
      <c r="U95" s="608"/>
      <c r="V95" s="608"/>
      <c r="W95" s="608"/>
      <c r="X95" s="608"/>
      <c r="Y95" s="609">
        <f t="shared" si="7"/>
        <v>7986</v>
      </c>
    </row>
    <row r="96" spans="1:25" ht="10.5" customHeight="1">
      <c r="A96" s="723"/>
      <c r="B96" s="607" t="s">
        <v>286</v>
      </c>
      <c r="C96" s="608">
        <v>115</v>
      </c>
      <c r="D96" s="608"/>
      <c r="E96" s="608">
        <v>29</v>
      </c>
      <c r="F96" s="608"/>
      <c r="G96" s="608">
        <f>779+3766</f>
        <v>4545</v>
      </c>
      <c r="H96" s="608"/>
      <c r="I96" s="608">
        <f>1002+96</f>
        <v>1098</v>
      </c>
      <c r="J96" s="608"/>
      <c r="K96" s="608"/>
      <c r="L96" s="608"/>
      <c r="M96" s="608"/>
      <c r="N96" s="608"/>
      <c r="O96" s="609">
        <f t="shared" si="6"/>
        <v>5787</v>
      </c>
      <c r="P96" s="723"/>
      <c r="Q96" s="607" t="s">
        <v>286</v>
      </c>
      <c r="R96" s="608">
        <f>3974+789+76</f>
        <v>4839</v>
      </c>
      <c r="S96" s="608">
        <f>1034+213+20</f>
        <v>1267</v>
      </c>
      <c r="T96" s="608">
        <v>1976</v>
      </c>
      <c r="U96" s="608"/>
      <c r="V96" s="608"/>
      <c r="W96" s="608"/>
      <c r="X96" s="608"/>
      <c r="Y96" s="609">
        <f t="shared" si="7"/>
        <v>8082</v>
      </c>
    </row>
    <row r="97" spans="1:25" ht="10.5" customHeight="1">
      <c r="A97" s="723" t="s">
        <v>301</v>
      </c>
      <c r="B97" s="607" t="s">
        <v>490</v>
      </c>
      <c r="C97" s="608">
        <v>8893</v>
      </c>
      <c r="D97" s="608"/>
      <c r="E97" s="608">
        <v>105</v>
      </c>
      <c r="F97" s="608"/>
      <c r="G97" s="608"/>
      <c r="H97" s="608"/>
      <c r="I97" s="608"/>
      <c r="J97" s="608"/>
      <c r="K97" s="608"/>
      <c r="L97" s="608"/>
      <c r="M97" s="608"/>
      <c r="N97" s="608"/>
      <c r="O97" s="609">
        <f t="shared" si="6"/>
        <v>8998</v>
      </c>
      <c r="P97" s="723" t="s">
        <v>301</v>
      </c>
      <c r="Q97" s="607" t="s">
        <v>490</v>
      </c>
      <c r="R97" s="608">
        <v>80458</v>
      </c>
      <c r="S97" s="608">
        <v>20417</v>
      </c>
      <c r="T97" s="608">
        <v>29596</v>
      </c>
      <c r="U97" s="608">
        <v>10945</v>
      </c>
      <c r="V97" s="608"/>
      <c r="W97" s="608"/>
      <c r="X97" s="608"/>
      <c r="Y97" s="609">
        <f t="shared" si="7"/>
        <v>130471</v>
      </c>
    </row>
    <row r="98" spans="1:25" ht="10.5" customHeight="1">
      <c r="A98" s="723"/>
      <c r="B98" s="607" t="s">
        <v>284</v>
      </c>
      <c r="C98" s="608">
        <v>8893</v>
      </c>
      <c r="D98" s="608"/>
      <c r="E98" s="608">
        <v>105</v>
      </c>
      <c r="F98" s="608"/>
      <c r="G98" s="608"/>
      <c r="H98" s="608"/>
      <c r="I98" s="608"/>
      <c r="J98" s="608"/>
      <c r="K98" s="608"/>
      <c r="L98" s="608"/>
      <c r="M98" s="608">
        <v>2282</v>
      </c>
      <c r="N98" s="608"/>
      <c r="O98" s="609">
        <f t="shared" si="6"/>
        <v>11280</v>
      </c>
      <c r="P98" s="723"/>
      <c r="Q98" s="607" t="s">
        <v>284</v>
      </c>
      <c r="R98" s="608">
        <f>80458+1386+5237+357+176</f>
        <v>87614</v>
      </c>
      <c r="S98" s="608">
        <f>20417+477+1414+96+47</f>
        <v>22451</v>
      </c>
      <c r="T98" s="608">
        <f>29596+610+656+793-93</f>
        <v>31562</v>
      </c>
      <c r="U98" s="608">
        <v>10945</v>
      </c>
      <c r="V98" s="608"/>
      <c r="W98" s="608">
        <f>250</f>
        <v>250</v>
      </c>
      <c r="X98" s="608"/>
      <c r="Y98" s="609">
        <f t="shared" si="7"/>
        <v>141877</v>
      </c>
    </row>
    <row r="99" spans="1:25" ht="10.5" customHeight="1">
      <c r="A99" s="723"/>
      <c r="B99" s="607" t="s">
        <v>285</v>
      </c>
      <c r="C99" s="608">
        <v>8893</v>
      </c>
      <c r="D99" s="608"/>
      <c r="E99" s="608">
        <v>105</v>
      </c>
      <c r="F99" s="608"/>
      <c r="G99" s="608"/>
      <c r="H99" s="608"/>
      <c r="I99" s="608">
        <v>20</v>
      </c>
      <c r="J99" s="608"/>
      <c r="K99" s="608"/>
      <c r="L99" s="608"/>
      <c r="M99" s="608">
        <v>2282</v>
      </c>
      <c r="N99" s="608"/>
      <c r="O99" s="609">
        <f t="shared" si="6"/>
        <v>11300</v>
      </c>
      <c r="P99" s="723"/>
      <c r="Q99" s="607" t="s">
        <v>285</v>
      </c>
      <c r="R99" s="608">
        <f>80458+1386+5237+357+176+260+100+16</f>
        <v>87990</v>
      </c>
      <c r="S99" s="608">
        <f>20417+477+1414+96+47+27+4</f>
        <v>22482</v>
      </c>
      <c r="T99" s="608">
        <f>29596+610+656+793-93+65+361</f>
        <v>31988</v>
      </c>
      <c r="U99" s="608">
        <v>10945</v>
      </c>
      <c r="V99" s="608"/>
      <c r="W99" s="608">
        <f>250+418</f>
        <v>668</v>
      </c>
      <c r="X99" s="608">
        <v>3766</v>
      </c>
      <c r="Y99" s="609">
        <f t="shared" si="7"/>
        <v>146894</v>
      </c>
    </row>
    <row r="100" spans="1:25" ht="10.5" customHeight="1">
      <c r="A100" s="723"/>
      <c r="B100" s="607" t="s">
        <v>286</v>
      </c>
      <c r="C100" s="608">
        <v>8893</v>
      </c>
      <c r="D100" s="608"/>
      <c r="E100" s="608">
        <v>105</v>
      </c>
      <c r="F100" s="608"/>
      <c r="G100" s="608"/>
      <c r="H100" s="608"/>
      <c r="I100" s="608">
        <v>20</v>
      </c>
      <c r="J100" s="608"/>
      <c r="K100" s="608"/>
      <c r="L100" s="608"/>
      <c r="M100" s="608">
        <v>2282</v>
      </c>
      <c r="N100" s="608"/>
      <c r="O100" s="609">
        <f t="shared" si="6"/>
        <v>11300</v>
      </c>
      <c r="P100" s="723"/>
      <c r="Q100" s="607" t="s">
        <v>286</v>
      </c>
      <c r="R100" s="608">
        <f>80458+1386+5237+357+176+260+100+16</f>
        <v>87990</v>
      </c>
      <c r="S100" s="608">
        <f>20417+477+1414+96+47+27+4</f>
        <v>22482</v>
      </c>
      <c r="T100" s="608">
        <f>29596+610+656+793-93+65+361</f>
        <v>31988</v>
      </c>
      <c r="U100" s="608">
        <v>10945</v>
      </c>
      <c r="V100" s="608"/>
      <c r="W100" s="608">
        <f>250+418</f>
        <v>668</v>
      </c>
      <c r="X100" s="608">
        <v>3766</v>
      </c>
      <c r="Y100" s="609">
        <f t="shared" si="7"/>
        <v>146894</v>
      </c>
    </row>
    <row r="101" spans="1:25" s="616" customFormat="1" ht="10.5" customHeight="1">
      <c r="A101" s="720" t="s">
        <v>302</v>
      </c>
      <c r="B101" s="617" t="s">
        <v>490</v>
      </c>
      <c r="C101" s="615">
        <f aca="true" t="shared" si="8" ref="C101:N104">C85+C89+C93+C97</f>
        <v>9526</v>
      </c>
      <c r="D101" s="615">
        <f t="shared" si="8"/>
        <v>0</v>
      </c>
      <c r="E101" s="615">
        <f t="shared" si="8"/>
        <v>264</v>
      </c>
      <c r="F101" s="615">
        <f t="shared" si="8"/>
        <v>0</v>
      </c>
      <c r="G101" s="615">
        <f t="shared" si="8"/>
        <v>0</v>
      </c>
      <c r="H101" s="615">
        <f t="shared" si="8"/>
        <v>0</v>
      </c>
      <c r="I101" s="615">
        <f t="shared" si="8"/>
        <v>0</v>
      </c>
      <c r="J101" s="615">
        <f t="shared" si="8"/>
        <v>0</v>
      </c>
      <c r="K101" s="615">
        <f t="shared" si="8"/>
        <v>0</v>
      </c>
      <c r="L101" s="615">
        <f t="shared" si="8"/>
        <v>0</v>
      </c>
      <c r="M101" s="615">
        <f t="shared" si="8"/>
        <v>0</v>
      </c>
      <c r="N101" s="615">
        <f t="shared" si="8"/>
        <v>0</v>
      </c>
      <c r="O101" s="609">
        <f t="shared" si="6"/>
        <v>9790</v>
      </c>
      <c r="P101" s="720" t="s">
        <v>302</v>
      </c>
      <c r="Q101" s="617" t="s">
        <v>490</v>
      </c>
      <c r="R101" s="615">
        <f aca="true" t="shared" si="9" ref="R101:X104">R85+R89+R93+R97</f>
        <v>95585</v>
      </c>
      <c r="S101" s="615">
        <f t="shared" si="9"/>
        <v>24329</v>
      </c>
      <c r="T101" s="615">
        <f t="shared" si="9"/>
        <v>36628</v>
      </c>
      <c r="U101" s="615">
        <f t="shared" si="9"/>
        <v>10945</v>
      </c>
      <c r="V101" s="615">
        <f t="shared" si="9"/>
        <v>0</v>
      </c>
      <c r="W101" s="615">
        <f t="shared" si="9"/>
        <v>0</v>
      </c>
      <c r="X101" s="615">
        <f t="shared" si="9"/>
        <v>0</v>
      </c>
      <c r="Y101" s="609">
        <f t="shared" si="7"/>
        <v>156542</v>
      </c>
    </row>
    <row r="102" spans="1:25" s="616" customFormat="1" ht="10.5" customHeight="1">
      <c r="A102" s="720"/>
      <c r="B102" s="617" t="s">
        <v>284</v>
      </c>
      <c r="C102" s="615">
        <f t="shared" si="8"/>
        <v>9526</v>
      </c>
      <c r="D102" s="615">
        <f t="shared" si="8"/>
        <v>0</v>
      </c>
      <c r="E102" s="615">
        <f t="shared" si="8"/>
        <v>264</v>
      </c>
      <c r="F102" s="615">
        <f t="shared" si="8"/>
        <v>0</v>
      </c>
      <c r="G102" s="615">
        <f t="shared" si="8"/>
        <v>0</v>
      </c>
      <c r="H102" s="615">
        <f t="shared" si="8"/>
        <v>0</v>
      </c>
      <c r="I102" s="615">
        <f t="shared" si="8"/>
        <v>0</v>
      </c>
      <c r="J102" s="615">
        <f t="shared" si="8"/>
        <v>0</v>
      </c>
      <c r="K102" s="615">
        <f t="shared" si="8"/>
        <v>0</v>
      </c>
      <c r="L102" s="615">
        <f t="shared" si="8"/>
        <v>0</v>
      </c>
      <c r="M102" s="615">
        <f t="shared" si="8"/>
        <v>2375</v>
      </c>
      <c r="N102" s="615">
        <f t="shared" si="8"/>
        <v>0</v>
      </c>
      <c r="O102" s="609">
        <f t="shared" si="6"/>
        <v>12165</v>
      </c>
      <c r="P102" s="720"/>
      <c r="Q102" s="617" t="s">
        <v>284</v>
      </c>
      <c r="R102" s="615">
        <f t="shared" si="9"/>
        <v>102741</v>
      </c>
      <c r="S102" s="615">
        <f t="shared" si="9"/>
        <v>26363</v>
      </c>
      <c r="T102" s="615">
        <f t="shared" si="9"/>
        <v>38687</v>
      </c>
      <c r="U102" s="615">
        <f t="shared" si="9"/>
        <v>10945</v>
      </c>
      <c r="V102" s="615">
        <f t="shared" si="9"/>
        <v>0</v>
      </c>
      <c r="W102" s="615">
        <f t="shared" si="9"/>
        <v>250</v>
      </c>
      <c r="X102" s="615">
        <f t="shared" si="9"/>
        <v>0</v>
      </c>
      <c r="Y102" s="609">
        <f t="shared" si="7"/>
        <v>168041</v>
      </c>
    </row>
    <row r="103" spans="1:25" s="616" customFormat="1" ht="10.5" customHeight="1">
      <c r="A103" s="720"/>
      <c r="B103" s="617" t="s">
        <v>285</v>
      </c>
      <c r="C103" s="615">
        <f t="shared" si="8"/>
        <v>9526</v>
      </c>
      <c r="D103" s="615">
        <f t="shared" si="8"/>
        <v>0</v>
      </c>
      <c r="E103" s="615">
        <f t="shared" si="8"/>
        <v>264</v>
      </c>
      <c r="F103" s="615">
        <f t="shared" si="8"/>
        <v>0</v>
      </c>
      <c r="G103" s="615">
        <f t="shared" si="8"/>
        <v>4545</v>
      </c>
      <c r="H103" s="615">
        <f t="shared" si="8"/>
        <v>0</v>
      </c>
      <c r="I103" s="615">
        <f t="shared" si="8"/>
        <v>1022</v>
      </c>
      <c r="J103" s="615">
        <f t="shared" si="8"/>
        <v>0</v>
      </c>
      <c r="K103" s="615">
        <f t="shared" si="8"/>
        <v>0</v>
      </c>
      <c r="L103" s="615">
        <f t="shared" si="8"/>
        <v>0</v>
      </c>
      <c r="M103" s="615">
        <f t="shared" si="8"/>
        <v>2375</v>
      </c>
      <c r="N103" s="615">
        <f t="shared" si="8"/>
        <v>0</v>
      </c>
      <c r="O103" s="609">
        <f t="shared" si="6"/>
        <v>17732</v>
      </c>
      <c r="P103" s="720"/>
      <c r="Q103" s="617" t="s">
        <v>285</v>
      </c>
      <c r="R103" s="615">
        <f t="shared" si="9"/>
        <v>103906</v>
      </c>
      <c r="S103" s="615">
        <f t="shared" si="9"/>
        <v>26607</v>
      </c>
      <c r="T103" s="615">
        <f t="shared" si="9"/>
        <v>40163</v>
      </c>
      <c r="U103" s="615">
        <f t="shared" si="9"/>
        <v>10945</v>
      </c>
      <c r="V103" s="615">
        <f t="shared" si="9"/>
        <v>0</v>
      </c>
      <c r="W103" s="615">
        <f t="shared" si="9"/>
        <v>668</v>
      </c>
      <c r="X103" s="615">
        <f t="shared" si="9"/>
        <v>3766</v>
      </c>
      <c r="Y103" s="609">
        <f t="shared" si="7"/>
        <v>175110</v>
      </c>
    </row>
    <row r="104" spans="1:25" s="616" customFormat="1" ht="10.5" customHeight="1">
      <c r="A104" s="720"/>
      <c r="B104" s="617" t="s">
        <v>286</v>
      </c>
      <c r="C104" s="615">
        <f t="shared" si="8"/>
        <v>9526</v>
      </c>
      <c r="D104" s="615">
        <f t="shared" si="8"/>
        <v>0</v>
      </c>
      <c r="E104" s="615">
        <f t="shared" si="8"/>
        <v>264</v>
      </c>
      <c r="F104" s="615">
        <f t="shared" si="8"/>
        <v>0</v>
      </c>
      <c r="G104" s="615">
        <f t="shared" si="8"/>
        <v>4545</v>
      </c>
      <c r="H104" s="615">
        <f t="shared" si="8"/>
        <v>0</v>
      </c>
      <c r="I104" s="615">
        <f t="shared" si="8"/>
        <v>1118</v>
      </c>
      <c r="J104" s="615">
        <f t="shared" si="8"/>
        <v>0</v>
      </c>
      <c r="K104" s="615">
        <f t="shared" si="8"/>
        <v>0</v>
      </c>
      <c r="L104" s="615">
        <f t="shared" si="8"/>
        <v>0</v>
      </c>
      <c r="M104" s="615">
        <f t="shared" si="8"/>
        <v>2375</v>
      </c>
      <c r="N104" s="615">
        <f t="shared" si="8"/>
        <v>0</v>
      </c>
      <c r="O104" s="609">
        <f t="shared" si="6"/>
        <v>17828</v>
      </c>
      <c r="P104" s="720"/>
      <c r="Q104" s="617" t="s">
        <v>286</v>
      </c>
      <c r="R104" s="615">
        <f t="shared" si="9"/>
        <v>103982</v>
      </c>
      <c r="S104" s="615">
        <f t="shared" si="9"/>
        <v>26627</v>
      </c>
      <c r="T104" s="615">
        <f t="shared" si="9"/>
        <v>40163</v>
      </c>
      <c r="U104" s="615">
        <f t="shared" si="9"/>
        <v>10945</v>
      </c>
      <c r="V104" s="615">
        <f t="shared" si="9"/>
        <v>0</v>
      </c>
      <c r="W104" s="615">
        <f t="shared" si="9"/>
        <v>668</v>
      </c>
      <c r="X104" s="615">
        <f t="shared" si="9"/>
        <v>3766</v>
      </c>
      <c r="Y104" s="609">
        <f t="shared" si="7"/>
        <v>175206</v>
      </c>
    </row>
    <row r="105" spans="1:26" ht="10.5" customHeight="1">
      <c r="A105" s="717" t="s">
        <v>502</v>
      </c>
      <c r="B105" s="607" t="s">
        <v>490</v>
      </c>
      <c r="C105" s="608">
        <v>666</v>
      </c>
      <c r="D105" s="608">
        <v>0</v>
      </c>
      <c r="E105" s="608">
        <v>3831</v>
      </c>
      <c r="F105" s="608">
        <v>0</v>
      </c>
      <c r="G105" s="608">
        <v>0</v>
      </c>
      <c r="H105" s="608">
        <v>0</v>
      </c>
      <c r="I105" s="608">
        <v>0</v>
      </c>
      <c r="J105" s="608">
        <v>0</v>
      </c>
      <c r="K105" s="608"/>
      <c r="L105" s="608">
        <v>0</v>
      </c>
      <c r="M105" s="608">
        <v>0</v>
      </c>
      <c r="N105" s="608">
        <v>0</v>
      </c>
      <c r="O105" s="609">
        <f t="shared" si="6"/>
        <v>4497</v>
      </c>
      <c r="P105" s="717" t="s">
        <v>502</v>
      </c>
      <c r="Q105" s="607" t="s">
        <v>490</v>
      </c>
      <c r="R105" s="608">
        <v>18209</v>
      </c>
      <c r="S105" s="608">
        <v>4753</v>
      </c>
      <c r="T105" s="608">
        <v>8483</v>
      </c>
      <c r="U105" s="608">
        <v>0</v>
      </c>
      <c r="V105" s="608">
        <v>0</v>
      </c>
      <c r="W105" s="608">
        <v>0</v>
      </c>
      <c r="X105" s="608">
        <v>0</v>
      </c>
      <c r="Y105" s="609">
        <f t="shared" si="7"/>
        <v>31445</v>
      </c>
      <c r="Z105" s="618"/>
    </row>
    <row r="106" spans="1:26" ht="10.5" customHeight="1">
      <c r="A106" s="717"/>
      <c r="B106" s="607" t="s">
        <v>284</v>
      </c>
      <c r="C106" s="608">
        <v>666</v>
      </c>
      <c r="D106" s="608">
        <v>0</v>
      </c>
      <c r="E106" s="608">
        <f>3831-667</f>
        <v>3164</v>
      </c>
      <c r="F106" s="608">
        <v>0</v>
      </c>
      <c r="G106" s="608">
        <v>0</v>
      </c>
      <c r="H106" s="608">
        <v>0</v>
      </c>
      <c r="I106" s="608">
        <v>0</v>
      </c>
      <c r="J106" s="608">
        <v>0</v>
      </c>
      <c r="K106" s="608"/>
      <c r="L106" s="608">
        <v>0</v>
      </c>
      <c r="M106" s="608">
        <v>1258</v>
      </c>
      <c r="N106" s="608">
        <v>0</v>
      </c>
      <c r="O106" s="609">
        <f t="shared" si="6"/>
        <v>5088</v>
      </c>
      <c r="P106" s="717"/>
      <c r="Q106" s="607" t="s">
        <v>284</v>
      </c>
      <c r="R106" s="608">
        <f>18209+975+676</f>
        <v>19860</v>
      </c>
      <c r="S106" s="608">
        <f>4753+263+20+183</f>
        <v>5219</v>
      </c>
      <c r="T106" s="608">
        <f>8483+399</f>
        <v>8882</v>
      </c>
      <c r="U106" s="608">
        <v>0</v>
      </c>
      <c r="V106" s="608">
        <v>0</v>
      </c>
      <c r="W106" s="608">
        <v>0</v>
      </c>
      <c r="X106" s="608">
        <v>0</v>
      </c>
      <c r="Y106" s="609">
        <f t="shared" si="7"/>
        <v>33961</v>
      </c>
      <c r="Z106" s="618"/>
    </row>
    <row r="107" spans="1:26" ht="10.5" customHeight="1">
      <c r="A107" s="717"/>
      <c r="B107" s="607" t="s">
        <v>285</v>
      </c>
      <c r="C107" s="608">
        <f>666+540+154</f>
        <v>1360</v>
      </c>
      <c r="D107" s="608">
        <v>0</v>
      </c>
      <c r="E107" s="608">
        <f>3831-667</f>
        <v>3164</v>
      </c>
      <c r="F107" s="608">
        <v>0</v>
      </c>
      <c r="G107" s="608">
        <v>0</v>
      </c>
      <c r="H107" s="608">
        <v>0</v>
      </c>
      <c r="I107" s="608">
        <v>0</v>
      </c>
      <c r="J107" s="608">
        <v>0</v>
      </c>
      <c r="K107" s="608"/>
      <c r="L107" s="608">
        <v>0</v>
      </c>
      <c r="M107" s="608">
        <v>1258</v>
      </c>
      <c r="N107" s="608">
        <v>0</v>
      </c>
      <c r="O107" s="609">
        <f t="shared" si="6"/>
        <v>5782</v>
      </c>
      <c r="P107" s="717"/>
      <c r="Q107" s="607" t="s">
        <v>285</v>
      </c>
      <c r="R107" s="608">
        <f>19860+425+30-396-29</f>
        <v>19890</v>
      </c>
      <c r="S107" s="608">
        <f>5219+115-107-8</f>
        <v>5219</v>
      </c>
      <c r="T107" s="608">
        <f>8882+154+8+95</f>
        <v>9139</v>
      </c>
      <c r="U107" s="608">
        <v>0</v>
      </c>
      <c r="V107" s="608">
        <v>0</v>
      </c>
      <c r="W107" s="608">
        <v>0</v>
      </c>
      <c r="X107" s="608">
        <v>528</v>
      </c>
      <c r="Y107" s="609">
        <f t="shared" si="7"/>
        <v>34776</v>
      </c>
      <c r="Z107" s="618"/>
    </row>
    <row r="108" spans="1:26" ht="10.5" customHeight="1">
      <c r="A108" s="717"/>
      <c r="B108" s="607" t="s">
        <v>286</v>
      </c>
      <c r="C108" s="608">
        <f>666+540+154-503-37</f>
        <v>820</v>
      </c>
      <c r="D108" s="608"/>
      <c r="E108" s="608">
        <f>3831-667+2132-2132+1600-1600</f>
        <v>3164</v>
      </c>
      <c r="F108" s="608">
        <v>0</v>
      </c>
      <c r="G108" s="608">
        <v>0</v>
      </c>
      <c r="H108" s="608">
        <v>0</v>
      </c>
      <c r="I108" s="608">
        <v>0</v>
      </c>
      <c r="J108" s="608">
        <v>0</v>
      </c>
      <c r="K108" s="608"/>
      <c r="L108" s="608"/>
      <c r="M108" s="608">
        <v>1258</v>
      </c>
      <c r="N108" s="608"/>
      <c r="O108" s="609">
        <f t="shared" si="6"/>
        <v>5242</v>
      </c>
      <c r="P108" s="717"/>
      <c r="Q108" s="607" t="s">
        <v>286</v>
      </c>
      <c r="R108" s="608">
        <f>19860+425+30-396-29+1679-1679</f>
        <v>19890</v>
      </c>
      <c r="S108" s="608">
        <f>5219+115-107-8+453-453</f>
        <v>5219</v>
      </c>
      <c r="T108" s="608">
        <f>8882+154+8+95</f>
        <v>9139</v>
      </c>
      <c r="U108" s="608">
        <v>0</v>
      </c>
      <c r="V108" s="608">
        <v>0</v>
      </c>
      <c r="W108" s="608">
        <f>1600-1600</f>
        <v>0</v>
      </c>
      <c r="X108" s="608">
        <v>528</v>
      </c>
      <c r="Y108" s="609">
        <f t="shared" si="7"/>
        <v>34776</v>
      </c>
      <c r="Z108" s="618"/>
    </row>
    <row r="109" spans="1:26" s="616" customFormat="1" ht="10.5" customHeight="1">
      <c r="A109" s="720" t="s">
        <v>303</v>
      </c>
      <c r="B109" s="617" t="s">
        <v>490</v>
      </c>
      <c r="C109" s="615">
        <f aca="true" t="shared" si="10" ref="C109:Y112">+C5+C9+C13+C17+C21+C25+C29+C33+C37+C41+C45+C49+C53+C57+C65+C69+C77+C81+C101+C105</f>
        <v>107829</v>
      </c>
      <c r="D109" s="615">
        <f t="shared" si="10"/>
        <v>73784</v>
      </c>
      <c r="E109" s="615">
        <f t="shared" si="10"/>
        <v>25621</v>
      </c>
      <c r="F109" s="615">
        <f t="shared" si="10"/>
        <v>0</v>
      </c>
      <c r="G109" s="615">
        <f t="shared" si="10"/>
        <v>0</v>
      </c>
      <c r="H109" s="615">
        <f t="shared" si="10"/>
        <v>0</v>
      </c>
      <c r="I109" s="615">
        <f t="shared" si="10"/>
        <v>0</v>
      </c>
      <c r="J109" s="615">
        <f t="shared" si="10"/>
        <v>0</v>
      </c>
      <c r="K109" s="615">
        <f t="shared" si="10"/>
        <v>0</v>
      </c>
      <c r="L109" s="615">
        <f t="shared" si="10"/>
        <v>0</v>
      </c>
      <c r="M109" s="615">
        <f t="shared" si="10"/>
        <v>0</v>
      </c>
      <c r="N109" s="615">
        <f t="shared" si="10"/>
        <v>0</v>
      </c>
      <c r="O109" s="609">
        <f t="shared" si="10"/>
        <v>133450</v>
      </c>
      <c r="P109" s="720" t="s">
        <v>303</v>
      </c>
      <c r="Q109" s="617" t="s">
        <v>490</v>
      </c>
      <c r="R109" s="615">
        <f t="shared" si="10"/>
        <v>880615</v>
      </c>
      <c r="S109" s="615">
        <f t="shared" si="10"/>
        <v>227281</v>
      </c>
      <c r="T109" s="615">
        <f t="shared" si="10"/>
        <v>390034</v>
      </c>
      <c r="U109" s="615">
        <f t="shared" si="10"/>
        <v>146692</v>
      </c>
      <c r="V109" s="615">
        <f t="shared" si="10"/>
        <v>9378</v>
      </c>
      <c r="W109" s="615">
        <f t="shared" si="10"/>
        <v>2400</v>
      </c>
      <c r="X109" s="615">
        <f t="shared" si="10"/>
        <v>17000</v>
      </c>
      <c r="Y109" s="609">
        <f t="shared" si="10"/>
        <v>1526708</v>
      </c>
      <c r="Z109" s="619"/>
    </row>
    <row r="110" spans="1:25" s="621" customFormat="1" ht="10.5" customHeight="1">
      <c r="A110" s="720"/>
      <c r="B110" s="620" t="s">
        <v>284</v>
      </c>
      <c r="C110" s="615">
        <f t="shared" si="10"/>
        <v>109181</v>
      </c>
      <c r="D110" s="615">
        <f t="shared" si="10"/>
        <v>73784</v>
      </c>
      <c r="E110" s="615">
        <f t="shared" si="10"/>
        <v>24954</v>
      </c>
      <c r="F110" s="615">
        <f t="shared" si="10"/>
        <v>0</v>
      </c>
      <c r="G110" s="615">
        <f t="shared" si="10"/>
        <v>0</v>
      </c>
      <c r="H110" s="615">
        <f t="shared" si="10"/>
        <v>0</v>
      </c>
      <c r="I110" s="615">
        <f t="shared" si="10"/>
        <v>0</v>
      </c>
      <c r="J110" s="615">
        <f t="shared" si="10"/>
        <v>1600</v>
      </c>
      <c r="K110" s="615">
        <f t="shared" si="10"/>
        <v>0</v>
      </c>
      <c r="L110" s="615">
        <f t="shared" si="10"/>
        <v>0</v>
      </c>
      <c r="M110" s="615">
        <f t="shared" si="10"/>
        <v>12069</v>
      </c>
      <c r="N110" s="615">
        <f t="shared" si="10"/>
        <v>0</v>
      </c>
      <c r="O110" s="609">
        <f t="shared" si="10"/>
        <v>147804</v>
      </c>
      <c r="P110" s="720"/>
      <c r="Q110" s="620" t="s">
        <v>284</v>
      </c>
      <c r="R110" s="615">
        <f t="shared" si="10"/>
        <v>929649</v>
      </c>
      <c r="S110" s="615">
        <f t="shared" si="10"/>
        <v>243478</v>
      </c>
      <c r="T110" s="615">
        <f t="shared" si="10"/>
        <v>402413</v>
      </c>
      <c r="U110" s="615">
        <f t="shared" si="10"/>
        <v>146692</v>
      </c>
      <c r="V110" s="615">
        <f t="shared" si="10"/>
        <v>9378</v>
      </c>
      <c r="W110" s="615">
        <f t="shared" si="10"/>
        <v>6352</v>
      </c>
      <c r="X110" s="615">
        <f t="shared" si="10"/>
        <v>17000</v>
      </c>
      <c r="Y110" s="609">
        <f t="shared" si="10"/>
        <v>1608270</v>
      </c>
    </row>
    <row r="111" spans="1:25" s="619" customFormat="1" ht="10.5" customHeight="1">
      <c r="A111" s="720"/>
      <c r="B111" s="617" t="s">
        <v>285</v>
      </c>
      <c r="C111" s="615">
        <f t="shared" si="10"/>
        <v>113048</v>
      </c>
      <c r="D111" s="615">
        <f t="shared" si="10"/>
        <v>73784</v>
      </c>
      <c r="E111" s="615">
        <f t="shared" si="10"/>
        <v>24954</v>
      </c>
      <c r="F111" s="615">
        <f t="shared" si="10"/>
        <v>0</v>
      </c>
      <c r="G111" s="615">
        <f t="shared" si="10"/>
        <v>8023</v>
      </c>
      <c r="H111" s="615">
        <f t="shared" si="10"/>
        <v>0</v>
      </c>
      <c r="I111" s="615">
        <f t="shared" si="10"/>
        <v>7146</v>
      </c>
      <c r="J111" s="615">
        <f t="shared" si="10"/>
        <v>1600</v>
      </c>
      <c r="K111" s="615">
        <f t="shared" si="10"/>
        <v>0</v>
      </c>
      <c r="L111" s="615">
        <f t="shared" si="10"/>
        <v>0</v>
      </c>
      <c r="M111" s="615">
        <f t="shared" si="10"/>
        <v>12069</v>
      </c>
      <c r="N111" s="615">
        <f t="shared" si="10"/>
        <v>0</v>
      </c>
      <c r="O111" s="609">
        <f t="shared" si="10"/>
        <v>166840</v>
      </c>
      <c r="P111" s="720"/>
      <c r="Q111" s="617" t="s">
        <v>285</v>
      </c>
      <c r="R111" s="615">
        <f t="shared" si="10"/>
        <v>940768</v>
      </c>
      <c r="S111" s="615">
        <f t="shared" si="10"/>
        <v>245372</v>
      </c>
      <c r="T111" s="615">
        <f t="shared" si="10"/>
        <v>426857</v>
      </c>
      <c r="U111" s="615">
        <f t="shared" si="10"/>
        <v>146692</v>
      </c>
      <c r="V111" s="615">
        <f t="shared" si="10"/>
        <v>9378</v>
      </c>
      <c r="W111" s="615">
        <f t="shared" si="10"/>
        <v>14212</v>
      </c>
      <c r="X111" s="615">
        <f t="shared" si="10"/>
        <v>31201</v>
      </c>
      <c r="Y111" s="609">
        <f t="shared" si="10"/>
        <v>1667788</v>
      </c>
    </row>
    <row r="112" spans="1:25" s="624" customFormat="1" ht="10.5" customHeight="1" thickBot="1">
      <c r="A112" s="721"/>
      <c r="B112" s="622" t="s">
        <v>286</v>
      </c>
      <c r="C112" s="623">
        <f t="shared" si="10"/>
        <v>113231</v>
      </c>
      <c r="D112" s="623">
        <f t="shared" si="10"/>
        <v>73784</v>
      </c>
      <c r="E112" s="623">
        <f t="shared" si="10"/>
        <v>28686</v>
      </c>
      <c r="F112" s="623">
        <f t="shared" si="10"/>
        <v>0</v>
      </c>
      <c r="G112" s="623">
        <f t="shared" si="10"/>
        <v>8210</v>
      </c>
      <c r="H112" s="623">
        <f t="shared" si="10"/>
        <v>0</v>
      </c>
      <c r="I112" s="623">
        <f t="shared" si="10"/>
        <v>3633</v>
      </c>
      <c r="J112" s="623">
        <f t="shared" si="10"/>
        <v>0</v>
      </c>
      <c r="K112" s="623">
        <f t="shared" si="10"/>
        <v>4433</v>
      </c>
      <c r="L112" s="623">
        <f t="shared" si="10"/>
        <v>0</v>
      </c>
      <c r="M112" s="623">
        <f t="shared" si="10"/>
        <v>12069</v>
      </c>
      <c r="N112" s="623">
        <f t="shared" si="10"/>
        <v>0</v>
      </c>
      <c r="O112" s="611">
        <f t="shared" si="10"/>
        <v>170262</v>
      </c>
      <c r="P112" s="721"/>
      <c r="Q112" s="622" t="s">
        <v>286</v>
      </c>
      <c r="R112" s="623">
        <f t="shared" si="10"/>
        <v>940052</v>
      </c>
      <c r="S112" s="623">
        <f t="shared" si="10"/>
        <v>245515</v>
      </c>
      <c r="T112" s="623">
        <f t="shared" si="10"/>
        <v>426615</v>
      </c>
      <c r="U112" s="623">
        <f t="shared" si="10"/>
        <v>146692</v>
      </c>
      <c r="V112" s="623">
        <f t="shared" si="10"/>
        <v>9378</v>
      </c>
      <c r="W112" s="623">
        <f t="shared" si="10"/>
        <v>15749</v>
      </c>
      <c r="X112" s="623">
        <f t="shared" si="10"/>
        <v>31708</v>
      </c>
      <c r="Y112" s="611">
        <f t="shared" si="10"/>
        <v>1669017</v>
      </c>
    </row>
    <row r="113" spans="1:25" s="621" customFormat="1" ht="15" customHeight="1" thickTop="1">
      <c r="A113" s="625"/>
      <c r="B113" s="626"/>
      <c r="C113" s="627"/>
      <c r="D113" s="627"/>
      <c r="E113" s="627"/>
      <c r="F113" s="627"/>
      <c r="G113" s="627"/>
      <c r="H113" s="627"/>
      <c r="I113" s="627"/>
      <c r="J113" s="627"/>
      <c r="K113" s="627"/>
      <c r="L113" s="627"/>
      <c r="M113" s="627"/>
      <c r="N113" s="627"/>
      <c r="O113" s="627"/>
      <c r="P113" s="627"/>
      <c r="Q113" s="627"/>
      <c r="R113" s="627"/>
      <c r="S113" s="627"/>
      <c r="T113" s="627"/>
      <c r="U113" s="627"/>
      <c r="V113" s="627"/>
      <c r="W113" s="627"/>
      <c r="X113" s="627"/>
      <c r="Y113" s="627"/>
    </row>
    <row r="114" spans="1:25" s="631" customFormat="1" ht="15" customHeight="1">
      <c r="A114" s="628"/>
      <c r="B114" s="629"/>
      <c r="C114" s="630"/>
      <c r="D114" s="630"/>
      <c r="E114" s="630"/>
      <c r="F114" s="630"/>
      <c r="G114" s="630"/>
      <c r="H114" s="630"/>
      <c r="I114" s="630"/>
      <c r="J114" s="630"/>
      <c r="K114" s="630"/>
      <c r="L114" s="630"/>
      <c r="M114" s="630"/>
      <c r="N114" s="630"/>
      <c r="O114" s="630"/>
      <c r="P114" s="630"/>
      <c r="Q114" s="630"/>
      <c r="R114" s="630"/>
      <c r="S114" s="630"/>
      <c r="T114" s="630"/>
      <c r="U114" s="630"/>
      <c r="V114" s="630"/>
      <c r="W114" s="630"/>
      <c r="X114" s="630"/>
      <c r="Y114" s="630"/>
    </row>
    <row r="115" spans="1:25" s="621" customFormat="1" ht="15" customHeight="1" hidden="1">
      <c r="A115" s="625"/>
      <c r="B115" s="626"/>
      <c r="C115" s="627"/>
      <c r="D115" s="627"/>
      <c r="E115" s="627"/>
      <c r="F115" s="627"/>
      <c r="G115" s="627"/>
      <c r="H115" s="627"/>
      <c r="I115" s="627"/>
      <c r="J115" s="627"/>
      <c r="K115" s="627"/>
      <c r="L115" s="627"/>
      <c r="M115" s="627"/>
      <c r="N115" s="627"/>
      <c r="O115" s="627"/>
      <c r="P115" s="627"/>
      <c r="Q115" s="627"/>
      <c r="R115" s="627"/>
      <c r="S115" s="627"/>
      <c r="T115" s="627"/>
      <c r="U115" s="627"/>
      <c r="V115" s="627"/>
      <c r="W115" s="627"/>
      <c r="X115" s="627"/>
      <c r="Y115" s="627"/>
    </row>
    <row r="116" spans="1:25" s="621" customFormat="1" ht="15" customHeight="1" hidden="1">
      <c r="A116" s="625"/>
      <c r="B116" s="626"/>
      <c r="C116" s="627"/>
      <c r="D116" s="627"/>
      <c r="E116" s="627"/>
      <c r="F116" s="627"/>
      <c r="G116" s="627"/>
      <c r="H116" s="627"/>
      <c r="I116" s="627"/>
      <c r="J116" s="627"/>
      <c r="K116" s="627"/>
      <c r="L116" s="627"/>
      <c r="M116" s="627"/>
      <c r="N116" s="627"/>
      <c r="O116" s="627"/>
      <c r="P116" s="627"/>
      <c r="Q116" s="627"/>
      <c r="R116" s="627"/>
      <c r="S116" s="627"/>
      <c r="T116" s="627"/>
      <c r="U116" s="627"/>
      <c r="V116" s="627"/>
      <c r="W116" s="627"/>
      <c r="X116" s="627"/>
      <c r="Y116" s="627"/>
    </row>
    <row r="117" ht="10.5" hidden="1">
      <c r="A117" s="632"/>
    </row>
    <row r="118" ht="10.5" hidden="1">
      <c r="A118" s="632"/>
    </row>
    <row r="119" ht="10.5" hidden="1">
      <c r="A119" s="632"/>
    </row>
    <row r="120" ht="10.5" hidden="1">
      <c r="A120" s="632"/>
    </row>
    <row r="121" spans="1:25" ht="10.5" hidden="1">
      <c r="A121" s="632"/>
      <c r="Y121" s="619"/>
    </row>
    <row r="122" ht="10.5" hidden="1">
      <c r="A122" s="632"/>
    </row>
    <row r="123" ht="10.5" hidden="1">
      <c r="A123" s="632"/>
    </row>
    <row r="124" ht="10.5" hidden="1">
      <c r="A124" s="632"/>
    </row>
    <row r="125" spans="1:19" ht="10.5">
      <c r="A125" s="632"/>
      <c r="S125" s="634"/>
    </row>
    <row r="126" ht="10.5">
      <c r="A126" s="632"/>
    </row>
    <row r="127" ht="10.5">
      <c r="A127" s="632"/>
    </row>
    <row r="128" ht="10.5">
      <c r="A128" s="632"/>
    </row>
    <row r="129" ht="10.5">
      <c r="A129" s="632"/>
    </row>
    <row r="130" ht="10.5">
      <c r="A130" s="632"/>
    </row>
    <row r="131" ht="10.5">
      <c r="A131" s="632"/>
    </row>
    <row r="132" ht="10.5">
      <c r="A132" s="632"/>
    </row>
    <row r="133" ht="10.5">
      <c r="A133" s="632"/>
    </row>
    <row r="134" ht="10.5">
      <c r="A134" s="632"/>
    </row>
    <row r="135" ht="10.5">
      <c r="A135" s="632"/>
    </row>
    <row r="136" ht="10.5">
      <c r="A136" s="632"/>
    </row>
    <row r="137" ht="10.5">
      <c r="A137" s="632"/>
    </row>
    <row r="138" ht="10.5">
      <c r="A138" s="632"/>
    </row>
    <row r="139" ht="10.5">
      <c r="A139" s="632"/>
    </row>
    <row r="140" ht="10.5">
      <c r="A140" s="632"/>
    </row>
    <row r="141" ht="10.5">
      <c r="A141" s="632"/>
    </row>
    <row r="142" ht="10.5">
      <c r="A142" s="632"/>
    </row>
    <row r="143" ht="10.5">
      <c r="A143" s="632"/>
    </row>
    <row r="144" ht="10.5">
      <c r="A144" s="632"/>
    </row>
    <row r="145" ht="10.5">
      <c r="A145" s="632"/>
    </row>
    <row r="146" ht="10.5">
      <c r="A146" s="632"/>
    </row>
    <row r="147" ht="10.5">
      <c r="A147" s="632"/>
    </row>
    <row r="148" ht="10.5">
      <c r="A148" s="632"/>
    </row>
    <row r="149" ht="10.5">
      <c r="A149" s="632"/>
    </row>
    <row r="150" ht="10.5">
      <c r="A150" s="632"/>
    </row>
    <row r="151" ht="10.5">
      <c r="A151" s="632"/>
    </row>
    <row r="152" ht="10.5">
      <c r="A152" s="632"/>
    </row>
    <row r="153" ht="10.5">
      <c r="A153" s="632"/>
    </row>
    <row r="154" ht="10.5">
      <c r="A154" s="632"/>
    </row>
    <row r="155" ht="10.5">
      <c r="A155" s="632"/>
    </row>
    <row r="156" ht="10.5">
      <c r="A156" s="632"/>
    </row>
    <row r="157" ht="10.5">
      <c r="A157" s="632"/>
    </row>
    <row r="158" ht="10.5">
      <c r="A158" s="632"/>
    </row>
  </sheetData>
  <mergeCells count="71">
    <mergeCell ref="P101:P104"/>
    <mergeCell ref="P105:P108"/>
    <mergeCell ref="P109:P112"/>
    <mergeCell ref="A1:O1"/>
    <mergeCell ref="P1:Y1"/>
    <mergeCell ref="P85:P88"/>
    <mergeCell ref="P89:P92"/>
    <mergeCell ref="P93:P96"/>
    <mergeCell ref="P97:P100"/>
    <mergeCell ref="P69:P72"/>
    <mergeCell ref="P73:P76"/>
    <mergeCell ref="P77:P80"/>
    <mergeCell ref="P81:P84"/>
    <mergeCell ref="P53:P56"/>
    <mergeCell ref="P57:P60"/>
    <mergeCell ref="P61:P64"/>
    <mergeCell ref="P65:P68"/>
    <mergeCell ref="P37:P40"/>
    <mergeCell ref="P41:P44"/>
    <mergeCell ref="P45:P48"/>
    <mergeCell ref="P49:P52"/>
    <mergeCell ref="A109:A112"/>
    <mergeCell ref="P3:Q4"/>
    <mergeCell ref="P5:P8"/>
    <mergeCell ref="P9:P12"/>
    <mergeCell ref="P13:P16"/>
    <mergeCell ref="P17:P20"/>
    <mergeCell ref="P21:P24"/>
    <mergeCell ref="P25:P28"/>
    <mergeCell ref="P29:P32"/>
    <mergeCell ref="P33:P36"/>
    <mergeCell ref="A93:A96"/>
    <mergeCell ref="A97:A100"/>
    <mergeCell ref="A101:A104"/>
    <mergeCell ref="A105:A108"/>
    <mergeCell ref="A77:A80"/>
    <mergeCell ref="A81:A84"/>
    <mergeCell ref="A85:A88"/>
    <mergeCell ref="A89:A92"/>
    <mergeCell ref="A61:A64"/>
    <mergeCell ref="A65:A68"/>
    <mergeCell ref="A69:A72"/>
    <mergeCell ref="A73:A76"/>
    <mergeCell ref="A45:A48"/>
    <mergeCell ref="A49:A52"/>
    <mergeCell ref="A53:A56"/>
    <mergeCell ref="A57:A60"/>
    <mergeCell ref="A29:A32"/>
    <mergeCell ref="A33:A36"/>
    <mergeCell ref="A37:A40"/>
    <mergeCell ref="A41:A44"/>
    <mergeCell ref="A13:A16"/>
    <mergeCell ref="A17:A20"/>
    <mergeCell ref="A21:A24"/>
    <mergeCell ref="A25:A28"/>
    <mergeCell ref="W3:X3"/>
    <mergeCell ref="Y3:Y4"/>
    <mergeCell ref="A5:A8"/>
    <mergeCell ref="A9:A12"/>
    <mergeCell ref="L3:L4"/>
    <mergeCell ref="M3:N3"/>
    <mergeCell ref="O3:O4"/>
    <mergeCell ref="R3:V3"/>
    <mergeCell ref="A3:B4"/>
    <mergeCell ref="C3:C4"/>
    <mergeCell ref="I3:J3"/>
    <mergeCell ref="K3:K4"/>
    <mergeCell ref="D3:D4"/>
    <mergeCell ref="E3:E4"/>
    <mergeCell ref="F3:F4"/>
    <mergeCell ref="G3:H3"/>
  </mergeCells>
  <printOptions horizontalCentered="1"/>
  <pageMargins left="0.2362204724409449" right="0.1968503937007874" top="0.29" bottom="0.1968503937007874" header="0.15748031496062992" footer="0.15748031496062992"/>
  <pageSetup horizontalDpi="600" verticalDpi="600" orientation="landscape" paperSize="9" scale="75" r:id="rId1"/>
  <rowBreaks count="1" manualBreakCount="1">
    <brk id="64" max="255" man="1"/>
  </rowBreaks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06"/>
  <sheetViews>
    <sheetView zoomScaleSheetLayoutView="100" workbookViewId="0" topLeftCell="A32">
      <selection activeCell="D64" sqref="D64"/>
    </sheetView>
  </sheetViews>
  <sheetFormatPr defaultColWidth="9.00390625" defaultRowHeight="12.75"/>
  <cols>
    <col min="1" max="1" width="78.00390625" style="0" customWidth="1"/>
    <col min="2" max="2" width="11.00390625" style="0" customWidth="1"/>
    <col min="3" max="4" width="11.00390625" style="365" customWidth="1"/>
  </cols>
  <sheetData>
    <row r="1" spans="1:2" ht="12.75">
      <c r="A1" s="139" t="s">
        <v>431</v>
      </c>
      <c r="B1" s="116"/>
    </row>
    <row r="2" spans="1:2" ht="12" customHeight="1">
      <c r="A2" s="139"/>
      <c r="B2" s="116"/>
    </row>
    <row r="3" spans="1:4" ht="13.5" customHeight="1">
      <c r="A3" s="728" t="s">
        <v>251</v>
      </c>
      <c r="B3" s="728"/>
      <c r="C3" s="646"/>
      <c r="D3" s="646"/>
    </row>
    <row r="4" spans="1:4" ht="14.25" customHeight="1">
      <c r="A4" s="729" t="s">
        <v>386</v>
      </c>
      <c r="B4" s="729"/>
      <c r="C4" s="646"/>
      <c r="D4" s="646"/>
    </row>
    <row r="5" spans="1:2" ht="14.25" customHeight="1" thickBot="1">
      <c r="A5" s="140"/>
      <c r="B5" s="141"/>
    </row>
    <row r="6" spans="1:4" s="163" customFormat="1" ht="12.75" customHeight="1" thickTop="1">
      <c r="A6" s="162"/>
      <c r="B6" s="337" t="s">
        <v>490</v>
      </c>
      <c r="C6" s="407" t="s">
        <v>496</v>
      </c>
      <c r="D6" s="366" t="s">
        <v>85</v>
      </c>
    </row>
    <row r="7" spans="1:4" s="160" customFormat="1" ht="12.75" customHeight="1">
      <c r="A7" s="165" t="s">
        <v>580</v>
      </c>
      <c r="B7" s="338">
        <f>SUM(B16+B39+B46)</f>
        <v>195168</v>
      </c>
      <c r="C7" s="338">
        <f>SUM(C16+C39+C46)</f>
        <v>213836</v>
      </c>
      <c r="D7" s="432">
        <f>SUM(D16+D39+D46)</f>
        <v>187646</v>
      </c>
    </row>
    <row r="8" spans="1:4" s="163" customFormat="1" ht="12.75" customHeight="1">
      <c r="A8" s="167"/>
      <c r="B8" s="338"/>
      <c r="C8" s="339"/>
      <c r="D8" s="367"/>
    </row>
    <row r="9" spans="1:4" s="163" customFormat="1" ht="12.75" customHeight="1">
      <c r="A9" s="168" t="s">
        <v>595</v>
      </c>
      <c r="B9" s="339"/>
      <c r="C9" s="339"/>
      <c r="D9" s="367"/>
    </row>
    <row r="10" spans="1:4" s="163" customFormat="1" ht="12.75" customHeight="1">
      <c r="A10" s="169" t="s">
        <v>350</v>
      </c>
      <c r="B10" s="339">
        <v>17000</v>
      </c>
      <c r="C10" s="491">
        <v>17000</v>
      </c>
      <c r="D10" s="367">
        <v>17000</v>
      </c>
    </row>
    <row r="11" spans="1:4" s="163" customFormat="1" ht="12.75" customHeight="1">
      <c r="A11" s="169" t="s">
        <v>351</v>
      </c>
      <c r="B11" s="339">
        <v>8650</v>
      </c>
      <c r="C11" s="491">
        <v>8650</v>
      </c>
      <c r="D11" s="367">
        <v>8650</v>
      </c>
    </row>
    <row r="12" spans="1:4" s="163" customFormat="1" ht="12.75" customHeight="1">
      <c r="A12" s="169" t="s">
        <v>147</v>
      </c>
      <c r="B12" s="339">
        <v>1465</v>
      </c>
      <c r="C12" s="491">
        <v>1465</v>
      </c>
      <c r="D12" s="367">
        <v>1465</v>
      </c>
    </row>
    <row r="13" spans="1:4" s="163" customFormat="1" ht="12.75" customHeight="1">
      <c r="A13" s="169" t="s">
        <v>352</v>
      </c>
      <c r="B13" s="339">
        <v>33962</v>
      </c>
      <c r="C13" s="491">
        <v>30654</v>
      </c>
      <c r="D13" s="367">
        <v>0</v>
      </c>
    </row>
    <row r="14" spans="1:4" s="163" customFormat="1" ht="12.75" customHeight="1">
      <c r="A14" s="169" t="s">
        <v>353</v>
      </c>
      <c r="B14" s="339">
        <v>69791</v>
      </c>
      <c r="C14" s="491">
        <v>66291</v>
      </c>
      <c r="D14" s="367">
        <v>66291</v>
      </c>
    </row>
    <row r="15" spans="1:4" s="163" customFormat="1" ht="12.75" customHeight="1">
      <c r="A15" s="169" t="s">
        <v>354</v>
      </c>
      <c r="B15" s="339">
        <v>5000</v>
      </c>
      <c r="C15" s="491">
        <v>4069</v>
      </c>
      <c r="D15" s="367">
        <v>4069</v>
      </c>
    </row>
    <row r="16" spans="1:4" s="170" customFormat="1" ht="12.75" customHeight="1">
      <c r="A16" s="168" t="s">
        <v>547</v>
      </c>
      <c r="B16" s="340">
        <f>SUM(B10:B15)</f>
        <v>135868</v>
      </c>
      <c r="C16" s="469">
        <f>SUM(C10:C15)</f>
        <v>128129</v>
      </c>
      <c r="D16" s="368">
        <f>SUM(D10:D15)</f>
        <v>97475</v>
      </c>
    </row>
    <row r="17" spans="1:4" s="163" customFormat="1" ht="12.75" customHeight="1">
      <c r="A17" s="169"/>
      <c r="B17" s="339"/>
      <c r="C17" s="339"/>
      <c r="D17" s="367"/>
    </row>
    <row r="18" spans="1:4" s="163" customFormat="1" ht="12.75" customHeight="1">
      <c r="A18" s="168" t="s">
        <v>252</v>
      </c>
      <c r="B18" s="339"/>
      <c r="C18" s="339"/>
      <c r="D18" s="367"/>
    </row>
    <row r="19" spans="1:4" s="163" customFormat="1" ht="12.75" customHeight="1">
      <c r="A19" s="171" t="s">
        <v>355</v>
      </c>
      <c r="B19" s="341">
        <v>5000</v>
      </c>
      <c r="C19" s="491">
        <v>8500</v>
      </c>
      <c r="D19" s="367">
        <v>8500</v>
      </c>
    </row>
    <row r="20" spans="1:4" s="163" customFormat="1" ht="12.75" customHeight="1">
      <c r="A20" s="169" t="s">
        <v>356</v>
      </c>
      <c r="B20" s="339">
        <v>500</v>
      </c>
      <c r="C20" s="491">
        <v>500</v>
      </c>
      <c r="D20" s="367">
        <v>500</v>
      </c>
    </row>
    <row r="21" spans="1:4" s="163" customFormat="1" ht="12.75" customHeight="1">
      <c r="A21" s="169" t="s">
        <v>652</v>
      </c>
      <c r="B21" s="339">
        <v>20000</v>
      </c>
      <c r="C21" s="491">
        <v>13483</v>
      </c>
      <c r="D21" s="367">
        <v>12111</v>
      </c>
    </row>
    <row r="22" spans="1:4" s="163" customFormat="1" ht="12.75" customHeight="1">
      <c r="A22" s="169" t="s">
        <v>653</v>
      </c>
      <c r="B22" s="339">
        <v>10000</v>
      </c>
      <c r="C22" s="491">
        <v>10000</v>
      </c>
      <c r="D22" s="367">
        <v>10000</v>
      </c>
    </row>
    <row r="23" spans="1:4" s="163" customFormat="1" ht="12.75" customHeight="1">
      <c r="A23" s="169" t="s">
        <v>25</v>
      </c>
      <c r="B23" s="339">
        <v>2000</v>
      </c>
      <c r="C23" s="491">
        <v>2000</v>
      </c>
      <c r="D23" s="367">
        <v>2000</v>
      </c>
    </row>
    <row r="24" spans="1:4" s="163" customFormat="1" ht="12.75" customHeight="1">
      <c r="A24" s="169" t="s">
        <v>654</v>
      </c>
      <c r="B24" s="339">
        <v>800</v>
      </c>
      <c r="C24" s="491">
        <v>800</v>
      </c>
      <c r="D24" s="367">
        <v>800</v>
      </c>
    </row>
    <row r="25" spans="1:4" s="163" customFormat="1" ht="12.75" customHeight="1">
      <c r="A25" s="169" t="s">
        <v>655</v>
      </c>
      <c r="B25" s="339">
        <v>10000</v>
      </c>
      <c r="C25" s="491">
        <v>9647</v>
      </c>
      <c r="D25" s="367">
        <v>9647</v>
      </c>
    </row>
    <row r="26" spans="1:4" s="163" customFormat="1" ht="12.75" customHeight="1">
      <c r="A26" s="169" t="s">
        <v>217</v>
      </c>
      <c r="B26" s="339">
        <v>10000</v>
      </c>
      <c r="C26" s="491">
        <v>10413</v>
      </c>
      <c r="D26" s="367">
        <v>10413</v>
      </c>
    </row>
    <row r="27" spans="1:4" s="163" customFormat="1" ht="12.75" customHeight="1">
      <c r="A27" s="173" t="s">
        <v>59</v>
      </c>
      <c r="B27" s="343"/>
      <c r="C27" s="491">
        <v>403</v>
      </c>
      <c r="D27" s="367">
        <v>403</v>
      </c>
    </row>
    <row r="28" spans="1:4" s="163" customFormat="1" ht="12.75" customHeight="1">
      <c r="A28" s="173" t="s">
        <v>60</v>
      </c>
      <c r="B28" s="343"/>
      <c r="C28" s="491">
        <v>198</v>
      </c>
      <c r="D28" s="367">
        <v>198</v>
      </c>
    </row>
    <row r="29" spans="1:4" s="163" customFormat="1" ht="12.75" customHeight="1">
      <c r="A29" s="173" t="s">
        <v>148</v>
      </c>
      <c r="B29" s="343"/>
      <c r="C29" s="491">
        <v>138</v>
      </c>
      <c r="D29" s="367">
        <v>138</v>
      </c>
    </row>
    <row r="30" spans="1:4" s="163" customFormat="1" ht="12.75" customHeight="1">
      <c r="A30" s="173" t="s">
        <v>149</v>
      </c>
      <c r="B30" s="343"/>
      <c r="C30" s="491">
        <v>15000</v>
      </c>
      <c r="D30" s="367">
        <v>15000</v>
      </c>
    </row>
    <row r="31" spans="1:4" s="163" customFormat="1" ht="12.75" customHeight="1">
      <c r="A31" s="173" t="s">
        <v>150</v>
      </c>
      <c r="B31" s="343"/>
      <c r="C31" s="491">
        <v>999</v>
      </c>
      <c r="D31" s="367">
        <v>999</v>
      </c>
    </row>
    <row r="32" spans="1:4" s="163" customFormat="1" ht="12.75" customHeight="1">
      <c r="A32" s="173" t="s">
        <v>151</v>
      </c>
      <c r="B32" s="343"/>
      <c r="C32" s="491">
        <v>755</v>
      </c>
      <c r="D32" s="367">
        <v>755</v>
      </c>
    </row>
    <row r="33" spans="1:4" s="163" customFormat="1" ht="12.75" customHeight="1">
      <c r="A33" s="173" t="s">
        <v>152</v>
      </c>
      <c r="B33" s="343"/>
      <c r="C33" s="491">
        <v>1001</v>
      </c>
      <c r="D33" s="367">
        <v>1001</v>
      </c>
    </row>
    <row r="34" spans="1:4" s="163" customFormat="1" ht="12.75" customHeight="1">
      <c r="A34" s="173" t="s">
        <v>147</v>
      </c>
      <c r="B34" s="343"/>
      <c r="C34" s="491">
        <v>2000</v>
      </c>
      <c r="D34" s="367">
        <v>2000</v>
      </c>
    </row>
    <row r="35" spans="1:4" s="163" customFormat="1" ht="12.75" customHeight="1">
      <c r="A35" s="173" t="s">
        <v>400</v>
      </c>
      <c r="B35" s="343"/>
      <c r="C35" s="491">
        <v>300</v>
      </c>
      <c r="D35" s="367">
        <v>300</v>
      </c>
    </row>
    <row r="36" spans="1:4" s="163" customFormat="1" ht="12.75" customHeight="1">
      <c r="A36" s="173" t="s">
        <v>201</v>
      </c>
      <c r="B36" s="343"/>
      <c r="C36" s="491">
        <v>1378</v>
      </c>
      <c r="D36" s="367">
        <v>1378</v>
      </c>
    </row>
    <row r="37" spans="1:4" s="163" customFormat="1" ht="12.75" customHeight="1">
      <c r="A37" s="173" t="s">
        <v>750</v>
      </c>
      <c r="B37" s="343"/>
      <c r="C37" s="491"/>
      <c r="D37" s="488">
        <v>273</v>
      </c>
    </row>
    <row r="38" spans="1:4" s="163" customFormat="1" ht="12.75" customHeight="1">
      <c r="A38" s="173" t="s">
        <v>751</v>
      </c>
      <c r="B38" s="343"/>
      <c r="C38" s="491"/>
      <c r="D38" s="488">
        <v>563</v>
      </c>
    </row>
    <row r="39" spans="1:4" s="170" customFormat="1" ht="12.75" customHeight="1">
      <c r="A39" s="168" t="s">
        <v>547</v>
      </c>
      <c r="B39" s="340">
        <f>SUM(B19:B36)</f>
        <v>58300</v>
      </c>
      <c r="C39" s="469">
        <f>SUM(C19:C36)</f>
        <v>77515</v>
      </c>
      <c r="D39" s="470">
        <f>SUM(D19:D38)</f>
        <v>76979</v>
      </c>
    </row>
    <row r="40" spans="1:4" s="163" customFormat="1" ht="12.75" customHeight="1">
      <c r="A40" s="246"/>
      <c r="B40" s="342"/>
      <c r="C40" s="339"/>
      <c r="D40" s="367"/>
    </row>
    <row r="41" spans="1:4" s="163" customFormat="1" ht="12.75" customHeight="1">
      <c r="A41" s="168" t="s">
        <v>253</v>
      </c>
      <c r="B41" s="339"/>
      <c r="C41" s="339"/>
      <c r="D41" s="367"/>
    </row>
    <row r="42" spans="1:4" s="163" customFormat="1" ht="12.75" customHeight="1">
      <c r="A42" s="169" t="s">
        <v>817</v>
      </c>
      <c r="B42" s="339">
        <v>1000</v>
      </c>
      <c r="C42" s="339">
        <v>1000</v>
      </c>
      <c r="D42" s="367">
        <v>1000</v>
      </c>
    </row>
    <row r="43" spans="1:4" s="163" customFormat="1" ht="12.75" customHeight="1">
      <c r="A43" s="169" t="s">
        <v>103</v>
      </c>
      <c r="B43" s="339"/>
      <c r="C43" s="339">
        <v>192</v>
      </c>
      <c r="D43" s="367">
        <v>192</v>
      </c>
    </row>
    <row r="44" spans="1:4" s="163" customFormat="1" ht="12.75" customHeight="1">
      <c r="A44" s="169" t="s">
        <v>355</v>
      </c>
      <c r="B44" s="339"/>
      <c r="C44" s="339">
        <v>7000</v>
      </c>
      <c r="D44" s="367">
        <v>7000</v>
      </c>
    </row>
    <row r="45" spans="1:4" s="163" customFormat="1" ht="12.75" customHeight="1">
      <c r="A45" s="169" t="s">
        <v>752</v>
      </c>
      <c r="B45" s="339"/>
      <c r="C45" s="339"/>
      <c r="D45" s="488">
        <v>5000</v>
      </c>
    </row>
    <row r="46" spans="1:4" s="170" customFormat="1" ht="12.75" customHeight="1">
      <c r="A46" s="168" t="s">
        <v>547</v>
      </c>
      <c r="B46" s="340">
        <f>SUM(B42:B44)</f>
        <v>1000</v>
      </c>
      <c r="C46" s="469">
        <f>SUM(C42:C44)</f>
        <v>8192</v>
      </c>
      <c r="D46" s="470">
        <f>SUM(D42:D45)</f>
        <v>13192</v>
      </c>
    </row>
    <row r="47" spans="1:4" s="163" customFormat="1" ht="12.75" customHeight="1">
      <c r="A47" s="173"/>
      <c r="B47" s="343"/>
      <c r="C47" s="491"/>
      <c r="D47" s="488"/>
    </row>
    <row r="48" spans="1:4" s="160" customFormat="1" ht="12.75" customHeight="1">
      <c r="A48" s="158" t="s">
        <v>488</v>
      </c>
      <c r="B48" s="344">
        <f>SUM(B49)</f>
        <v>0</v>
      </c>
      <c r="C48" s="492">
        <f>SUM(C49)</f>
        <v>2325</v>
      </c>
      <c r="D48" s="489">
        <f>SUM(D49)</f>
        <v>2325</v>
      </c>
    </row>
    <row r="49" spans="1:4" s="163" customFormat="1" ht="12.75" customHeight="1">
      <c r="A49" s="169" t="s">
        <v>153</v>
      </c>
      <c r="B49" s="339"/>
      <c r="C49" s="491">
        <v>2325</v>
      </c>
      <c r="D49" s="488">
        <v>2325</v>
      </c>
    </row>
    <row r="50" spans="1:4" s="163" customFormat="1" ht="12.75" customHeight="1">
      <c r="A50" s="169"/>
      <c r="B50" s="339"/>
      <c r="C50" s="339"/>
      <c r="D50" s="367"/>
    </row>
    <row r="51" spans="1:4" s="160" customFormat="1" ht="12.75" customHeight="1">
      <c r="A51" s="158" t="s">
        <v>502</v>
      </c>
      <c r="B51" s="344">
        <f>SUM(B52:B60)</f>
        <v>17000</v>
      </c>
      <c r="C51" s="492">
        <f>SUM(C52:C60)</f>
        <v>31201</v>
      </c>
      <c r="D51" s="489">
        <f>SUM(D52:D61)</f>
        <v>31708</v>
      </c>
    </row>
    <row r="52" spans="1:4" s="163" customFormat="1" ht="12.75" customHeight="1">
      <c r="A52" s="171" t="s">
        <v>680</v>
      </c>
      <c r="B52" s="339">
        <v>5000</v>
      </c>
      <c r="C52" s="339">
        <v>5000</v>
      </c>
      <c r="D52" s="367">
        <v>5000</v>
      </c>
    </row>
    <row r="53" spans="1:4" s="163" customFormat="1" ht="12.75" customHeight="1">
      <c r="A53" s="171" t="s">
        <v>154</v>
      </c>
      <c r="B53" s="339">
        <v>1350</v>
      </c>
      <c r="C53" s="339">
        <v>3969</v>
      </c>
      <c r="D53" s="367">
        <v>3969</v>
      </c>
    </row>
    <row r="54" spans="1:4" s="163" customFormat="1" ht="12.75" customHeight="1">
      <c r="A54" s="179" t="s">
        <v>155</v>
      </c>
      <c r="B54" s="345">
        <v>2400</v>
      </c>
      <c r="C54" s="339">
        <v>5900</v>
      </c>
      <c r="D54" s="367">
        <v>5500</v>
      </c>
    </row>
    <row r="55" spans="1:4" s="163" customFormat="1" ht="12.75" customHeight="1">
      <c r="A55" s="164" t="s">
        <v>681</v>
      </c>
      <c r="B55" s="345">
        <v>8250</v>
      </c>
      <c r="C55" s="339">
        <v>8250</v>
      </c>
      <c r="D55" s="367">
        <v>8250</v>
      </c>
    </row>
    <row r="56" spans="1:4" s="163" customFormat="1" ht="12.75" customHeight="1">
      <c r="A56" s="164" t="s">
        <v>156</v>
      </c>
      <c r="B56" s="345"/>
      <c r="C56" s="339">
        <v>2000</v>
      </c>
      <c r="D56" s="367">
        <v>2000</v>
      </c>
    </row>
    <row r="57" spans="1:4" s="163" customFormat="1" ht="12.75" customHeight="1">
      <c r="A57" s="164" t="s">
        <v>157</v>
      </c>
      <c r="B57" s="345"/>
      <c r="C57" s="339">
        <v>1000</v>
      </c>
      <c r="D57" s="367">
        <v>1265</v>
      </c>
    </row>
    <row r="58" spans="1:4" s="163" customFormat="1" ht="12.75" customHeight="1">
      <c r="A58" s="164" t="s">
        <v>158</v>
      </c>
      <c r="B58" s="345"/>
      <c r="C58" s="339">
        <v>788</v>
      </c>
      <c r="D58" s="367">
        <v>1030</v>
      </c>
    </row>
    <row r="59" spans="1:4" s="163" customFormat="1" ht="12.75" customHeight="1">
      <c r="A59" s="164" t="s">
        <v>72</v>
      </c>
      <c r="B59" s="345"/>
      <c r="C59" s="339">
        <v>3766</v>
      </c>
      <c r="D59" s="367">
        <v>3766</v>
      </c>
    </row>
    <row r="60" spans="1:4" s="163" customFormat="1" ht="12.75" customHeight="1">
      <c r="A60" s="164" t="s">
        <v>159</v>
      </c>
      <c r="B60" s="345"/>
      <c r="C60" s="339">
        <v>528</v>
      </c>
      <c r="D60" s="367">
        <v>528</v>
      </c>
    </row>
    <row r="61" spans="1:4" s="163" customFormat="1" ht="12.75" customHeight="1">
      <c r="A61" s="164" t="s">
        <v>753</v>
      </c>
      <c r="B61" s="345"/>
      <c r="C61" s="339"/>
      <c r="D61" s="367">
        <v>400</v>
      </c>
    </row>
    <row r="62" spans="1:4" s="163" customFormat="1" ht="12.75" customHeight="1">
      <c r="A62" s="171"/>
      <c r="B62" s="339"/>
      <c r="C62" s="339"/>
      <c r="D62" s="367"/>
    </row>
    <row r="63" spans="1:4" s="170" customFormat="1" ht="12.75" customHeight="1" thickBot="1">
      <c r="A63" s="180" t="s">
        <v>503</v>
      </c>
      <c r="B63" s="346">
        <f>SUM(B16+B39+B46+B48+B51)</f>
        <v>212168</v>
      </c>
      <c r="C63" s="346">
        <f>SUM(C16+C39+C46+C48+C51)</f>
        <v>247362</v>
      </c>
      <c r="D63" s="434">
        <f>SUM(D16+D39+D46+D48+D51)</f>
        <v>221679</v>
      </c>
    </row>
    <row r="64" spans="2:4" s="163" customFormat="1" ht="13.5" thickTop="1">
      <c r="B64" s="181"/>
      <c r="C64" s="369"/>
      <c r="D64" s="369"/>
    </row>
    <row r="65" spans="2:4" s="163" customFormat="1" ht="12.75">
      <c r="B65" s="181"/>
      <c r="C65" s="369"/>
      <c r="D65" s="369"/>
    </row>
    <row r="66" spans="2:4" s="163" customFormat="1" ht="12.75">
      <c r="B66" s="181"/>
      <c r="C66" s="369"/>
      <c r="D66" s="369"/>
    </row>
    <row r="67" spans="3:4" s="163" customFormat="1" ht="12.75">
      <c r="C67" s="369"/>
      <c r="D67" s="369"/>
    </row>
    <row r="68" spans="3:4" s="163" customFormat="1" ht="12.75">
      <c r="C68" s="369"/>
      <c r="D68" s="369"/>
    </row>
    <row r="69" spans="3:4" s="163" customFormat="1" ht="12.75">
      <c r="C69" s="369"/>
      <c r="D69" s="369"/>
    </row>
    <row r="70" spans="3:4" s="163" customFormat="1" ht="12.75">
      <c r="C70" s="369"/>
      <c r="D70" s="369"/>
    </row>
    <row r="71" spans="3:4" s="163" customFormat="1" ht="12.75">
      <c r="C71" s="369"/>
      <c r="D71" s="369"/>
    </row>
    <row r="72" spans="3:4" s="163" customFormat="1" ht="12.75">
      <c r="C72" s="369"/>
      <c r="D72" s="369"/>
    </row>
    <row r="73" spans="3:4" s="163" customFormat="1" ht="12.75">
      <c r="C73" s="369"/>
      <c r="D73" s="369"/>
    </row>
    <row r="74" spans="3:4" s="163" customFormat="1" ht="12.75">
      <c r="C74" s="369"/>
      <c r="D74" s="369"/>
    </row>
    <row r="75" spans="3:4" s="163" customFormat="1" ht="12.75">
      <c r="C75" s="369"/>
      <c r="D75" s="369"/>
    </row>
    <row r="76" spans="3:4" s="163" customFormat="1" ht="12.75">
      <c r="C76" s="369"/>
      <c r="D76" s="369"/>
    </row>
    <row r="77" spans="3:4" s="163" customFormat="1" ht="12.75">
      <c r="C77" s="369"/>
      <c r="D77" s="369"/>
    </row>
    <row r="78" spans="3:4" s="163" customFormat="1" ht="12.75">
      <c r="C78" s="369"/>
      <c r="D78" s="369"/>
    </row>
    <row r="79" spans="3:4" s="163" customFormat="1" ht="12.75">
      <c r="C79" s="369"/>
      <c r="D79" s="369"/>
    </row>
    <row r="80" spans="3:4" s="163" customFormat="1" ht="12.75">
      <c r="C80" s="369"/>
      <c r="D80" s="369"/>
    </row>
    <row r="81" spans="3:4" s="163" customFormat="1" ht="12.75">
      <c r="C81" s="369"/>
      <c r="D81" s="369"/>
    </row>
    <row r="82" spans="3:4" s="163" customFormat="1" ht="12.75">
      <c r="C82" s="369"/>
      <c r="D82" s="369"/>
    </row>
    <row r="83" spans="3:4" s="163" customFormat="1" ht="12.75">
      <c r="C83" s="369"/>
      <c r="D83" s="369"/>
    </row>
    <row r="84" spans="3:4" s="163" customFormat="1" ht="12.75">
      <c r="C84" s="369"/>
      <c r="D84" s="369"/>
    </row>
    <row r="85" spans="3:4" s="163" customFormat="1" ht="12.75">
      <c r="C85" s="369"/>
      <c r="D85" s="369"/>
    </row>
    <row r="86" spans="3:4" s="163" customFormat="1" ht="12.75">
      <c r="C86" s="369"/>
      <c r="D86" s="369"/>
    </row>
    <row r="87" spans="3:4" s="163" customFormat="1" ht="12.75">
      <c r="C87" s="369"/>
      <c r="D87" s="369"/>
    </row>
    <row r="88" spans="3:4" s="163" customFormat="1" ht="12.75">
      <c r="C88" s="369"/>
      <c r="D88" s="369"/>
    </row>
    <row r="89" spans="3:4" s="163" customFormat="1" ht="12.75">
      <c r="C89" s="369"/>
      <c r="D89" s="369"/>
    </row>
    <row r="90" spans="3:4" s="163" customFormat="1" ht="12.75">
      <c r="C90" s="369"/>
      <c r="D90" s="369"/>
    </row>
    <row r="91" spans="3:4" s="163" customFormat="1" ht="12.75">
      <c r="C91" s="369"/>
      <c r="D91" s="369"/>
    </row>
    <row r="92" spans="3:4" s="163" customFormat="1" ht="12.75">
      <c r="C92" s="369"/>
      <c r="D92" s="369"/>
    </row>
    <row r="93" spans="3:4" s="163" customFormat="1" ht="12.75">
      <c r="C93" s="369"/>
      <c r="D93" s="369"/>
    </row>
    <row r="94" spans="3:4" s="163" customFormat="1" ht="12.75">
      <c r="C94" s="369"/>
      <c r="D94" s="369"/>
    </row>
    <row r="95" spans="3:4" s="163" customFormat="1" ht="12.75">
      <c r="C95" s="369"/>
      <c r="D95" s="369"/>
    </row>
    <row r="96" spans="3:4" s="163" customFormat="1" ht="12.75">
      <c r="C96" s="369"/>
      <c r="D96" s="369"/>
    </row>
    <row r="97" spans="3:4" s="163" customFormat="1" ht="12.75">
      <c r="C97" s="369"/>
      <c r="D97" s="369"/>
    </row>
    <row r="98" spans="3:4" s="163" customFormat="1" ht="12.75">
      <c r="C98" s="369"/>
      <c r="D98" s="369"/>
    </row>
    <row r="99" spans="3:4" s="163" customFormat="1" ht="12.75">
      <c r="C99" s="369"/>
      <c r="D99" s="369"/>
    </row>
    <row r="100" spans="3:4" s="163" customFormat="1" ht="12.75">
      <c r="C100" s="369"/>
      <c r="D100" s="369"/>
    </row>
    <row r="101" spans="3:4" s="163" customFormat="1" ht="12.75">
      <c r="C101" s="369"/>
      <c r="D101" s="369"/>
    </row>
    <row r="102" spans="3:4" s="163" customFormat="1" ht="12.75">
      <c r="C102" s="369"/>
      <c r="D102" s="369"/>
    </row>
    <row r="103" spans="3:4" s="163" customFormat="1" ht="12.75">
      <c r="C103" s="369"/>
      <c r="D103" s="369"/>
    </row>
    <row r="104" spans="3:4" s="163" customFormat="1" ht="12.75">
      <c r="C104" s="369"/>
      <c r="D104" s="369"/>
    </row>
    <row r="105" spans="3:4" s="163" customFormat="1" ht="12.75">
      <c r="C105" s="369"/>
      <c r="D105" s="369"/>
    </row>
    <row r="106" spans="3:4" s="163" customFormat="1" ht="12.75">
      <c r="C106" s="369"/>
      <c r="D106" s="369"/>
    </row>
    <row r="107" spans="3:4" s="163" customFormat="1" ht="12.75">
      <c r="C107" s="369"/>
      <c r="D107" s="369"/>
    </row>
    <row r="108" spans="3:4" s="163" customFormat="1" ht="12.75">
      <c r="C108" s="369"/>
      <c r="D108" s="369"/>
    </row>
    <row r="109" spans="3:4" s="163" customFormat="1" ht="12.75">
      <c r="C109" s="369"/>
      <c r="D109" s="369"/>
    </row>
    <row r="110" spans="3:4" s="163" customFormat="1" ht="12.75">
      <c r="C110" s="369"/>
      <c r="D110" s="369"/>
    </row>
    <row r="111" spans="3:4" s="163" customFormat="1" ht="12.75">
      <c r="C111" s="369"/>
      <c r="D111" s="369"/>
    </row>
    <row r="112" spans="3:4" s="163" customFormat="1" ht="12.75">
      <c r="C112" s="369"/>
      <c r="D112" s="369"/>
    </row>
    <row r="113" spans="3:4" s="163" customFormat="1" ht="12.75">
      <c r="C113" s="369"/>
      <c r="D113" s="369"/>
    </row>
    <row r="114" spans="3:4" s="163" customFormat="1" ht="12.75">
      <c r="C114" s="369"/>
      <c r="D114" s="369"/>
    </row>
    <row r="115" spans="3:4" s="163" customFormat="1" ht="12.75">
      <c r="C115" s="369"/>
      <c r="D115" s="369"/>
    </row>
    <row r="116" spans="3:4" s="163" customFormat="1" ht="12.75">
      <c r="C116" s="369"/>
      <c r="D116" s="369"/>
    </row>
    <row r="117" spans="3:4" s="163" customFormat="1" ht="12.75">
      <c r="C117" s="369"/>
      <c r="D117" s="369"/>
    </row>
    <row r="118" spans="3:4" s="163" customFormat="1" ht="12.75">
      <c r="C118" s="369"/>
      <c r="D118" s="369"/>
    </row>
    <row r="119" spans="3:4" s="163" customFormat="1" ht="12.75">
      <c r="C119" s="369"/>
      <c r="D119" s="369"/>
    </row>
    <row r="120" spans="3:4" s="163" customFormat="1" ht="12.75">
      <c r="C120" s="369"/>
      <c r="D120" s="369"/>
    </row>
    <row r="121" spans="3:4" s="163" customFormat="1" ht="12.75">
      <c r="C121" s="369"/>
      <c r="D121" s="369"/>
    </row>
    <row r="122" spans="3:4" s="163" customFormat="1" ht="12.75">
      <c r="C122" s="369"/>
      <c r="D122" s="369"/>
    </row>
    <row r="123" spans="3:4" s="163" customFormat="1" ht="12.75">
      <c r="C123" s="369"/>
      <c r="D123" s="369"/>
    </row>
    <row r="124" spans="3:4" s="163" customFormat="1" ht="12.75">
      <c r="C124" s="369"/>
      <c r="D124" s="369"/>
    </row>
    <row r="125" spans="3:4" s="163" customFormat="1" ht="12.75">
      <c r="C125" s="369"/>
      <c r="D125" s="369"/>
    </row>
    <row r="126" spans="3:4" s="163" customFormat="1" ht="12.75">
      <c r="C126" s="369"/>
      <c r="D126" s="369"/>
    </row>
    <row r="127" spans="3:4" s="163" customFormat="1" ht="12.75">
      <c r="C127" s="369"/>
      <c r="D127" s="369"/>
    </row>
    <row r="128" spans="3:4" s="163" customFormat="1" ht="12.75">
      <c r="C128" s="369"/>
      <c r="D128" s="369"/>
    </row>
    <row r="129" spans="3:4" s="163" customFormat="1" ht="12.75">
      <c r="C129" s="369"/>
      <c r="D129" s="369"/>
    </row>
    <row r="130" spans="3:4" s="163" customFormat="1" ht="12.75">
      <c r="C130" s="369"/>
      <c r="D130" s="369"/>
    </row>
    <row r="131" spans="3:4" s="163" customFormat="1" ht="12.75">
      <c r="C131" s="369"/>
      <c r="D131" s="369"/>
    </row>
    <row r="132" spans="3:4" s="163" customFormat="1" ht="12.75">
      <c r="C132" s="369"/>
      <c r="D132" s="369"/>
    </row>
    <row r="133" spans="3:4" s="163" customFormat="1" ht="12.75">
      <c r="C133" s="369"/>
      <c r="D133" s="369"/>
    </row>
    <row r="134" spans="3:4" s="163" customFormat="1" ht="12.75">
      <c r="C134" s="369"/>
      <c r="D134" s="369"/>
    </row>
    <row r="135" spans="3:4" s="163" customFormat="1" ht="12.75">
      <c r="C135" s="369"/>
      <c r="D135" s="369"/>
    </row>
    <row r="136" spans="3:4" s="163" customFormat="1" ht="12.75">
      <c r="C136" s="369"/>
      <c r="D136" s="369"/>
    </row>
    <row r="137" spans="3:4" s="163" customFormat="1" ht="12.75">
      <c r="C137" s="369"/>
      <c r="D137" s="369"/>
    </row>
    <row r="138" spans="3:4" s="163" customFormat="1" ht="12.75">
      <c r="C138" s="369"/>
      <c r="D138" s="369"/>
    </row>
    <row r="139" spans="3:4" s="163" customFormat="1" ht="12.75">
      <c r="C139" s="369"/>
      <c r="D139" s="369"/>
    </row>
    <row r="140" spans="3:4" s="163" customFormat="1" ht="12.75">
      <c r="C140" s="369"/>
      <c r="D140" s="369"/>
    </row>
    <row r="141" spans="3:4" s="163" customFormat="1" ht="12.75">
      <c r="C141" s="369"/>
      <c r="D141" s="369"/>
    </row>
    <row r="142" spans="3:4" s="163" customFormat="1" ht="12.75">
      <c r="C142" s="369"/>
      <c r="D142" s="369"/>
    </row>
    <row r="143" spans="3:4" s="163" customFormat="1" ht="12.75">
      <c r="C143" s="369"/>
      <c r="D143" s="369"/>
    </row>
    <row r="144" spans="3:4" s="163" customFormat="1" ht="12.75">
      <c r="C144" s="369"/>
      <c r="D144" s="369"/>
    </row>
    <row r="145" spans="3:4" s="163" customFormat="1" ht="12.75">
      <c r="C145" s="369"/>
      <c r="D145" s="369"/>
    </row>
    <row r="146" spans="3:4" s="163" customFormat="1" ht="12.75">
      <c r="C146" s="369"/>
      <c r="D146" s="369"/>
    </row>
    <row r="147" spans="3:4" s="163" customFormat="1" ht="12.75">
      <c r="C147" s="369"/>
      <c r="D147" s="369"/>
    </row>
    <row r="148" spans="3:4" s="163" customFormat="1" ht="12.75">
      <c r="C148" s="369"/>
      <c r="D148" s="369"/>
    </row>
    <row r="149" spans="3:4" s="163" customFormat="1" ht="12.75">
      <c r="C149" s="369"/>
      <c r="D149" s="369"/>
    </row>
    <row r="150" spans="3:4" s="163" customFormat="1" ht="12.75">
      <c r="C150" s="369"/>
      <c r="D150" s="369"/>
    </row>
    <row r="151" spans="3:4" s="163" customFormat="1" ht="12.75">
      <c r="C151" s="369"/>
      <c r="D151" s="369"/>
    </row>
    <row r="152" spans="3:4" s="163" customFormat="1" ht="12.75">
      <c r="C152" s="369"/>
      <c r="D152" s="369"/>
    </row>
    <row r="153" spans="3:4" s="163" customFormat="1" ht="12.75">
      <c r="C153" s="369"/>
      <c r="D153" s="369"/>
    </row>
    <row r="154" spans="3:4" s="163" customFormat="1" ht="12.75">
      <c r="C154" s="369"/>
      <c r="D154" s="369"/>
    </row>
    <row r="155" spans="3:4" s="163" customFormat="1" ht="12.75">
      <c r="C155" s="369"/>
      <c r="D155" s="369"/>
    </row>
    <row r="156" spans="3:4" s="163" customFormat="1" ht="12.75">
      <c r="C156" s="369"/>
      <c r="D156" s="369"/>
    </row>
    <row r="157" spans="3:4" s="163" customFormat="1" ht="12.75">
      <c r="C157" s="369"/>
      <c r="D157" s="369"/>
    </row>
    <row r="158" spans="3:4" s="163" customFormat="1" ht="12.75">
      <c r="C158" s="369"/>
      <c r="D158" s="369"/>
    </row>
    <row r="159" spans="3:4" s="163" customFormat="1" ht="12.75">
      <c r="C159" s="369"/>
      <c r="D159" s="369"/>
    </row>
    <row r="160" spans="3:4" s="163" customFormat="1" ht="12.75">
      <c r="C160" s="369"/>
      <c r="D160" s="369"/>
    </row>
    <row r="161" spans="3:4" s="163" customFormat="1" ht="12.75">
      <c r="C161" s="369"/>
      <c r="D161" s="369"/>
    </row>
    <row r="162" spans="3:4" s="163" customFormat="1" ht="12.75">
      <c r="C162" s="369"/>
      <c r="D162" s="369"/>
    </row>
    <row r="163" spans="3:4" s="163" customFormat="1" ht="12.75">
      <c r="C163" s="369"/>
      <c r="D163" s="369"/>
    </row>
    <row r="164" spans="3:4" s="163" customFormat="1" ht="12.75">
      <c r="C164" s="369"/>
      <c r="D164" s="369"/>
    </row>
    <row r="165" spans="3:4" s="163" customFormat="1" ht="12.75">
      <c r="C165" s="369"/>
      <c r="D165" s="369"/>
    </row>
    <row r="166" spans="3:4" s="163" customFormat="1" ht="12.75">
      <c r="C166" s="369"/>
      <c r="D166" s="369"/>
    </row>
    <row r="167" spans="3:4" s="163" customFormat="1" ht="12.75">
      <c r="C167" s="369"/>
      <c r="D167" s="369"/>
    </row>
    <row r="168" spans="3:4" s="163" customFormat="1" ht="12.75">
      <c r="C168" s="369"/>
      <c r="D168" s="369"/>
    </row>
    <row r="169" spans="3:4" s="163" customFormat="1" ht="12.75">
      <c r="C169" s="369"/>
      <c r="D169" s="369"/>
    </row>
    <row r="170" spans="3:4" s="163" customFormat="1" ht="12.75">
      <c r="C170" s="369"/>
      <c r="D170" s="369"/>
    </row>
    <row r="171" spans="3:4" s="163" customFormat="1" ht="12.75">
      <c r="C171" s="369"/>
      <c r="D171" s="369"/>
    </row>
    <row r="172" spans="3:4" s="163" customFormat="1" ht="12.75">
      <c r="C172" s="369"/>
      <c r="D172" s="369"/>
    </row>
    <row r="173" spans="3:4" s="163" customFormat="1" ht="12.75">
      <c r="C173" s="369"/>
      <c r="D173" s="369"/>
    </row>
    <row r="174" spans="3:4" s="163" customFormat="1" ht="12.75">
      <c r="C174" s="369"/>
      <c r="D174" s="369"/>
    </row>
    <row r="175" spans="3:4" s="163" customFormat="1" ht="12.75">
      <c r="C175" s="369"/>
      <c r="D175" s="369"/>
    </row>
    <row r="176" spans="3:4" s="163" customFormat="1" ht="12.75">
      <c r="C176" s="369"/>
      <c r="D176" s="369"/>
    </row>
    <row r="177" spans="3:4" s="163" customFormat="1" ht="12.75">
      <c r="C177" s="369"/>
      <c r="D177" s="369"/>
    </row>
    <row r="178" spans="3:4" s="163" customFormat="1" ht="12.75">
      <c r="C178" s="369"/>
      <c r="D178" s="369"/>
    </row>
    <row r="179" spans="3:4" s="163" customFormat="1" ht="12.75">
      <c r="C179" s="369"/>
      <c r="D179" s="369"/>
    </row>
    <row r="180" spans="3:4" s="163" customFormat="1" ht="12.75">
      <c r="C180" s="369"/>
      <c r="D180" s="369"/>
    </row>
    <row r="181" spans="3:4" s="163" customFormat="1" ht="12.75">
      <c r="C181" s="369"/>
      <c r="D181" s="369"/>
    </row>
    <row r="182" spans="3:4" s="163" customFormat="1" ht="12.75">
      <c r="C182" s="369"/>
      <c r="D182" s="369"/>
    </row>
    <row r="183" spans="3:4" s="163" customFormat="1" ht="12.75">
      <c r="C183" s="369"/>
      <c r="D183" s="369"/>
    </row>
    <row r="184" spans="3:4" s="163" customFormat="1" ht="12.75">
      <c r="C184" s="369"/>
      <c r="D184" s="369"/>
    </row>
    <row r="185" spans="3:4" s="163" customFormat="1" ht="12.75">
      <c r="C185" s="369"/>
      <c r="D185" s="369"/>
    </row>
    <row r="186" spans="3:4" s="163" customFormat="1" ht="12.75">
      <c r="C186" s="369"/>
      <c r="D186" s="369"/>
    </row>
    <row r="187" spans="3:4" s="163" customFormat="1" ht="12.75">
      <c r="C187" s="369"/>
      <c r="D187" s="369"/>
    </row>
    <row r="188" spans="3:4" s="163" customFormat="1" ht="12.75">
      <c r="C188" s="369"/>
      <c r="D188" s="369"/>
    </row>
    <row r="189" spans="3:4" s="163" customFormat="1" ht="12.75">
      <c r="C189" s="369"/>
      <c r="D189" s="369"/>
    </row>
    <row r="190" spans="3:4" s="163" customFormat="1" ht="12.75">
      <c r="C190" s="369"/>
      <c r="D190" s="369"/>
    </row>
    <row r="191" spans="3:4" s="163" customFormat="1" ht="12.75">
      <c r="C191" s="369"/>
      <c r="D191" s="369"/>
    </row>
    <row r="192" spans="3:4" s="163" customFormat="1" ht="12.75">
      <c r="C192" s="369"/>
      <c r="D192" s="369"/>
    </row>
    <row r="193" spans="3:4" s="163" customFormat="1" ht="12.75">
      <c r="C193" s="369"/>
      <c r="D193" s="369"/>
    </row>
    <row r="194" spans="3:4" s="163" customFormat="1" ht="12.75">
      <c r="C194" s="369"/>
      <c r="D194" s="369"/>
    </row>
    <row r="195" spans="3:4" s="163" customFormat="1" ht="12.75">
      <c r="C195" s="369"/>
      <c r="D195" s="369"/>
    </row>
    <row r="196" spans="3:4" s="163" customFormat="1" ht="12.75">
      <c r="C196" s="369"/>
      <c r="D196" s="369"/>
    </row>
    <row r="197" spans="3:4" s="163" customFormat="1" ht="12.75">
      <c r="C197" s="369"/>
      <c r="D197" s="369"/>
    </row>
    <row r="198" spans="3:4" s="163" customFormat="1" ht="12.75">
      <c r="C198" s="369"/>
      <c r="D198" s="369"/>
    </row>
    <row r="199" spans="3:4" s="163" customFormat="1" ht="12.75">
      <c r="C199" s="369"/>
      <c r="D199" s="369"/>
    </row>
    <row r="200" spans="3:4" s="163" customFormat="1" ht="12.75">
      <c r="C200" s="369"/>
      <c r="D200" s="369"/>
    </row>
    <row r="201" spans="3:4" s="163" customFormat="1" ht="12.75">
      <c r="C201" s="369"/>
      <c r="D201" s="369"/>
    </row>
    <row r="202" spans="3:4" s="163" customFormat="1" ht="12.75">
      <c r="C202" s="369"/>
      <c r="D202" s="369"/>
    </row>
    <row r="203" spans="3:4" s="163" customFormat="1" ht="12.75">
      <c r="C203" s="369"/>
      <c r="D203" s="369"/>
    </row>
    <row r="204" spans="3:4" s="163" customFormat="1" ht="12.75">
      <c r="C204" s="369"/>
      <c r="D204" s="369"/>
    </row>
    <row r="205" spans="3:4" s="163" customFormat="1" ht="12.75">
      <c r="C205" s="369"/>
      <c r="D205" s="369"/>
    </row>
    <row r="206" spans="3:4" s="163" customFormat="1" ht="12.75">
      <c r="C206" s="369"/>
      <c r="D206" s="369"/>
    </row>
  </sheetData>
  <mergeCells count="2">
    <mergeCell ref="A3:D3"/>
    <mergeCell ref="A4:D4"/>
  </mergeCells>
  <printOptions horizontalCentered="1"/>
  <pageMargins left="0.24" right="0.2362204724409449" top="0.34" bottom="0.1968503937007874" header="0.25" footer="0.1574803149606299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4"/>
  <sheetViews>
    <sheetView zoomScaleSheetLayoutView="100" workbookViewId="0" topLeftCell="A1">
      <selection activeCell="B138" sqref="B138"/>
    </sheetView>
  </sheetViews>
  <sheetFormatPr defaultColWidth="9.00390625" defaultRowHeight="12.75"/>
  <cols>
    <col min="1" max="1" width="100.00390625" style="0" customWidth="1"/>
    <col min="2" max="3" width="10.75390625" style="0" customWidth="1"/>
    <col min="4" max="4" width="11.625" style="0" customWidth="1"/>
  </cols>
  <sheetData>
    <row r="1" spans="1:2" ht="12.75">
      <c r="A1" s="139" t="s">
        <v>432</v>
      </c>
      <c r="B1" s="116"/>
    </row>
    <row r="3" spans="1:4" ht="15.75">
      <c r="A3" s="728" t="s">
        <v>401</v>
      </c>
      <c r="B3" s="728"/>
      <c r="C3" s="646"/>
      <c r="D3" s="646"/>
    </row>
    <row r="4" spans="1:4" ht="15.75">
      <c r="A4" s="730" t="s">
        <v>402</v>
      </c>
      <c r="B4" s="730"/>
      <c r="C4" s="646"/>
      <c r="D4" s="646"/>
    </row>
    <row r="5" spans="1:2" ht="16.5" thickBot="1">
      <c r="A5" s="31"/>
      <c r="B5" s="116"/>
    </row>
    <row r="6" spans="1:4" s="163" customFormat="1" ht="13.5" thickTop="1">
      <c r="A6" s="162"/>
      <c r="B6" s="337" t="s">
        <v>490</v>
      </c>
      <c r="C6" s="356" t="s">
        <v>496</v>
      </c>
      <c r="D6" s="347" t="s">
        <v>85</v>
      </c>
    </row>
    <row r="7" spans="1:4" s="163" customFormat="1" ht="12.75">
      <c r="A7" s="164"/>
      <c r="B7" s="348"/>
      <c r="C7" s="471"/>
      <c r="D7" s="367"/>
    </row>
    <row r="8" spans="1:4" s="166" customFormat="1" ht="13.5">
      <c r="A8" s="165" t="s">
        <v>580</v>
      </c>
      <c r="B8" s="338">
        <f>SUM(B30+B41+B98+B121)</f>
        <v>4311281</v>
      </c>
      <c r="C8" s="338">
        <f>SUM(C30+C41+C98+C121)</f>
        <v>4148482</v>
      </c>
      <c r="D8" s="432">
        <f>SUM(D30+D41+D98+D121)</f>
        <v>4148817</v>
      </c>
    </row>
    <row r="9" spans="1:4" s="163" customFormat="1" ht="13.5">
      <c r="A9" s="167"/>
      <c r="B9" s="296"/>
      <c r="C9" s="339"/>
      <c r="D9" s="367"/>
    </row>
    <row r="10" spans="1:4" s="163" customFormat="1" ht="12.75">
      <c r="A10" s="168" t="s">
        <v>595</v>
      </c>
      <c r="B10" s="296"/>
      <c r="C10" s="339"/>
      <c r="D10" s="367"/>
    </row>
    <row r="11" spans="1:4" s="163" customFormat="1" ht="12.75">
      <c r="A11" s="169" t="s">
        <v>656</v>
      </c>
      <c r="B11" s="339">
        <v>15000</v>
      </c>
      <c r="C11" s="339">
        <v>0</v>
      </c>
      <c r="D11" s="367">
        <v>0</v>
      </c>
    </row>
    <row r="12" spans="1:4" s="163" customFormat="1" ht="12.75">
      <c r="A12" s="169" t="s">
        <v>657</v>
      </c>
      <c r="B12" s="339">
        <v>442625</v>
      </c>
      <c r="C12" s="339">
        <v>455096</v>
      </c>
      <c r="D12" s="367">
        <v>455507</v>
      </c>
    </row>
    <row r="13" spans="1:4" s="163" customFormat="1" ht="12.75">
      <c r="A13" s="169" t="s">
        <v>658</v>
      </c>
      <c r="B13" s="341">
        <v>534614</v>
      </c>
      <c r="C13" s="339">
        <v>523133</v>
      </c>
      <c r="D13" s="367">
        <v>523133</v>
      </c>
    </row>
    <row r="14" spans="1:4" s="163" customFormat="1" ht="12.75">
      <c r="A14" s="169" t="s">
        <v>659</v>
      </c>
      <c r="B14" s="341">
        <v>674000</v>
      </c>
      <c r="C14" s="339">
        <v>672026</v>
      </c>
      <c r="D14" s="367">
        <v>671186</v>
      </c>
    </row>
    <row r="15" spans="1:4" s="163" customFormat="1" ht="12.75">
      <c r="A15" s="169" t="s">
        <v>660</v>
      </c>
      <c r="B15" s="339">
        <v>85059</v>
      </c>
      <c r="C15" s="339">
        <v>85059</v>
      </c>
      <c r="D15" s="367">
        <v>83567</v>
      </c>
    </row>
    <row r="16" spans="1:4" s="163" customFormat="1" ht="12.75">
      <c r="A16" s="169" t="s">
        <v>661</v>
      </c>
      <c r="B16" s="339">
        <v>413856</v>
      </c>
      <c r="C16" s="339">
        <v>413856</v>
      </c>
      <c r="D16" s="367">
        <v>413856</v>
      </c>
    </row>
    <row r="17" spans="1:4" s="163" customFormat="1" ht="12.75">
      <c r="A17" s="169" t="s">
        <v>403</v>
      </c>
      <c r="B17" s="339">
        <v>125211</v>
      </c>
      <c r="C17" s="339">
        <v>125731</v>
      </c>
      <c r="D17" s="367">
        <v>125731</v>
      </c>
    </row>
    <row r="18" spans="1:4" s="163" customFormat="1" ht="12.75">
      <c r="A18" s="169" t="s">
        <v>662</v>
      </c>
      <c r="B18" s="339">
        <v>933000</v>
      </c>
      <c r="C18" s="339">
        <v>933000</v>
      </c>
      <c r="D18" s="367">
        <v>933000</v>
      </c>
    </row>
    <row r="19" spans="1:4" s="163" customFormat="1" ht="12.75">
      <c r="A19" s="169" t="s">
        <v>663</v>
      </c>
      <c r="B19" s="339">
        <v>418000</v>
      </c>
      <c r="C19" s="339">
        <v>4765</v>
      </c>
      <c r="D19" s="367">
        <v>4765</v>
      </c>
    </row>
    <row r="20" spans="1:4" s="163" customFormat="1" ht="12.75">
      <c r="A20" s="169" t="s">
        <v>664</v>
      </c>
      <c r="B20" s="339">
        <v>48954</v>
      </c>
      <c r="C20" s="339">
        <v>48954</v>
      </c>
      <c r="D20" s="367">
        <v>48954</v>
      </c>
    </row>
    <row r="21" spans="1:4" s="163" customFormat="1" ht="12.75">
      <c r="A21" s="169" t="s">
        <v>668</v>
      </c>
      <c r="B21" s="339">
        <v>220000</v>
      </c>
      <c r="C21" s="339">
        <v>220000</v>
      </c>
      <c r="D21" s="367">
        <v>220000</v>
      </c>
    </row>
    <row r="22" spans="1:4" s="163" customFormat="1" ht="12.75">
      <c r="A22" s="169" t="s">
        <v>665</v>
      </c>
      <c r="B22" s="339">
        <v>8875</v>
      </c>
      <c r="C22" s="339">
        <v>6750</v>
      </c>
      <c r="D22" s="367">
        <v>6750</v>
      </c>
    </row>
    <row r="23" spans="1:4" s="163" customFormat="1" ht="12.75">
      <c r="A23" s="169" t="s">
        <v>666</v>
      </c>
      <c r="B23" s="339">
        <v>1500</v>
      </c>
      <c r="C23" s="339">
        <v>1500</v>
      </c>
      <c r="D23" s="367">
        <v>1500</v>
      </c>
    </row>
    <row r="24" spans="1:4" s="163" customFormat="1" ht="12.75">
      <c r="A24" s="169" t="s">
        <v>667</v>
      </c>
      <c r="B24" s="339">
        <v>6250</v>
      </c>
      <c r="C24" s="339">
        <v>3625</v>
      </c>
      <c r="D24" s="367">
        <v>3625</v>
      </c>
    </row>
    <row r="25" spans="1:4" s="163" customFormat="1" ht="12.75">
      <c r="A25" s="169" t="s">
        <v>669</v>
      </c>
      <c r="B25" s="339">
        <v>1250</v>
      </c>
      <c r="C25" s="339">
        <v>500</v>
      </c>
      <c r="D25" s="367">
        <v>500</v>
      </c>
    </row>
    <row r="26" spans="1:4" s="163" customFormat="1" ht="12.75">
      <c r="A26" s="171" t="s">
        <v>672</v>
      </c>
      <c r="B26" s="339">
        <v>7000</v>
      </c>
      <c r="C26" s="339">
        <v>0</v>
      </c>
      <c r="D26" s="367">
        <v>0</v>
      </c>
    </row>
    <row r="27" spans="1:4" s="163" customFormat="1" ht="12.75">
      <c r="A27" s="169" t="s">
        <v>17</v>
      </c>
      <c r="B27" s="339">
        <v>15000</v>
      </c>
      <c r="C27" s="339">
        <v>15000</v>
      </c>
      <c r="D27" s="367">
        <v>15000</v>
      </c>
    </row>
    <row r="28" spans="1:4" s="163" customFormat="1" ht="12.75">
      <c r="A28" s="169" t="s">
        <v>811</v>
      </c>
      <c r="B28" s="339">
        <v>149993</v>
      </c>
      <c r="C28" s="339">
        <v>149993</v>
      </c>
      <c r="D28" s="367">
        <v>149993</v>
      </c>
    </row>
    <row r="29" spans="1:4" s="163" customFormat="1" ht="12.75">
      <c r="A29" s="169" t="s">
        <v>404</v>
      </c>
      <c r="B29" s="339"/>
      <c r="C29" s="339">
        <v>931</v>
      </c>
      <c r="D29" s="367">
        <v>931</v>
      </c>
    </row>
    <row r="30" spans="1:5" s="170" customFormat="1" ht="12.75">
      <c r="A30" s="168" t="s">
        <v>547</v>
      </c>
      <c r="B30" s="296">
        <f>SUM(B11:B28)</f>
        <v>4100187</v>
      </c>
      <c r="C30" s="340">
        <f>SUM(C11:C29)</f>
        <v>3659919</v>
      </c>
      <c r="D30" s="368">
        <f>SUM(D11:D29)</f>
        <v>3657998</v>
      </c>
      <c r="E30" s="182"/>
    </row>
    <row r="31" spans="1:5" s="170" customFormat="1" ht="12.75">
      <c r="A31" s="168"/>
      <c r="B31" s="296"/>
      <c r="C31" s="340"/>
      <c r="D31" s="368"/>
      <c r="E31" s="182"/>
    </row>
    <row r="32" spans="1:4" s="163" customFormat="1" ht="12.75">
      <c r="A32" s="169"/>
      <c r="B32" s="296"/>
      <c r="C32" s="339"/>
      <c r="D32" s="367"/>
    </row>
    <row r="33" spans="1:4" s="163" customFormat="1" ht="12.75">
      <c r="A33" s="168" t="s">
        <v>598</v>
      </c>
      <c r="B33" s="339"/>
      <c r="C33" s="339"/>
      <c r="D33" s="367"/>
    </row>
    <row r="34" spans="1:4" s="163" customFormat="1" ht="12.75">
      <c r="A34" s="171" t="s">
        <v>673</v>
      </c>
      <c r="B34" s="339">
        <v>4000</v>
      </c>
      <c r="C34" s="339">
        <v>4000</v>
      </c>
      <c r="D34" s="367">
        <v>4000</v>
      </c>
    </row>
    <row r="35" spans="1:4" s="163" customFormat="1" ht="12.75">
      <c r="A35" s="171" t="s">
        <v>674</v>
      </c>
      <c r="B35" s="339">
        <v>6250</v>
      </c>
      <c r="C35" s="339">
        <v>0</v>
      </c>
      <c r="D35" s="367">
        <v>0</v>
      </c>
    </row>
    <row r="36" spans="1:4" s="163" customFormat="1" ht="12.75">
      <c r="A36" s="171" t="s">
        <v>675</v>
      </c>
      <c r="B36" s="339">
        <v>625</v>
      </c>
      <c r="C36" s="339">
        <v>625</v>
      </c>
      <c r="D36" s="367">
        <v>625</v>
      </c>
    </row>
    <row r="37" spans="1:4" s="163" customFormat="1" ht="12.75">
      <c r="A37" s="171" t="s">
        <v>676</v>
      </c>
      <c r="B37" s="339">
        <v>21738</v>
      </c>
      <c r="C37" s="339">
        <v>5235</v>
      </c>
      <c r="D37" s="367">
        <v>5235</v>
      </c>
    </row>
    <row r="38" spans="1:4" s="163" customFormat="1" ht="12.75">
      <c r="A38" s="171" t="s">
        <v>677</v>
      </c>
      <c r="B38" s="339">
        <v>3500</v>
      </c>
      <c r="C38" s="339">
        <v>0</v>
      </c>
      <c r="D38" s="367">
        <v>0</v>
      </c>
    </row>
    <row r="39" spans="1:4" s="163" customFormat="1" ht="12.75">
      <c r="A39" s="171" t="s">
        <v>678</v>
      </c>
      <c r="B39" s="339">
        <v>795</v>
      </c>
      <c r="C39" s="339">
        <v>795</v>
      </c>
      <c r="D39" s="367">
        <v>795</v>
      </c>
    </row>
    <row r="40" spans="1:4" s="163" customFormat="1" ht="12.75">
      <c r="A40" s="171" t="s">
        <v>405</v>
      </c>
      <c r="B40" s="339">
        <v>5000</v>
      </c>
      <c r="C40" s="339">
        <v>6200</v>
      </c>
      <c r="D40" s="367">
        <v>6200</v>
      </c>
    </row>
    <row r="41" spans="1:4" s="170" customFormat="1" ht="12.75">
      <c r="A41" s="172" t="s">
        <v>547</v>
      </c>
      <c r="B41" s="340">
        <f>SUM(B34:B40)</f>
        <v>41908</v>
      </c>
      <c r="C41" s="340">
        <f>SUM(C34:C40)</f>
        <v>16855</v>
      </c>
      <c r="D41" s="368">
        <f>SUM(D34:D40)</f>
        <v>16855</v>
      </c>
    </row>
    <row r="42" spans="1:4" s="170" customFormat="1" ht="12.75">
      <c r="A42" s="172"/>
      <c r="B42" s="340"/>
      <c r="C42" s="340"/>
      <c r="D42" s="368"/>
    </row>
    <row r="43" spans="1:4" s="163" customFormat="1" ht="12.75">
      <c r="A43" s="169"/>
      <c r="B43" s="339"/>
      <c r="C43" s="339"/>
      <c r="D43" s="367"/>
    </row>
    <row r="44" spans="1:4" s="163" customFormat="1" ht="12.75">
      <c r="A44" s="168" t="s">
        <v>679</v>
      </c>
      <c r="B44" s="339"/>
      <c r="C44" s="339"/>
      <c r="D44" s="367"/>
    </row>
    <row r="45" spans="1:4" s="163" customFormat="1" ht="12.75">
      <c r="A45" s="169" t="s">
        <v>230</v>
      </c>
      <c r="B45" s="339">
        <v>500</v>
      </c>
      <c r="C45" s="339">
        <v>500</v>
      </c>
      <c r="D45" s="367">
        <v>500</v>
      </c>
    </row>
    <row r="46" spans="1:4" s="163" customFormat="1" ht="12.75">
      <c r="A46" s="171" t="s">
        <v>231</v>
      </c>
      <c r="B46" s="339">
        <v>625</v>
      </c>
      <c r="C46" s="339">
        <f>B46+275</f>
        <v>900</v>
      </c>
      <c r="D46" s="367">
        <v>900</v>
      </c>
    </row>
    <row r="47" spans="1:4" s="163" customFormat="1" ht="12.75">
      <c r="A47" s="171" t="s">
        <v>232</v>
      </c>
      <c r="B47" s="339">
        <v>43094</v>
      </c>
      <c r="C47" s="339">
        <v>57093</v>
      </c>
      <c r="D47" s="367">
        <v>59656</v>
      </c>
    </row>
    <row r="48" spans="1:4" s="163" customFormat="1" ht="12.75">
      <c r="A48" s="169" t="s">
        <v>233</v>
      </c>
      <c r="B48" s="339">
        <v>20000</v>
      </c>
      <c r="C48" s="339">
        <v>4591</v>
      </c>
      <c r="D48" s="367">
        <v>1165</v>
      </c>
    </row>
    <row r="49" spans="1:4" s="163" customFormat="1" ht="12.75">
      <c r="A49" s="169" t="s">
        <v>234</v>
      </c>
      <c r="B49" s="339">
        <v>2500</v>
      </c>
      <c r="C49" s="339">
        <v>2500</v>
      </c>
      <c r="D49" s="367">
        <v>2500</v>
      </c>
    </row>
    <row r="50" spans="1:4" s="163" customFormat="1" ht="12.75">
      <c r="A50" s="169" t="s">
        <v>235</v>
      </c>
      <c r="B50" s="339">
        <v>3000</v>
      </c>
      <c r="C50" s="339">
        <v>3000</v>
      </c>
      <c r="D50" s="367">
        <v>3000</v>
      </c>
    </row>
    <row r="51" spans="1:4" s="163" customFormat="1" ht="12.75">
      <c r="A51" s="169" t="s">
        <v>236</v>
      </c>
      <c r="B51" s="339">
        <v>800</v>
      </c>
      <c r="C51" s="339">
        <v>800</v>
      </c>
      <c r="D51" s="367">
        <v>800</v>
      </c>
    </row>
    <row r="52" spans="1:4" s="163" customFormat="1" ht="12.75">
      <c r="A52" s="169" t="s">
        <v>237</v>
      </c>
      <c r="B52" s="339">
        <v>300</v>
      </c>
      <c r="C52" s="339">
        <v>300</v>
      </c>
      <c r="D52" s="367">
        <v>300</v>
      </c>
    </row>
    <row r="53" spans="1:4" s="163" customFormat="1" ht="12.75">
      <c r="A53" s="169" t="s">
        <v>238</v>
      </c>
      <c r="B53" s="339">
        <v>125</v>
      </c>
      <c r="C53" s="339">
        <v>125</v>
      </c>
      <c r="D53" s="367">
        <v>125</v>
      </c>
    </row>
    <row r="54" spans="1:4" s="163" customFormat="1" ht="12.75">
      <c r="A54" s="169" t="s">
        <v>239</v>
      </c>
      <c r="B54" s="339">
        <v>800</v>
      </c>
      <c r="C54" s="339">
        <v>800</v>
      </c>
      <c r="D54" s="367">
        <v>800</v>
      </c>
    </row>
    <row r="55" spans="1:4" s="163" customFormat="1" ht="12.75">
      <c r="A55" s="169" t="s">
        <v>240</v>
      </c>
      <c r="B55" s="339">
        <v>750</v>
      </c>
      <c r="C55" s="339">
        <v>750</v>
      </c>
      <c r="D55" s="367">
        <v>750</v>
      </c>
    </row>
    <row r="56" spans="1:4" s="163" customFormat="1" ht="12.75">
      <c r="A56" s="164" t="s">
        <v>241</v>
      </c>
      <c r="B56" s="341">
        <v>1000</v>
      </c>
      <c r="C56" s="339">
        <v>1000</v>
      </c>
      <c r="D56" s="367">
        <v>1000</v>
      </c>
    </row>
    <row r="57" spans="1:4" s="163" customFormat="1" ht="12.75">
      <c r="A57" s="169" t="s">
        <v>242</v>
      </c>
      <c r="B57" s="339">
        <v>1000</v>
      </c>
      <c r="C57" s="339">
        <v>1000</v>
      </c>
      <c r="D57" s="367">
        <v>1000</v>
      </c>
    </row>
    <row r="58" spans="1:4" s="163" customFormat="1" ht="12.75">
      <c r="A58" s="169" t="s">
        <v>243</v>
      </c>
      <c r="B58" s="339">
        <v>5000</v>
      </c>
      <c r="C58" s="339">
        <v>6000</v>
      </c>
      <c r="D58" s="367">
        <v>6000</v>
      </c>
    </row>
    <row r="59" spans="1:4" s="163" customFormat="1" ht="12.75">
      <c r="A59" s="169" t="s">
        <v>244</v>
      </c>
      <c r="B59" s="339">
        <v>300</v>
      </c>
      <c r="C59" s="339">
        <v>300</v>
      </c>
      <c r="D59" s="367">
        <v>300</v>
      </c>
    </row>
    <row r="60" spans="1:4" s="163" customFormat="1" ht="12.75">
      <c r="A60" s="173" t="s">
        <v>245</v>
      </c>
      <c r="B60" s="343">
        <v>400</v>
      </c>
      <c r="C60" s="339">
        <v>400</v>
      </c>
      <c r="D60" s="367">
        <v>400</v>
      </c>
    </row>
    <row r="61" spans="1:4" s="163" customFormat="1" ht="12.75">
      <c r="A61" s="173" t="s">
        <v>246</v>
      </c>
      <c r="B61" s="343">
        <v>375</v>
      </c>
      <c r="C61" s="339">
        <v>375</v>
      </c>
      <c r="D61" s="367">
        <v>375</v>
      </c>
    </row>
    <row r="62" spans="1:4" s="163" customFormat="1" ht="12.75">
      <c r="A62" s="173" t="s">
        <v>247</v>
      </c>
      <c r="B62" s="343">
        <v>3000</v>
      </c>
      <c r="C62" s="339">
        <f>3000+2500</f>
        <v>5500</v>
      </c>
      <c r="D62" s="367">
        <v>5500</v>
      </c>
    </row>
    <row r="63" spans="1:4" s="163" customFormat="1" ht="12.75">
      <c r="A63" s="173" t="s">
        <v>248</v>
      </c>
      <c r="B63" s="343">
        <v>20367</v>
      </c>
      <c r="C63" s="339">
        <v>20367</v>
      </c>
      <c r="D63" s="367">
        <v>20367</v>
      </c>
    </row>
    <row r="64" spans="1:4" s="163" customFormat="1" ht="12.75">
      <c r="A64" s="173" t="s">
        <v>249</v>
      </c>
      <c r="B64" s="343">
        <v>1500</v>
      </c>
      <c r="C64" s="339">
        <v>1500</v>
      </c>
      <c r="D64" s="367">
        <v>1500</v>
      </c>
    </row>
    <row r="65" spans="1:4" s="163" customFormat="1" ht="12.75">
      <c r="A65" s="173" t="s">
        <v>61</v>
      </c>
      <c r="B65" s="343"/>
      <c r="C65" s="339">
        <v>7000</v>
      </c>
      <c r="D65" s="367">
        <v>7000</v>
      </c>
    </row>
    <row r="66" spans="1:4" s="163" customFormat="1" ht="12.75">
      <c r="A66" s="173" t="s">
        <v>62</v>
      </c>
      <c r="B66" s="343"/>
      <c r="C66" s="339">
        <v>14000</v>
      </c>
      <c r="D66" s="367">
        <v>14000</v>
      </c>
    </row>
    <row r="67" spans="1:4" s="163" customFormat="1" ht="12.75">
      <c r="A67" s="173" t="s">
        <v>106</v>
      </c>
      <c r="B67" s="343"/>
      <c r="C67" s="339">
        <v>10000</v>
      </c>
      <c r="D67" s="367">
        <v>10000</v>
      </c>
    </row>
    <row r="68" spans="1:4" s="163" customFormat="1" ht="12.75">
      <c r="A68" s="173" t="s">
        <v>63</v>
      </c>
      <c r="B68" s="343"/>
      <c r="C68" s="339">
        <v>4260</v>
      </c>
      <c r="D68" s="367">
        <v>4260</v>
      </c>
    </row>
    <row r="69" spans="1:4" s="163" customFormat="1" ht="12.75">
      <c r="A69" s="173" t="s">
        <v>64</v>
      </c>
      <c r="B69" s="343"/>
      <c r="C69" s="339">
        <v>15000</v>
      </c>
      <c r="D69" s="367">
        <v>15000</v>
      </c>
    </row>
    <row r="70" spans="1:4" s="163" customFormat="1" ht="12.75">
      <c r="A70" s="173" t="s">
        <v>65</v>
      </c>
      <c r="B70" s="343"/>
      <c r="C70" s="339"/>
      <c r="D70" s="367"/>
    </row>
    <row r="71" spans="1:4" s="163" customFormat="1" ht="12.75">
      <c r="A71" s="173" t="s">
        <v>66</v>
      </c>
      <c r="B71" s="343"/>
      <c r="C71" s="339">
        <v>11101</v>
      </c>
      <c r="D71" s="367">
        <v>11101</v>
      </c>
    </row>
    <row r="72" spans="1:4" s="163" customFormat="1" ht="12.75">
      <c r="A72" s="173" t="s">
        <v>67</v>
      </c>
      <c r="B72" s="343"/>
      <c r="C72" s="339">
        <v>5766</v>
      </c>
      <c r="D72" s="367">
        <v>5766</v>
      </c>
    </row>
    <row r="73" spans="1:4" s="163" customFormat="1" ht="12.75">
      <c r="A73" s="173" t="s">
        <v>105</v>
      </c>
      <c r="B73" s="343"/>
      <c r="C73" s="339">
        <v>1873</v>
      </c>
      <c r="D73" s="367">
        <v>1873</v>
      </c>
    </row>
    <row r="74" spans="1:4" s="163" customFormat="1" ht="12.75">
      <c r="A74" s="173" t="s">
        <v>68</v>
      </c>
      <c r="B74" s="343"/>
      <c r="C74" s="339">
        <v>9250</v>
      </c>
      <c r="D74" s="367">
        <v>9250</v>
      </c>
    </row>
    <row r="75" spans="1:4" s="163" customFormat="1" ht="12.75">
      <c r="A75" s="173" t="s">
        <v>87</v>
      </c>
      <c r="B75" s="343"/>
      <c r="C75" s="343">
        <v>100</v>
      </c>
      <c r="D75" s="367">
        <v>100</v>
      </c>
    </row>
    <row r="76" spans="1:4" s="163" customFormat="1" ht="12.75">
      <c r="A76" s="173" t="s">
        <v>160</v>
      </c>
      <c r="B76" s="343"/>
      <c r="C76" s="343">
        <v>305</v>
      </c>
      <c r="D76" s="435">
        <v>305</v>
      </c>
    </row>
    <row r="77" spans="1:4" s="163" customFormat="1" ht="12.75">
      <c r="A77" s="173" t="s">
        <v>161</v>
      </c>
      <c r="B77" s="343"/>
      <c r="C77" s="343">
        <v>353</v>
      </c>
      <c r="D77" s="435">
        <v>353</v>
      </c>
    </row>
    <row r="78" spans="1:4" s="163" customFormat="1" ht="13.5" thickBot="1">
      <c r="A78" s="472" t="s">
        <v>162</v>
      </c>
      <c r="B78" s="473"/>
      <c r="C78" s="473">
        <v>2000</v>
      </c>
      <c r="D78" s="474">
        <v>2000</v>
      </c>
    </row>
    <row r="79" spans="1:4" s="163" customFormat="1" ht="13.5" thickTop="1">
      <c r="A79" s="162"/>
      <c r="B79" s="337" t="s">
        <v>490</v>
      </c>
      <c r="C79" s="356" t="s">
        <v>496</v>
      </c>
      <c r="D79" s="347" t="s">
        <v>85</v>
      </c>
    </row>
    <row r="80" spans="1:4" s="163" customFormat="1" ht="12.75">
      <c r="A80" s="173" t="s">
        <v>163</v>
      </c>
      <c r="B80" s="343"/>
      <c r="C80" s="343"/>
      <c r="D80" s="435"/>
    </row>
    <row r="81" spans="1:4" s="163" customFormat="1" ht="12.75">
      <c r="A81" s="173" t="s">
        <v>164</v>
      </c>
      <c r="B81" s="343"/>
      <c r="C81" s="343">
        <v>1000</v>
      </c>
      <c r="D81" s="435">
        <v>1000</v>
      </c>
    </row>
    <row r="82" spans="1:4" s="163" customFormat="1" ht="12.75">
      <c r="A82" s="173" t="s">
        <v>165</v>
      </c>
      <c r="B82" s="343"/>
      <c r="C82" s="343">
        <v>1000</v>
      </c>
      <c r="D82" s="435">
        <v>1000</v>
      </c>
    </row>
    <row r="83" spans="1:4" s="163" customFormat="1" ht="12.75">
      <c r="A83" s="173" t="s">
        <v>166</v>
      </c>
      <c r="B83" s="343"/>
      <c r="C83" s="343">
        <v>1000</v>
      </c>
      <c r="D83" s="435">
        <v>1000</v>
      </c>
    </row>
    <row r="84" spans="1:4" s="163" customFormat="1" ht="12.75">
      <c r="A84" s="173" t="s">
        <v>167</v>
      </c>
      <c r="B84" s="343"/>
      <c r="C84" s="343">
        <v>1500</v>
      </c>
      <c r="D84" s="435">
        <v>1500</v>
      </c>
    </row>
    <row r="85" spans="1:4" s="163" customFormat="1" ht="12.75">
      <c r="A85" s="173" t="s">
        <v>168</v>
      </c>
      <c r="B85" s="343"/>
      <c r="C85" s="343">
        <v>300</v>
      </c>
      <c r="D85" s="435">
        <v>300</v>
      </c>
    </row>
    <row r="86" spans="1:4" s="163" customFormat="1" ht="12.75">
      <c r="A86" s="173" t="s">
        <v>169</v>
      </c>
      <c r="B86" s="343"/>
      <c r="C86" s="343">
        <v>795</v>
      </c>
      <c r="D86" s="435">
        <v>795</v>
      </c>
    </row>
    <row r="87" spans="1:4" s="163" customFormat="1" ht="12.75">
      <c r="A87" s="173" t="s">
        <v>170</v>
      </c>
      <c r="B87" s="343"/>
      <c r="C87" s="343">
        <v>1000</v>
      </c>
      <c r="D87" s="435">
        <v>1000</v>
      </c>
    </row>
    <row r="88" spans="1:4" s="163" customFormat="1" ht="12.75">
      <c r="A88" s="173" t="s">
        <v>171</v>
      </c>
      <c r="B88" s="343"/>
      <c r="C88" s="343">
        <v>132</v>
      </c>
      <c r="D88" s="435">
        <v>132</v>
      </c>
    </row>
    <row r="89" spans="1:4" s="163" customFormat="1" ht="12.75">
      <c r="A89" s="173" t="s">
        <v>172</v>
      </c>
      <c r="B89" s="343"/>
      <c r="C89" s="343">
        <v>1200</v>
      </c>
      <c r="D89" s="435">
        <v>1200</v>
      </c>
    </row>
    <row r="90" spans="1:4" s="163" customFormat="1" ht="12.75">
      <c r="A90" s="173" t="s">
        <v>406</v>
      </c>
      <c r="B90" s="343"/>
      <c r="C90" s="343">
        <v>530</v>
      </c>
      <c r="D90" s="435">
        <v>530</v>
      </c>
    </row>
    <row r="91" spans="1:4" s="163" customFormat="1" ht="12.75">
      <c r="A91" s="173" t="s">
        <v>407</v>
      </c>
      <c r="B91" s="343"/>
      <c r="C91" s="343">
        <v>2750</v>
      </c>
      <c r="D91" s="435">
        <v>2750</v>
      </c>
    </row>
    <row r="92" spans="1:4" s="163" customFormat="1" ht="12.75">
      <c r="A92" s="173" t="s">
        <v>408</v>
      </c>
      <c r="B92" s="343"/>
      <c r="C92" s="343">
        <v>857</v>
      </c>
      <c r="D92" s="435">
        <v>857</v>
      </c>
    </row>
    <row r="93" spans="1:4" s="163" customFormat="1" ht="12.75">
      <c r="A93" s="173" t="s">
        <v>409</v>
      </c>
      <c r="B93" s="343"/>
      <c r="C93" s="343">
        <v>111</v>
      </c>
      <c r="D93" s="435">
        <v>111</v>
      </c>
    </row>
    <row r="94" spans="1:4" s="163" customFormat="1" ht="12.75">
      <c r="A94" s="173" t="s">
        <v>410</v>
      </c>
      <c r="B94" s="343"/>
      <c r="C94" s="343">
        <v>1845</v>
      </c>
      <c r="D94" s="435">
        <v>1845</v>
      </c>
    </row>
    <row r="95" spans="1:4" s="163" customFormat="1" ht="12.75">
      <c r="A95" s="173" t="s">
        <v>754</v>
      </c>
      <c r="B95" s="343"/>
      <c r="C95" s="343"/>
      <c r="D95" s="435">
        <v>275</v>
      </c>
    </row>
    <row r="96" spans="1:4" s="163" customFormat="1" ht="12.75">
      <c r="A96" s="173" t="s">
        <v>755</v>
      </c>
      <c r="B96" s="343"/>
      <c r="C96" s="343"/>
      <c r="D96" s="435">
        <v>2041</v>
      </c>
    </row>
    <row r="97" spans="1:4" s="163" customFormat="1" ht="12.75">
      <c r="A97" s="173" t="s">
        <v>756</v>
      </c>
      <c r="B97" s="343"/>
      <c r="C97" s="343"/>
      <c r="D97" s="435">
        <v>149</v>
      </c>
    </row>
    <row r="98" spans="1:4" s="163" customFormat="1" ht="12.75">
      <c r="A98" s="475" t="s">
        <v>547</v>
      </c>
      <c r="B98" s="476">
        <f>SUM(B45:B94)</f>
        <v>105436</v>
      </c>
      <c r="C98" s="476">
        <f>SUM(C45:C94)</f>
        <v>202829</v>
      </c>
      <c r="D98" s="436">
        <f>SUM(D45:D97)</f>
        <v>204431</v>
      </c>
    </row>
    <row r="99" spans="1:4" s="163" customFormat="1" ht="12.75">
      <c r="A99" s="475"/>
      <c r="B99" s="476"/>
      <c r="C99" s="476"/>
      <c r="D99" s="477"/>
    </row>
    <row r="100" spans="1:4" s="163" customFormat="1" ht="12.75">
      <c r="A100" s="168" t="s">
        <v>253</v>
      </c>
      <c r="B100" s="348"/>
      <c r="C100" s="339"/>
      <c r="D100" s="367"/>
    </row>
    <row r="101" spans="1:4" s="163" customFormat="1" ht="12.75">
      <c r="A101" s="169" t="s">
        <v>250</v>
      </c>
      <c r="B101" s="339">
        <v>15000</v>
      </c>
      <c r="C101" s="339">
        <v>5412</v>
      </c>
      <c r="D101" s="367">
        <v>6066</v>
      </c>
    </row>
    <row r="102" spans="1:4" s="163" customFormat="1" ht="12.75">
      <c r="A102" s="169" t="s">
        <v>812</v>
      </c>
      <c r="B102" s="339"/>
      <c r="C102" s="339"/>
      <c r="D102" s="367"/>
    </row>
    <row r="103" spans="1:4" s="163" customFormat="1" ht="12.75">
      <c r="A103" s="169" t="s">
        <v>813</v>
      </c>
      <c r="B103" s="339">
        <v>7500</v>
      </c>
      <c r="C103" s="339">
        <v>7500</v>
      </c>
      <c r="D103" s="367">
        <v>7500</v>
      </c>
    </row>
    <row r="104" spans="1:4" s="163" customFormat="1" ht="12.75">
      <c r="A104" s="169" t="s">
        <v>814</v>
      </c>
      <c r="B104" s="339">
        <v>5000</v>
      </c>
      <c r="C104" s="339">
        <v>5000</v>
      </c>
      <c r="D104" s="367">
        <v>5000</v>
      </c>
    </row>
    <row r="105" spans="1:4" s="163" customFormat="1" ht="12.75">
      <c r="A105" s="169" t="s">
        <v>815</v>
      </c>
      <c r="B105" s="339">
        <v>30000</v>
      </c>
      <c r="C105" s="339">
        <v>22849</v>
      </c>
      <c r="D105" s="367">
        <v>22849</v>
      </c>
    </row>
    <row r="106" spans="1:4" s="163" customFormat="1" ht="12.75">
      <c r="A106" s="169" t="s">
        <v>816</v>
      </c>
      <c r="B106" s="339">
        <v>6250</v>
      </c>
      <c r="C106" s="339">
        <v>3750</v>
      </c>
      <c r="D106" s="367">
        <v>3750</v>
      </c>
    </row>
    <row r="107" spans="1:4" s="163" customFormat="1" ht="25.5">
      <c r="A107" s="179" t="s">
        <v>173</v>
      </c>
      <c r="B107" s="339"/>
      <c r="C107" s="339">
        <v>17600</v>
      </c>
      <c r="D107" s="367">
        <v>17600</v>
      </c>
    </row>
    <row r="108" spans="1:4" s="163" customFormat="1" ht="12.75">
      <c r="A108" s="169" t="s">
        <v>69</v>
      </c>
      <c r="B108" s="339"/>
      <c r="C108" s="339">
        <v>3156</v>
      </c>
      <c r="D108" s="367">
        <v>3156</v>
      </c>
    </row>
    <row r="109" spans="1:4" s="163" customFormat="1" ht="12.75">
      <c r="A109" s="169" t="s">
        <v>70</v>
      </c>
      <c r="B109" s="339"/>
      <c r="C109" s="339">
        <v>100000</v>
      </c>
      <c r="D109" s="367">
        <v>100000</v>
      </c>
    </row>
    <row r="110" spans="1:4" s="163" customFormat="1" ht="12.75">
      <c r="A110" s="169" t="s">
        <v>104</v>
      </c>
      <c r="B110" s="339"/>
      <c r="C110" s="339">
        <v>3308</v>
      </c>
      <c r="D110" s="367">
        <v>3308</v>
      </c>
    </row>
    <row r="111" spans="1:4" s="163" customFormat="1" ht="12.75">
      <c r="A111" s="169" t="s">
        <v>174</v>
      </c>
      <c r="B111" s="339"/>
      <c r="C111" s="339">
        <v>36865</v>
      </c>
      <c r="D111" s="367">
        <v>36865</v>
      </c>
    </row>
    <row r="112" spans="1:4" s="163" customFormat="1" ht="12.75">
      <c r="A112" s="169" t="s">
        <v>175</v>
      </c>
      <c r="B112" s="339"/>
      <c r="C112" s="339">
        <v>15610</v>
      </c>
      <c r="D112" s="367">
        <v>15610</v>
      </c>
    </row>
    <row r="113" spans="1:4" s="163" customFormat="1" ht="12.75">
      <c r="A113" s="169" t="s">
        <v>176</v>
      </c>
      <c r="B113" s="339"/>
      <c r="C113" s="339">
        <v>8000</v>
      </c>
      <c r="D113" s="367">
        <v>8000</v>
      </c>
    </row>
    <row r="114" spans="1:4" s="163" customFormat="1" ht="12.75">
      <c r="A114" s="169" t="s">
        <v>177</v>
      </c>
      <c r="B114" s="339"/>
      <c r="C114" s="339">
        <v>5795</v>
      </c>
      <c r="D114" s="367">
        <v>5795</v>
      </c>
    </row>
    <row r="115" spans="1:4" s="163" customFormat="1" ht="12.75">
      <c r="A115" s="169" t="s">
        <v>178</v>
      </c>
      <c r="B115" s="339"/>
      <c r="C115" s="339">
        <v>1356</v>
      </c>
      <c r="D115" s="367">
        <v>1356</v>
      </c>
    </row>
    <row r="116" spans="1:4" s="163" customFormat="1" ht="12.75">
      <c r="A116" s="169" t="s">
        <v>179</v>
      </c>
      <c r="B116" s="339"/>
      <c r="C116" s="339">
        <v>2529</v>
      </c>
      <c r="D116" s="367">
        <v>2529</v>
      </c>
    </row>
    <row r="117" spans="1:4" s="163" customFormat="1" ht="12.75">
      <c r="A117" s="169" t="s">
        <v>180</v>
      </c>
      <c r="B117" s="339"/>
      <c r="C117" s="339">
        <v>581</v>
      </c>
      <c r="D117" s="367">
        <v>581</v>
      </c>
    </row>
    <row r="118" spans="1:4" s="163" customFormat="1" ht="12.75">
      <c r="A118" s="169" t="s">
        <v>411</v>
      </c>
      <c r="B118" s="339"/>
      <c r="C118" s="339">
        <v>3500</v>
      </c>
      <c r="D118" s="367">
        <v>3500</v>
      </c>
    </row>
    <row r="119" spans="1:4" s="163" customFormat="1" ht="12.75">
      <c r="A119" s="169" t="s">
        <v>412</v>
      </c>
      <c r="B119" s="339"/>
      <c r="C119" s="339">
        <v>9068</v>
      </c>
      <c r="D119" s="367">
        <v>9068</v>
      </c>
    </row>
    <row r="120" spans="1:4" s="163" customFormat="1" ht="12.75">
      <c r="A120" s="169" t="s">
        <v>413</v>
      </c>
      <c r="B120" s="339"/>
      <c r="C120" s="339">
        <v>17000</v>
      </c>
      <c r="D120" s="367">
        <v>17000</v>
      </c>
    </row>
    <row r="121" spans="1:4" s="170" customFormat="1" ht="12.75">
      <c r="A121" s="174" t="s">
        <v>547</v>
      </c>
      <c r="B121" s="296">
        <f>SUM(B101:B120)</f>
        <v>63750</v>
      </c>
      <c r="C121" s="296">
        <f>SUM(C101:C120)</f>
        <v>268879</v>
      </c>
      <c r="D121" s="436">
        <f>SUM(D101:D120)</f>
        <v>269533</v>
      </c>
    </row>
    <row r="122" spans="1:4" s="163" customFormat="1" ht="12.75">
      <c r="A122" s="164"/>
      <c r="B122" s="341"/>
      <c r="C122" s="339"/>
      <c r="D122" s="367"/>
    </row>
    <row r="123" spans="1:4" s="176" customFormat="1" ht="13.5">
      <c r="A123" s="175" t="s">
        <v>488</v>
      </c>
      <c r="B123" s="344">
        <f>SUM(B124:B124)</f>
        <v>0</v>
      </c>
      <c r="C123" s="344">
        <f>SUM(C124:C124)</f>
        <v>6225</v>
      </c>
      <c r="D123" s="433">
        <f>SUM(D124:D124)</f>
        <v>6325</v>
      </c>
    </row>
    <row r="124" spans="1:4" s="163" customFormat="1" ht="12.75">
      <c r="A124" s="169" t="s">
        <v>71</v>
      </c>
      <c r="B124" s="339">
        <v>0</v>
      </c>
      <c r="C124" s="339">
        <v>6225</v>
      </c>
      <c r="D124" s="367">
        <v>6325</v>
      </c>
    </row>
    <row r="125" spans="1:4" s="163" customFormat="1" ht="12.75">
      <c r="A125" s="169"/>
      <c r="B125" s="339"/>
      <c r="C125" s="339"/>
      <c r="D125" s="367"/>
    </row>
    <row r="126" spans="1:4" s="177" customFormat="1" ht="13.5">
      <c r="A126" s="175" t="s">
        <v>502</v>
      </c>
      <c r="B126" s="338">
        <f>SUM(B127:B133)</f>
        <v>2400</v>
      </c>
      <c r="C126" s="338">
        <f>SUM(C127:C133)</f>
        <v>14212</v>
      </c>
      <c r="D126" s="432">
        <f>SUM(D127:D133)</f>
        <v>15749</v>
      </c>
    </row>
    <row r="127" spans="1:4" s="163" customFormat="1" ht="12.75">
      <c r="A127" s="169" t="s">
        <v>181</v>
      </c>
      <c r="B127" s="339">
        <v>2400</v>
      </c>
      <c r="C127" s="339">
        <v>2642</v>
      </c>
      <c r="D127" s="367">
        <v>2400</v>
      </c>
    </row>
    <row r="128" spans="1:4" s="163" customFormat="1" ht="12.75">
      <c r="A128" s="173" t="s">
        <v>72</v>
      </c>
      <c r="B128" s="343"/>
      <c r="C128" s="339">
        <v>668</v>
      </c>
      <c r="D128" s="367">
        <v>668</v>
      </c>
    </row>
    <row r="129" spans="1:4" s="163" customFormat="1" ht="12.75">
      <c r="A129" s="173" t="s">
        <v>73</v>
      </c>
      <c r="B129" s="343"/>
      <c r="C129" s="339">
        <v>750</v>
      </c>
      <c r="D129" s="367">
        <v>750</v>
      </c>
    </row>
    <row r="130" spans="1:4" s="163" customFormat="1" ht="12.75">
      <c r="A130" s="173" t="s">
        <v>74</v>
      </c>
      <c r="B130" s="343"/>
      <c r="C130" s="339">
        <v>2952</v>
      </c>
      <c r="D130" s="367">
        <v>4731</v>
      </c>
    </row>
    <row r="131" spans="1:4" s="163" customFormat="1" ht="12.75">
      <c r="A131" s="173" t="s">
        <v>182</v>
      </c>
      <c r="B131" s="343"/>
      <c r="C131" s="339">
        <v>5250</v>
      </c>
      <c r="D131" s="367">
        <v>5250</v>
      </c>
    </row>
    <row r="132" spans="1:4" s="163" customFormat="1" ht="12.75">
      <c r="A132" s="173" t="s">
        <v>183</v>
      </c>
      <c r="B132" s="343"/>
      <c r="C132" s="339">
        <v>1600</v>
      </c>
      <c r="D132" s="367">
        <v>1600</v>
      </c>
    </row>
    <row r="133" spans="1:4" s="163" customFormat="1" ht="12.75">
      <c r="A133" s="173" t="s">
        <v>184</v>
      </c>
      <c r="B133" s="343"/>
      <c r="C133" s="339">
        <v>350</v>
      </c>
      <c r="D133" s="367">
        <v>350</v>
      </c>
    </row>
    <row r="134" spans="1:4" s="163" customFormat="1" ht="12.75">
      <c r="A134" s="173"/>
      <c r="B134" s="343"/>
      <c r="C134" s="339"/>
      <c r="D134" s="367"/>
    </row>
    <row r="135" spans="1:4" s="160" customFormat="1" ht="14.25" thickBot="1">
      <c r="A135" s="178" t="s">
        <v>503</v>
      </c>
      <c r="B135" s="349">
        <f>SUM(B8+B123+B126)</f>
        <v>4313681</v>
      </c>
      <c r="C135" s="349">
        <f>SUM(C8+C123+C126)</f>
        <v>4168919</v>
      </c>
      <c r="D135" s="370">
        <f>SUM(D8+D123+D126)</f>
        <v>4170891</v>
      </c>
    </row>
    <row r="136" s="163" customFormat="1" ht="13.5" thickTop="1">
      <c r="C136" s="369"/>
    </row>
    <row r="137" s="163" customFormat="1" ht="12.75">
      <c r="C137" s="369"/>
    </row>
    <row r="138" s="163" customFormat="1" ht="12.75">
      <c r="C138" s="369"/>
    </row>
    <row r="139" s="163" customFormat="1" ht="12.75">
      <c r="C139" s="369"/>
    </row>
    <row r="140" s="163" customFormat="1" ht="12.75">
      <c r="C140" s="369"/>
    </row>
    <row r="141" s="163" customFormat="1" ht="12.75">
      <c r="C141" s="369"/>
    </row>
    <row r="142" s="163" customFormat="1" ht="12.75">
      <c r="C142" s="369"/>
    </row>
    <row r="143" s="163" customFormat="1" ht="12.75">
      <c r="C143" s="369"/>
    </row>
    <row r="144" s="163" customFormat="1" ht="12.75">
      <c r="C144" s="369"/>
    </row>
    <row r="145" s="163" customFormat="1" ht="12.75">
      <c r="C145" s="369"/>
    </row>
    <row r="146" s="163" customFormat="1" ht="12.75">
      <c r="C146" s="369"/>
    </row>
    <row r="147" s="163" customFormat="1" ht="12.75">
      <c r="C147" s="369"/>
    </row>
    <row r="148" s="163" customFormat="1" ht="12.75">
      <c r="C148" s="369"/>
    </row>
    <row r="149" s="163" customFormat="1" ht="12.75">
      <c r="C149" s="369"/>
    </row>
    <row r="150" s="163" customFormat="1" ht="12.75">
      <c r="C150" s="369"/>
    </row>
    <row r="151" s="163" customFormat="1" ht="12.75">
      <c r="C151" s="369"/>
    </row>
    <row r="152" s="163" customFormat="1" ht="12.75">
      <c r="C152" s="369"/>
    </row>
    <row r="153" s="163" customFormat="1" ht="12.75">
      <c r="C153" s="369"/>
    </row>
    <row r="154" s="163" customFormat="1" ht="12.75">
      <c r="C154" s="369"/>
    </row>
    <row r="155" s="163" customFormat="1" ht="12.75">
      <c r="C155" s="369"/>
    </row>
    <row r="156" s="163" customFormat="1" ht="12.75">
      <c r="C156" s="369"/>
    </row>
    <row r="157" s="163" customFormat="1" ht="12.75">
      <c r="C157" s="369"/>
    </row>
    <row r="158" s="163" customFormat="1" ht="12.75">
      <c r="C158" s="369"/>
    </row>
    <row r="159" s="163" customFormat="1" ht="12.75">
      <c r="C159" s="369"/>
    </row>
    <row r="160" s="163" customFormat="1" ht="12.75">
      <c r="C160" s="369"/>
    </row>
    <row r="161" s="163" customFormat="1" ht="12.75">
      <c r="C161" s="369"/>
    </row>
    <row r="162" s="163" customFormat="1" ht="12.75">
      <c r="C162" s="369"/>
    </row>
    <row r="163" s="163" customFormat="1" ht="12.75">
      <c r="C163" s="369"/>
    </row>
    <row r="164" s="163" customFormat="1" ht="12.75">
      <c r="C164" s="369"/>
    </row>
    <row r="165" s="163" customFormat="1" ht="12.75">
      <c r="C165" s="369"/>
    </row>
    <row r="166" s="163" customFormat="1" ht="12.75">
      <c r="C166" s="369"/>
    </row>
    <row r="167" s="163" customFormat="1" ht="12.75">
      <c r="C167" s="369"/>
    </row>
    <row r="168" s="163" customFormat="1" ht="12.75">
      <c r="C168" s="369"/>
    </row>
    <row r="169" s="163" customFormat="1" ht="12.75">
      <c r="C169" s="369"/>
    </row>
    <row r="170" s="163" customFormat="1" ht="12.75">
      <c r="C170" s="369"/>
    </row>
    <row r="171" s="163" customFormat="1" ht="12.75">
      <c r="C171" s="369"/>
    </row>
    <row r="172" s="163" customFormat="1" ht="12.75">
      <c r="C172" s="369"/>
    </row>
    <row r="173" s="163" customFormat="1" ht="12.75">
      <c r="C173" s="369"/>
    </row>
    <row r="174" s="163" customFormat="1" ht="12.75">
      <c r="C174" s="369"/>
    </row>
    <row r="175" s="163" customFormat="1" ht="12.75">
      <c r="C175" s="369"/>
    </row>
    <row r="176" s="163" customFormat="1" ht="12.75">
      <c r="C176" s="369"/>
    </row>
    <row r="177" s="163" customFormat="1" ht="12.75">
      <c r="C177" s="369"/>
    </row>
    <row r="178" s="163" customFormat="1" ht="12.75">
      <c r="C178" s="369"/>
    </row>
    <row r="179" s="163" customFormat="1" ht="12.75">
      <c r="C179" s="369"/>
    </row>
    <row r="180" s="163" customFormat="1" ht="12.75">
      <c r="C180" s="369"/>
    </row>
    <row r="181" s="163" customFormat="1" ht="12.75">
      <c r="C181" s="369"/>
    </row>
    <row r="182" s="163" customFormat="1" ht="12.75">
      <c r="C182" s="369"/>
    </row>
    <row r="183" s="163" customFormat="1" ht="12.75">
      <c r="C183" s="369"/>
    </row>
    <row r="184" s="163" customFormat="1" ht="12.75">
      <c r="C184" s="369"/>
    </row>
    <row r="185" s="163" customFormat="1" ht="12.75">
      <c r="C185" s="369"/>
    </row>
    <row r="186" s="163" customFormat="1" ht="12.75">
      <c r="C186" s="369"/>
    </row>
    <row r="187" s="163" customFormat="1" ht="12.75">
      <c r="C187" s="369"/>
    </row>
    <row r="188" ht="12.75">
      <c r="C188" s="365"/>
    </row>
    <row r="189" ht="12.75">
      <c r="C189" s="365"/>
    </row>
    <row r="190" ht="12.75">
      <c r="C190" s="365"/>
    </row>
    <row r="191" ht="12.75">
      <c r="C191" s="365"/>
    </row>
    <row r="192" ht="12.75">
      <c r="C192" s="365"/>
    </row>
    <row r="193" ht="12.75">
      <c r="C193" s="365"/>
    </row>
    <row r="194" ht="12.75">
      <c r="C194" s="365"/>
    </row>
    <row r="195" ht="12.75">
      <c r="C195" s="365"/>
    </row>
    <row r="196" ht="12.75">
      <c r="C196" s="365"/>
    </row>
    <row r="197" ht="12.75">
      <c r="C197" s="365"/>
    </row>
    <row r="198" ht="12.75">
      <c r="C198" s="365"/>
    </row>
    <row r="199" ht="12.75">
      <c r="C199" s="365"/>
    </row>
    <row r="200" ht="12.75">
      <c r="C200" s="365"/>
    </row>
    <row r="201" ht="12.75">
      <c r="C201" s="365"/>
    </row>
    <row r="202" ht="12.75">
      <c r="C202" s="365"/>
    </row>
    <row r="203" ht="12.75">
      <c r="C203" s="365"/>
    </row>
    <row r="204" ht="12.75">
      <c r="C204" s="365"/>
    </row>
    <row r="205" ht="12.75">
      <c r="C205" s="365"/>
    </row>
    <row r="206" ht="12.75">
      <c r="C206" s="365"/>
    </row>
    <row r="207" ht="12.75">
      <c r="C207" s="365"/>
    </row>
    <row r="208" ht="12.75">
      <c r="C208" s="365"/>
    </row>
    <row r="209" ht="12.75">
      <c r="C209" s="365"/>
    </row>
    <row r="210" ht="12.75">
      <c r="C210" s="365"/>
    </row>
    <row r="211" ht="12.75">
      <c r="C211" s="365"/>
    </row>
    <row r="212" ht="12.75">
      <c r="C212" s="365"/>
    </row>
    <row r="213" ht="12.75">
      <c r="C213" s="365"/>
    </row>
    <row r="214" ht="12.75">
      <c r="C214" s="365"/>
    </row>
  </sheetData>
  <mergeCells count="2">
    <mergeCell ref="A3:D3"/>
    <mergeCell ref="A4:D4"/>
  </mergeCells>
  <printOptions horizontalCentered="1"/>
  <pageMargins left="0.24" right="0.15748031496062992" top="0.36" bottom="0.29" header="0.15748031496062992" footer="0.25"/>
  <pageSetup horizontalDpi="600" verticalDpi="600" orientation="portrait" paperSize="9" scale="75" r:id="rId1"/>
  <rowBreaks count="1" manualBreakCount="1">
    <brk id="7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49"/>
  <sheetViews>
    <sheetView zoomScaleSheetLayoutView="100" workbookViewId="0" topLeftCell="A1">
      <selection activeCell="A4" sqref="A4:G4"/>
    </sheetView>
  </sheetViews>
  <sheetFormatPr defaultColWidth="9.00390625" defaultRowHeight="12.75"/>
  <cols>
    <col min="1" max="1" width="63.25390625" style="0" customWidth="1"/>
    <col min="2" max="2" width="10.25390625" style="0" customWidth="1"/>
    <col min="3" max="3" width="9.375" style="0" customWidth="1"/>
    <col min="4" max="4" width="10.75390625" style="0" customWidth="1"/>
    <col min="5" max="5" width="9.375" style="0" customWidth="1"/>
    <col min="6" max="6" width="11.125" style="0" customWidth="1"/>
    <col min="7" max="7" width="9.375" style="0" customWidth="1"/>
  </cols>
  <sheetData>
    <row r="1" spans="1:2" ht="12.75">
      <c r="A1" s="24" t="s">
        <v>416</v>
      </c>
      <c r="B1" s="4"/>
    </row>
    <row r="2" spans="1:2" ht="12.75">
      <c r="A2" s="24"/>
      <c r="B2" s="4"/>
    </row>
    <row r="3" spans="1:7" ht="13.5">
      <c r="A3" s="731" t="s">
        <v>438</v>
      </c>
      <c r="B3" s="732"/>
      <c r="C3" s="646"/>
      <c r="D3" s="646"/>
      <c r="E3" s="646"/>
      <c r="F3" s="646"/>
      <c r="G3" s="646"/>
    </row>
    <row r="4" spans="1:7" ht="13.5">
      <c r="A4" s="731" t="s">
        <v>421</v>
      </c>
      <c r="B4" s="732"/>
      <c r="C4" s="646"/>
      <c r="D4" s="646"/>
      <c r="E4" s="646"/>
      <c r="F4" s="646"/>
      <c r="G4" s="646"/>
    </row>
    <row r="5" spans="1:2" ht="16.5" thickBot="1">
      <c r="A5" s="6"/>
      <c r="B5" s="4"/>
    </row>
    <row r="6" spans="1:7" ht="55.5" customHeight="1" thickTop="1">
      <c r="A6" s="41" t="s">
        <v>553</v>
      </c>
      <c r="B6" s="247" t="s">
        <v>491</v>
      </c>
      <c r="C6" s="350" t="s">
        <v>439</v>
      </c>
      <c r="D6" s="408" t="s">
        <v>496</v>
      </c>
      <c r="E6" s="350" t="s">
        <v>439</v>
      </c>
      <c r="F6" s="351" t="s">
        <v>85</v>
      </c>
      <c r="G6" s="248" t="s">
        <v>439</v>
      </c>
    </row>
    <row r="7" spans="1:7" ht="15" customHeight="1">
      <c r="A7" s="228" t="s">
        <v>367</v>
      </c>
      <c r="B7" s="249">
        <v>68400</v>
      </c>
      <c r="C7" s="374">
        <v>54720</v>
      </c>
      <c r="D7" s="374">
        <v>68400</v>
      </c>
      <c r="E7" s="374">
        <v>54720</v>
      </c>
      <c r="F7" s="375">
        <v>68400</v>
      </c>
      <c r="G7" s="420">
        <v>54720</v>
      </c>
    </row>
    <row r="8" spans="1:7" ht="15" customHeight="1">
      <c r="A8" s="142" t="s">
        <v>611</v>
      </c>
      <c r="B8" s="249">
        <v>10190</v>
      </c>
      <c r="C8" s="374">
        <v>9171</v>
      </c>
      <c r="D8" s="374">
        <v>10190</v>
      </c>
      <c r="E8" s="374">
        <v>9171</v>
      </c>
      <c r="F8" s="375">
        <v>10190</v>
      </c>
      <c r="G8" s="420">
        <v>9171</v>
      </c>
    </row>
    <row r="9" spans="1:7" ht="15" customHeight="1">
      <c r="A9" s="142" t="s">
        <v>612</v>
      </c>
      <c r="B9" s="249">
        <v>3661</v>
      </c>
      <c r="C9" s="374">
        <v>3295</v>
      </c>
      <c r="D9" s="374">
        <v>3661</v>
      </c>
      <c r="E9" s="374">
        <v>3295</v>
      </c>
      <c r="F9" s="375">
        <v>3661</v>
      </c>
      <c r="G9" s="420">
        <v>3295</v>
      </c>
    </row>
    <row r="10" spans="1:7" ht="15" customHeight="1">
      <c r="A10" s="142" t="s">
        <v>417</v>
      </c>
      <c r="B10" s="249">
        <v>1300</v>
      </c>
      <c r="C10" s="374">
        <v>1170</v>
      </c>
      <c r="D10" s="374">
        <v>1300</v>
      </c>
      <c r="E10" s="374">
        <v>1170</v>
      </c>
      <c r="F10" s="375">
        <v>1300</v>
      </c>
      <c r="G10" s="420">
        <v>1170</v>
      </c>
    </row>
    <row r="11" spans="1:7" ht="15" customHeight="1">
      <c r="A11" s="142" t="s">
        <v>613</v>
      </c>
      <c r="B11" s="249">
        <v>12000</v>
      </c>
      <c r="C11" s="374">
        <v>10800</v>
      </c>
      <c r="D11" s="374">
        <v>12000</v>
      </c>
      <c r="E11" s="374">
        <v>10800</v>
      </c>
      <c r="F11" s="375">
        <v>12000</v>
      </c>
      <c r="G11" s="420">
        <v>10800</v>
      </c>
    </row>
    <row r="12" spans="1:7" ht="15" customHeight="1">
      <c r="A12" s="142" t="s">
        <v>614</v>
      </c>
      <c r="B12" s="249">
        <v>15000</v>
      </c>
      <c r="C12" s="374"/>
      <c r="D12" s="374">
        <v>14000</v>
      </c>
      <c r="E12" s="374"/>
      <c r="F12" s="375">
        <v>14000</v>
      </c>
      <c r="G12" s="420"/>
    </row>
    <row r="13" spans="1:7" ht="15" customHeight="1">
      <c r="A13" s="142" t="s">
        <v>374</v>
      </c>
      <c r="B13" s="249">
        <v>5000</v>
      </c>
      <c r="C13" s="374">
        <v>4500</v>
      </c>
      <c r="D13" s="374">
        <v>5000</v>
      </c>
      <c r="E13" s="374">
        <v>4500</v>
      </c>
      <c r="F13" s="375">
        <v>5000</v>
      </c>
      <c r="G13" s="420">
        <v>4500</v>
      </c>
    </row>
    <row r="14" spans="1:7" ht="15" customHeight="1">
      <c r="A14" s="142" t="s">
        <v>615</v>
      </c>
      <c r="B14" s="249">
        <v>23085</v>
      </c>
      <c r="C14" s="374">
        <v>17314</v>
      </c>
      <c r="D14" s="374">
        <v>23085</v>
      </c>
      <c r="E14" s="374">
        <v>17314</v>
      </c>
      <c r="F14" s="375">
        <v>23085</v>
      </c>
      <c r="G14" s="420">
        <v>17314</v>
      </c>
    </row>
    <row r="15" spans="1:7" ht="15" customHeight="1">
      <c r="A15" s="142" t="s">
        <v>618</v>
      </c>
      <c r="B15" s="249">
        <v>10260</v>
      </c>
      <c r="C15" s="374"/>
      <c r="D15" s="374">
        <v>9260</v>
      </c>
      <c r="E15" s="374"/>
      <c r="F15" s="375">
        <v>9260</v>
      </c>
      <c r="G15" s="420"/>
    </row>
    <row r="16" spans="1:7" ht="15" customHeight="1">
      <c r="A16" s="142" t="s">
        <v>619</v>
      </c>
      <c r="B16" s="249">
        <v>20000</v>
      </c>
      <c r="C16" s="374"/>
      <c r="D16" s="374">
        <v>20000</v>
      </c>
      <c r="E16" s="374"/>
      <c r="F16" s="375">
        <v>20000</v>
      </c>
      <c r="G16" s="420"/>
    </row>
    <row r="17" spans="1:7" ht="15" customHeight="1">
      <c r="A17" s="142" t="s">
        <v>620</v>
      </c>
      <c r="B17" s="249">
        <v>6500</v>
      </c>
      <c r="C17" s="374"/>
      <c r="D17" s="374">
        <v>6500</v>
      </c>
      <c r="E17" s="374"/>
      <c r="F17" s="375">
        <v>6500</v>
      </c>
      <c r="G17" s="420"/>
    </row>
    <row r="18" spans="1:7" ht="15" customHeight="1">
      <c r="A18" s="142" t="s">
        <v>624</v>
      </c>
      <c r="B18" s="249">
        <v>6600</v>
      </c>
      <c r="C18" s="374">
        <v>6600</v>
      </c>
      <c r="D18" s="374">
        <v>6600</v>
      </c>
      <c r="E18" s="374">
        <v>6600</v>
      </c>
      <c r="F18" s="375">
        <v>6600</v>
      </c>
      <c r="G18" s="420">
        <v>6600</v>
      </c>
    </row>
    <row r="19" spans="1:7" ht="15" customHeight="1">
      <c r="A19" s="142" t="s">
        <v>625</v>
      </c>
      <c r="B19" s="249">
        <v>8000</v>
      </c>
      <c r="C19" s="374"/>
      <c r="D19" s="374">
        <v>10000</v>
      </c>
      <c r="E19" s="374"/>
      <c r="F19" s="375">
        <v>10000</v>
      </c>
      <c r="G19" s="420"/>
    </row>
    <row r="20" spans="1:7" ht="15" customHeight="1">
      <c r="A20" s="142" t="s">
        <v>643</v>
      </c>
      <c r="B20" s="249">
        <v>200</v>
      </c>
      <c r="C20" s="374"/>
      <c r="D20" s="374">
        <v>200</v>
      </c>
      <c r="E20" s="374"/>
      <c r="F20" s="375">
        <v>200</v>
      </c>
      <c r="G20" s="420"/>
    </row>
    <row r="21" spans="1:7" ht="15" customHeight="1">
      <c r="A21" s="142" t="s">
        <v>605</v>
      </c>
      <c r="B21" s="249">
        <v>1500</v>
      </c>
      <c r="C21" s="374"/>
      <c r="D21" s="374">
        <v>1500</v>
      </c>
      <c r="E21" s="374"/>
      <c r="F21" s="375">
        <v>1500</v>
      </c>
      <c r="G21" s="420"/>
    </row>
    <row r="22" spans="1:7" ht="15" customHeight="1">
      <c r="A22" s="142" t="s">
        <v>378</v>
      </c>
      <c r="B22" s="249">
        <v>24000</v>
      </c>
      <c r="C22" s="374"/>
      <c r="D22" s="374">
        <v>26054</v>
      </c>
      <c r="E22" s="374"/>
      <c r="F22" s="375">
        <v>26054</v>
      </c>
      <c r="G22" s="420"/>
    </row>
    <row r="23" spans="1:7" ht="15" customHeight="1">
      <c r="A23" s="142" t="s">
        <v>440</v>
      </c>
      <c r="B23" s="249">
        <v>4500</v>
      </c>
      <c r="C23" s="374">
        <v>4500</v>
      </c>
      <c r="D23" s="374">
        <v>4500</v>
      </c>
      <c r="E23" s="374">
        <v>4500</v>
      </c>
      <c r="F23" s="375"/>
      <c r="G23" s="420"/>
    </row>
    <row r="24" spans="1:7" ht="15" customHeight="1">
      <c r="A24" s="142" t="s">
        <v>621</v>
      </c>
      <c r="B24" s="249"/>
      <c r="C24" s="374"/>
      <c r="D24" s="374"/>
      <c r="E24" s="374"/>
      <c r="F24" s="375"/>
      <c r="G24" s="420"/>
    </row>
    <row r="25" spans="1:7" ht="15" customHeight="1">
      <c r="A25" s="142" t="s">
        <v>109</v>
      </c>
      <c r="B25" s="249"/>
      <c r="C25" s="374"/>
      <c r="D25" s="374">
        <v>20</v>
      </c>
      <c r="E25" s="374">
        <v>20</v>
      </c>
      <c r="F25" s="375">
        <v>20</v>
      </c>
      <c r="G25" s="420">
        <v>20</v>
      </c>
    </row>
    <row r="26" spans="1:7" ht="15" customHeight="1">
      <c r="A26" s="142" t="s">
        <v>110</v>
      </c>
      <c r="B26" s="249"/>
      <c r="C26" s="374"/>
      <c r="D26" s="374">
        <v>244</v>
      </c>
      <c r="E26" s="374">
        <v>244</v>
      </c>
      <c r="F26" s="375">
        <v>244</v>
      </c>
      <c r="G26" s="420">
        <v>244</v>
      </c>
    </row>
    <row r="27" spans="1:7" s="157" customFormat="1" ht="15" customHeight="1">
      <c r="A27" s="42" t="s">
        <v>626</v>
      </c>
      <c r="B27" s="376">
        <f aca="true" t="shared" si="0" ref="B27:G27">SUM(B7:B26)</f>
        <v>220196</v>
      </c>
      <c r="C27" s="376">
        <f t="shared" si="0"/>
        <v>112070</v>
      </c>
      <c r="D27" s="376">
        <f>SUM(D7:D26)</f>
        <v>222514</v>
      </c>
      <c r="E27" s="377">
        <f>SUM(E7:E26)</f>
        <v>112334</v>
      </c>
      <c r="F27" s="467">
        <f t="shared" si="0"/>
        <v>218014</v>
      </c>
      <c r="G27" s="425">
        <f t="shared" si="0"/>
        <v>107834</v>
      </c>
    </row>
    <row r="28" spans="1:7" ht="15" customHeight="1">
      <c r="A28" s="143"/>
      <c r="B28" s="378"/>
      <c r="C28" s="374"/>
      <c r="D28" s="423"/>
      <c r="E28" s="423"/>
      <c r="F28" s="493"/>
      <c r="G28" s="424"/>
    </row>
    <row r="29" spans="1:7" ht="15" customHeight="1">
      <c r="A29" s="142" t="s">
        <v>357</v>
      </c>
      <c r="B29" s="378"/>
      <c r="C29" s="374"/>
      <c r="D29" s="423"/>
      <c r="E29" s="423"/>
      <c r="F29" s="493"/>
      <c r="G29" s="424"/>
    </row>
    <row r="30" spans="1:7" ht="15" customHeight="1">
      <c r="A30" s="142" t="s">
        <v>380</v>
      </c>
      <c r="B30" s="249"/>
      <c r="C30" s="374"/>
      <c r="D30" s="423"/>
      <c r="E30" s="423"/>
      <c r="F30" s="493"/>
      <c r="G30" s="424"/>
    </row>
    <row r="31" spans="1:7" ht="15" customHeight="1">
      <c r="A31" s="142" t="s">
        <v>418</v>
      </c>
      <c r="B31" s="249">
        <v>1500</v>
      </c>
      <c r="C31" s="374"/>
      <c r="D31" s="423">
        <v>1500</v>
      </c>
      <c r="E31" s="423"/>
      <c r="F31" s="493">
        <v>1500</v>
      </c>
      <c r="G31" s="424"/>
    </row>
    <row r="32" spans="1:7" ht="15" customHeight="1">
      <c r="A32" s="142" t="s">
        <v>419</v>
      </c>
      <c r="B32" s="249">
        <v>2000</v>
      </c>
      <c r="C32" s="374"/>
      <c r="D32" s="423">
        <v>2000</v>
      </c>
      <c r="E32" s="423"/>
      <c r="F32" s="493">
        <v>2000</v>
      </c>
      <c r="G32" s="424"/>
    </row>
    <row r="33" spans="1:7" ht="15" customHeight="1">
      <c r="A33" s="142" t="s">
        <v>623</v>
      </c>
      <c r="B33" s="249"/>
      <c r="C33" s="374"/>
      <c r="D33" s="423"/>
      <c r="E33" s="423"/>
      <c r="F33" s="493"/>
      <c r="G33" s="424"/>
    </row>
    <row r="34" spans="1:7" ht="15" customHeight="1">
      <c r="A34" s="142" t="s">
        <v>111</v>
      </c>
      <c r="B34" s="249"/>
      <c r="C34" s="374"/>
      <c r="D34" s="423">
        <v>5676</v>
      </c>
      <c r="E34" s="423"/>
      <c r="F34" s="493">
        <v>5426</v>
      </c>
      <c r="G34" s="424"/>
    </row>
    <row r="35" spans="1:7" s="157" customFormat="1" ht="15" customHeight="1">
      <c r="A35" s="42" t="s">
        <v>635</v>
      </c>
      <c r="B35" s="376">
        <f aca="true" t="shared" si="1" ref="B35:G35">SUM(B29:B34)</f>
        <v>3500</v>
      </c>
      <c r="C35" s="376">
        <f t="shared" si="1"/>
        <v>0</v>
      </c>
      <c r="D35" s="376">
        <f>SUM(D29:D34)</f>
        <v>9176</v>
      </c>
      <c r="E35" s="377">
        <f>SUM(E29:E34)</f>
        <v>0</v>
      </c>
      <c r="F35" s="467">
        <f t="shared" si="1"/>
        <v>8926</v>
      </c>
      <c r="G35" s="425">
        <f t="shared" si="1"/>
        <v>0</v>
      </c>
    </row>
    <row r="36" spans="1:7" s="157" customFormat="1" ht="15" customHeight="1">
      <c r="A36" s="42"/>
      <c r="B36" s="376"/>
      <c r="C36" s="377"/>
      <c r="D36" s="421"/>
      <c r="E36" s="421"/>
      <c r="F36" s="494"/>
      <c r="G36" s="422"/>
    </row>
    <row r="37" spans="1:7" s="157" customFormat="1" ht="15" customHeight="1">
      <c r="A37" s="142" t="s">
        <v>112</v>
      </c>
      <c r="B37" s="376"/>
      <c r="C37" s="377"/>
      <c r="D37" s="423">
        <v>2000</v>
      </c>
      <c r="E37" s="421"/>
      <c r="F37" s="493">
        <v>2000</v>
      </c>
      <c r="G37" s="422"/>
    </row>
    <row r="38" spans="1:7" s="157" customFormat="1" ht="15" customHeight="1">
      <c r="A38" s="142" t="s">
        <v>113</v>
      </c>
      <c r="B38" s="376"/>
      <c r="C38" s="377"/>
      <c r="D38" s="423">
        <v>236</v>
      </c>
      <c r="E38" s="421"/>
      <c r="F38" s="493">
        <v>236</v>
      </c>
      <c r="G38" s="422"/>
    </row>
    <row r="39" spans="1:7" s="157" customFormat="1" ht="15" customHeight="1">
      <c r="A39" s="142" t="s">
        <v>397</v>
      </c>
      <c r="B39" s="376"/>
      <c r="C39" s="376"/>
      <c r="D39" s="468">
        <v>1200</v>
      </c>
      <c r="E39" s="421"/>
      <c r="F39" s="495">
        <v>1200</v>
      </c>
      <c r="G39" s="422"/>
    </row>
    <row r="40" spans="1:7" s="157" customFormat="1" ht="15" customHeight="1">
      <c r="A40" s="42" t="s">
        <v>114</v>
      </c>
      <c r="B40" s="376">
        <f aca="true" t="shared" si="2" ref="B40:G40">SUM(B37:B38)</f>
        <v>0</v>
      </c>
      <c r="C40" s="376">
        <f t="shared" si="2"/>
        <v>0</v>
      </c>
      <c r="D40" s="376">
        <f>SUM(D37:D39)</f>
        <v>3436</v>
      </c>
      <c r="E40" s="377">
        <f>SUM(E37:E38)</f>
        <v>0</v>
      </c>
      <c r="F40" s="467">
        <f>SUM(F37:F39)</f>
        <v>3436</v>
      </c>
      <c r="G40" s="425">
        <f t="shared" si="2"/>
        <v>0</v>
      </c>
    </row>
    <row r="41" spans="1:7" ht="15" customHeight="1">
      <c r="A41" s="142"/>
      <c r="B41" s="249"/>
      <c r="C41" s="374"/>
      <c r="D41" s="423"/>
      <c r="E41" s="423"/>
      <c r="F41" s="493"/>
      <c r="G41" s="424"/>
    </row>
    <row r="42" spans="1:7" s="157" customFormat="1" ht="15" customHeight="1">
      <c r="A42" s="42" t="s">
        <v>636</v>
      </c>
      <c r="B42" s="376">
        <f aca="true" t="shared" si="3" ref="B42:G42">SUM(B27+B35+B40)</f>
        <v>223696</v>
      </c>
      <c r="C42" s="376">
        <f t="shared" si="3"/>
        <v>112070</v>
      </c>
      <c r="D42" s="376">
        <f>SUM(D27+D35+D40)</f>
        <v>235126</v>
      </c>
      <c r="E42" s="377">
        <f>SUM(E27+E35+E40)</f>
        <v>112334</v>
      </c>
      <c r="F42" s="467">
        <f t="shared" si="3"/>
        <v>230376</v>
      </c>
      <c r="G42" s="425">
        <f t="shared" si="3"/>
        <v>107834</v>
      </c>
    </row>
    <row r="43" spans="1:7" ht="15" customHeight="1">
      <c r="A43" s="10"/>
      <c r="B43" s="249"/>
      <c r="C43" s="374"/>
      <c r="D43" s="423"/>
      <c r="E43" s="423"/>
      <c r="F43" s="493"/>
      <c r="G43" s="424"/>
    </row>
    <row r="44" spans="1:7" s="157" customFormat="1" ht="15" customHeight="1">
      <c r="A44" s="25" t="s">
        <v>594</v>
      </c>
      <c r="B44" s="376">
        <f aca="true" t="shared" si="4" ref="B44:G44">SUM(B45:B46)</f>
        <v>8003</v>
      </c>
      <c r="C44" s="377">
        <f t="shared" si="4"/>
        <v>4155</v>
      </c>
      <c r="D44" s="376">
        <f>SUM(D45:D46)</f>
        <v>8003</v>
      </c>
      <c r="E44" s="377">
        <f>SUM(E45:E46)</f>
        <v>4155</v>
      </c>
      <c r="F44" s="467">
        <f t="shared" si="4"/>
        <v>8003</v>
      </c>
      <c r="G44" s="425">
        <f t="shared" si="4"/>
        <v>4155</v>
      </c>
    </row>
    <row r="45" spans="1:7" ht="15" customHeight="1">
      <c r="A45" s="10" t="s">
        <v>637</v>
      </c>
      <c r="B45" s="249">
        <v>5540</v>
      </c>
      <c r="C45" s="374">
        <v>4155</v>
      </c>
      <c r="D45" s="423">
        <v>5540</v>
      </c>
      <c r="E45" s="423">
        <v>4155</v>
      </c>
      <c r="F45" s="493">
        <v>5540</v>
      </c>
      <c r="G45" s="424">
        <v>4155</v>
      </c>
    </row>
    <row r="46" spans="1:7" ht="15" customHeight="1">
      <c r="A46" s="10" t="s">
        <v>638</v>
      </c>
      <c r="B46" s="249">
        <v>2463</v>
      </c>
      <c r="C46" s="374"/>
      <c r="D46" s="423">
        <v>2463</v>
      </c>
      <c r="E46" s="423"/>
      <c r="F46" s="493">
        <v>2463</v>
      </c>
      <c r="G46" s="424"/>
    </row>
    <row r="47" spans="1:7" ht="15" customHeight="1">
      <c r="A47" s="10"/>
      <c r="B47" s="249"/>
      <c r="C47" s="374"/>
      <c r="D47" s="423"/>
      <c r="E47" s="423"/>
      <c r="F47" s="493"/>
      <c r="G47" s="424"/>
    </row>
    <row r="48" spans="1:7" s="156" customFormat="1" ht="15" customHeight="1" thickBot="1">
      <c r="A48" s="144" t="s">
        <v>503</v>
      </c>
      <c r="B48" s="379">
        <f aca="true" t="shared" si="5" ref="B48:G48">SUM(B42,B44)</f>
        <v>231699</v>
      </c>
      <c r="C48" s="380">
        <f t="shared" si="5"/>
        <v>116225</v>
      </c>
      <c r="D48" s="379">
        <f>SUM(D42,D44)</f>
        <v>243129</v>
      </c>
      <c r="E48" s="380">
        <f>SUM(E42,E44)</f>
        <v>116489</v>
      </c>
      <c r="F48" s="496">
        <f t="shared" si="5"/>
        <v>238379</v>
      </c>
      <c r="G48" s="426">
        <f t="shared" si="5"/>
        <v>111989</v>
      </c>
    </row>
    <row r="49" spans="1:2" ht="13.5" thickTop="1">
      <c r="A49" s="4"/>
      <c r="B49" s="4"/>
    </row>
  </sheetData>
  <mergeCells count="2">
    <mergeCell ref="A3:G3"/>
    <mergeCell ref="A4:G4"/>
  </mergeCells>
  <printOptions horizontalCentered="1"/>
  <pageMargins left="0.24" right="0.24" top="0.7874015748031497" bottom="0.31496062992125984" header="0.15748031496062992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Polg.Hiv.Tata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moni</cp:lastModifiedBy>
  <cp:lastPrinted>2010-12-06T08:26:47Z</cp:lastPrinted>
  <dcterms:created xsi:type="dcterms:W3CDTF">2003-02-14T08:59:10Z</dcterms:created>
  <dcterms:modified xsi:type="dcterms:W3CDTF">2010-12-06T08:27:21Z</dcterms:modified>
  <cp:category/>
  <cp:version/>
  <cp:contentType/>
  <cp:contentStatus/>
</cp:coreProperties>
</file>