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4"/>
  </bookViews>
  <sheets>
    <sheet name="1.sz. melléklet" sheetId="1" r:id="rId1"/>
    <sheet name="1.a. 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éklet" sheetId="15" r:id="rId15"/>
  </sheets>
  <externalReferences>
    <externalReference r:id="rId18"/>
  </externalReferences>
  <definedNames>
    <definedName name="_xlnm.Print_Area" localSheetId="0">'1.sz. melléklet'!$A$1:$K$72</definedName>
    <definedName name="_xlnm.Print_Area" localSheetId="2">'2. sz. melléklet'!$A$1:$M$60</definedName>
    <definedName name="_xlnm.Print_Area" localSheetId="3">'3.sz. melléklet'!$A$1:$O$43</definedName>
    <definedName name="_xlnm.Print_Area" localSheetId="4">'4. sz. melléklet'!$A$1:$N$321</definedName>
    <definedName name="_xlnm.Print_Titles" localSheetId="4">'4. sz. melléklet'!$6:$8</definedName>
    <definedName name="_xlnm.Print_Area" localSheetId="5">'5. sz. melléklet'!$A$1:$Y$91</definedName>
    <definedName name="_xlnm.Print_Titles" localSheetId="5">'5. sz. melléklet'!$A:$B</definedName>
    <definedName name="_xlnm.Print_Titles" localSheetId="7">'7. sz. melléklet'!$4:$5</definedName>
    <definedName name="_xlnm.Print_Area" localSheetId="8">'8. sz. melléklet'!$A$1:$G$44</definedName>
    <definedName name="Excel_BuiltIn__FilterDatabase_5">#REF!</definedName>
    <definedName name="Excel_BuiltIn__FilterDatabase_51">#REF!</definedName>
    <definedName name="Excel_BuiltIn__FilterDatabase_52">#REF!</definedName>
    <definedName name="Excel_BuiltIn__FilterDatabase_53">'4. sz. melléklet'!#REF!</definedName>
    <definedName name="Excel_BuiltIn_Print_Area_1">'13. sz. melléklet'!$A$1:$G$14</definedName>
    <definedName name="Excel_BuiltIn_Print_Area_11">#REF!</definedName>
    <definedName name="Excel_BuiltIn_Print_Area_2">#REF!</definedName>
    <definedName name="Excel_BuiltIn_Print_Area_21">#REF!</definedName>
  </definedNames>
  <calcPr fullCalcOnLoad="1"/>
</workbook>
</file>

<file path=xl/sharedStrings.xml><?xml version="1.0" encoding="utf-8"?>
<sst xmlns="http://schemas.openxmlformats.org/spreadsheetml/2006/main" count="1417" uniqueCount="756">
  <si>
    <t xml:space="preserve"> Tata Város Önkormányzatának 2011. pénzforgalmi mérlege (E Ft-ban)</t>
  </si>
  <si>
    <t>Bevételi előirányzat</t>
  </si>
  <si>
    <t>Kiadási előirányzat</t>
  </si>
  <si>
    <t>Eredeti</t>
  </si>
  <si>
    <t>Mód. (V.25.)</t>
  </si>
  <si>
    <t>Mód. (X.26.)</t>
  </si>
  <si>
    <t xml:space="preserve">Eredeti </t>
  </si>
  <si>
    <t>Működési bevétel</t>
  </si>
  <si>
    <t>Személyi juttatások</t>
  </si>
  <si>
    <t>Polgármesteri Hivatal</t>
  </si>
  <si>
    <t>Intézmények Gazdasági Hivatala</t>
  </si>
  <si>
    <t>Munkaadókat terhelő járulékok</t>
  </si>
  <si>
    <t>Árpád-házi Szent Erzsébet Szakkórház és Rendelőintézet</t>
  </si>
  <si>
    <t>Dologi és egyéb folyó kiadások</t>
  </si>
  <si>
    <t>Dologi kiadások</t>
  </si>
  <si>
    <t>Önkormányzatok sajátos működési bevételi</t>
  </si>
  <si>
    <t>Járulék</t>
  </si>
  <si>
    <t>Kamat kiadások</t>
  </si>
  <si>
    <t>Helyi adók</t>
  </si>
  <si>
    <t>Dologi kiadás</t>
  </si>
  <si>
    <t>Átengedett központi adók (gépjárműadó, átengedett SZJA, termőföld bérbeadásából származó SZJA)</t>
  </si>
  <si>
    <t>Egyéb működési kiadások</t>
  </si>
  <si>
    <t>Bírságok</t>
  </si>
  <si>
    <t>Támogatás értékű működési kiadások és működési célú pénzeszközátadás</t>
  </si>
  <si>
    <t>Talajterhelési díj</t>
  </si>
  <si>
    <t>Önkormányzat által folyósított társadalom- és szociálpolitikai juttatások</t>
  </si>
  <si>
    <t>Bérleti díjak</t>
  </si>
  <si>
    <t>Ellátottak pénzbeli juttatása</t>
  </si>
  <si>
    <t>Lakbér</t>
  </si>
  <si>
    <t>Előző évi pénzmaradvány átadás</t>
  </si>
  <si>
    <t>Működési támogatások</t>
  </si>
  <si>
    <t>Beruházási kiadások</t>
  </si>
  <si>
    <t>Normatív hozzájárulások</t>
  </si>
  <si>
    <t>Normatív kötött felhasználású támogatások</t>
  </si>
  <si>
    <t>Felújítási kiadások</t>
  </si>
  <si>
    <t xml:space="preserve">    - egyes szociális feladatok kiegészítő támogatása</t>
  </si>
  <si>
    <t xml:space="preserve">    - kiegészítő támogatás egyes közoktatási feladatokhoz</t>
  </si>
  <si>
    <t>Központosított előirányzatokból működésre</t>
  </si>
  <si>
    <t>Helyi önkormányzatok kiegészítő támogatása</t>
  </si>
  <si>
    <t>Támogatás értékű felhalmozási kiadások és felhalmozási célú pénzeszközátadások</t>
  </si>
  <si>
    <t>Egyéb, működési bevételek</t>
  </si>
  <si>
    <t>Működési tartalék</t>
  </si>
  <si>
    <t>Támogatás értékű működési bevételek</t>
  </si>
  <si>
    <t>Általános tartalék</t>
  </si>
  <si>
    <t>Támogatás értékű működési bevétel OEP-től</t>
  </si>
  <si>
    <t>Céltartalék</t>
  </si>
  <si>
    <t>Működési célú pénzeszközátvétel</t>
  </si>
  <si>
    <t xml:space="preserve"> - THAC Kézilabda szakosztály támogatása</t>
  </si>
  <si>
    <t>Előző évi működési célú pénzmaradvány átvétel</t>
  </si>
  <si>
    <t xml:space="preserve"> - Csillagsziget Bölcsőde új gondozási egységére</t>
  </si>
  <si>
    <t xml:space="preserve"> - Vaszary J. Ált. Isk. és Logopédiai Int. fejlesztés pedagógiai feladataira</t>
  </si>
  <si>
    <t>Felhalmozási és tőke jellegű bevételek</t>
  </si>
  <si>
    <t xml:space="preserve"> - Deák F. úton új kistérségi idősek nappali klubjára</t>
  </si>
  <si>
    <t>Tárgyi eszköz értékesítés</t>
  </si>
  <si>
    <t xml:space="preserve"> - Egyéb feladatokra</t>
  </si>
  <si>
    <t>Föld értékesítés</t>
  </si>
  <si>
    <t xml:space="preserve"> - Normatíva elszámolás miatt céltartalék</t>
  </si>
  <si>
    <t>Földterület értékesítés (zárolt)</t>
  </si>
  <si>
    <t xml:space="preserve"> - Deviza értékelésből céltartalék (árfolyamveszteség)</t>
  </si>
  <si>
    <t>Egyéb ingatlan értékesítés</t>
  </si>
  <si>
    <t>Üzemeltetés, bérbeadás bevétele</t>
  </si>
  <si>
    <t>Zárolt feladatok tartaléka</t>
  </si>
  <si>
    <t>Lakásértékesítés</t>
  </si>
  <si>
    <t>Üzletrész értékesítés bevétele</t>
  </si>
  <si>
    <t>Felhalmozási tartalék</t>
  </si>
  <si>
    <t>Felhalmozási kamatbevételek</t>
  </si>
  <si>
    <t>Kastély téri útkorszerűsítés</t>
  </si>
  <si>
    <t>Bruházáshoz és felújításhoz kapcsolódó ÁFA visszatérülés</t>
  </si>
  <si>
    <t>Május 1. úti körforgalmi csomópont fejlesztés</t>
  </si>
  <si>
    <t>Somogyi u.  - Bacsó B. u. gyalogátkelőhely kiépítéshez</t>
  </si>
  <si>
    <t>Intézmények infrastruktúrális fejlesztésére</t>
  </si>
  <si>
    <t>Felhalmozási támogatások</t>
  </si>
  <si>
    <t>Egyéb feladatokra</t>
  </si>
  <si>
    <t>Fejlesztési célú támogatások (központosított)</t>
  </si>
  <si>
    <t>Kötvény tartalék</t>
  </si>
  <si>
    <t>Egyéb felhalmozási bevételek</t>
  </si>
  <si>
    <t xml:space="preserve"> - Támogatás értékű felhalmozási bevételek</t>
  </si>
  <si>
    <t xml:space="preserve"> - Támogatás értékű felhalmozási bevételek (zárolt)</t>
  </si>
  <si>
    <t xml:space="preserve"> - Felhalmozási célú pénzeszköz átvétel</t>
  </si>
  <si>
    <t>Garancia és kezességvállalás</t>
  </si>
  <si>
    <t>Támogatási kölcsönök visszatérülése, igénybevétele</t>
  </si>
  <si>
    <t>Támogatási kölcsönök nyújtása, törlesztése</t>
  </si>
  <si>
    <t>Lakáscélra</t>
  </si>
  <si>
    <t>Előző évi kiegészítés visszatérülés</t>
  </si>
  <si>
    <t>Egyéb kölcsön</t>
  </si>
  <si>
    <t>Kölcsön visszafizetés az Önkormányzatnak az IGH-tól</t>
  </si>
  <si>
    <t>Kölcsön visszafizetés az Önkormányzatnak az Kórháztól</t>
  </si>
  <si>
    <t>Költségvetési bevételek összesen:</t>
  </si>
  <si>
    <t>Költségvetési kiadások összesen:</t>
  </si>
  <si>
    <t>Egyéb finanszírozási kiadások (kiegyenlítő, függő, átfutó)</t>
  </si>
  <si>
    <t>Hiány: 1.581.555 (eredeti); 1.905.665 (mód V.25.)</t>
  </si>
  <si>
    <t>Hiteltörlesztés - hosszú lejáratú</t>
  </si>
  <si>
    <t>Hiány és a finanszírozási kiadások fedezetének finanszírozása:</t>
  </si>
  <si>
    <t>Finanszírozási kiadások összesen:</t>
  </si>
  <si>
    <t xml:space="preserve"> - Belső finanszírozás, pénzmaradvány </t>
  </si>
  <si>
    <t xml:space="preserve"> - Külső finanszírozás kötvény kibocsátás, hitel felvétel (zárolt)</t>
  </si>
  <si>
    <t>KIADÁSOK MINDÖSSZESEN</t>
  </si>
  <si>
    <t>Finanszírozási bevételek összesen:</t>
  </si>
  <si>
    <t xml:space="preserve"> - Egyéb finanszírozási bevételek (kiegyenlítő, függő, átfutó)</t>
  </si>
  <si>
    <t>BEVÉTELEK MINDÖSSZESEN</t>
  </si>
  <si>
    <t>1/a. melléklet a 30/2011.(X.28.) önkormányzati rendelethez</t>
  </si>
  <si>
    <t>2011. évi működési célú bevételek és kiadások mérlege (E Ft-ban)</t>
  </si>
  <si>
    <t>Mód.(V.25.)</t>
  </si>
  <si>
    <t>Személyi juttatás</t>
  </si>
  <si>
    <t>Sajátos működési bevétel</t>
  </si>
  <si>
    <t>Járulékok</t>
  </si>
  <si>
    <t>Működési támogatás</t>
  </si>
  <si>
    <t>Dologi kiadás (beruházási hitelkamat és ÁFA nélkül)</t>
  </si>
  <si>
    <t>Egyéb működési bevételek</t>
  </si>
  <si>
    <t>Pénzeszköz átadás, támogatás</t>
  </si>
  <si>
    <t>Előző évi pénzmaradvány</t>
  </si>
  <si>
    <t>Egyéb finanszírozási kiadás</t>
  </si>
  <si>
    <t>Kölcsön visszatérülés, kölcsön bevétel</t>
  </si>
  <si>
    <t>Szociális támogatás műk.</t>
  </si>
  <si>
    <t xml:space="preserve"> - Fényes-fürdő Kft.</t>
  </si>
  <si>
    <t xml:space="preserve"> - Víz-Zene-Virág Fesztivál Egyesület</t>
  </si>
  <si>
    <t xml:space="preserve"> - IGH-tól Polg. Hiv.-nak</t>
  </si>
  <si>
    <t>Működési céltartalék</t>
  </si>
  <si>
    <t xml:space="preserve"> - Távhő Kft-től</t>
  </si>
  <si>
    <t>Garancia és kezességvállalás - Városkapu Zrt-nek</t>
  </si>
  <si>
    <t xml:space="preserve"> - IGH kölcsön bevétele </t>
  </si>
  <si>
    <t>Garancia és kezességvállalás - Tatai Távhő Kft.</t>
  </si>
  <si>
    <t xml:space="preserve"> - IGH kölcsön visszafizetése Polgármesteri Hivatalnak</t>
  </si>
  <si>
    <t>Kölcsönnyújtás, kölcsönvisszafizetés</t>
  </si>
  <si>
    <t xml:space="preserve"> - Tagi kölcsön visszafizetése</t>
  </si>
  <si>
    <t xml:space="preserve"> - Víz-Zene-Virág Fesztivál Egyesületnek</t>
  </si>
  <si>
    <t xml:space="preserve"> - Tagi kölcsön  </t>
  </si>
  <si>
    <t xml:space="preserve"> - Távhő Kft.-nek</t>
  </si>
  <si>
    <t xml:space="preserve"> - Árpád-házi Szent Erzsébet Szakk. és Rendelőint.-nek Polg. Hiv.-tól</t>
  </si>
  <si>
    <t xml:space="preserve"> - Árpád-házi Szent Erzsébet Szakk. és Rendelőint.-től Polg. Hiv.-nak</t>
  </si>
  <si>
    <t xml:space="preserve"> - IGH-nak kölcsön</t>
  </si>
  <si>
    <t xml:space="preserve"> - Református Egyháznak - Hajnalcsillag Óvóda működtetésére</t>
  </si>
  <si>
    <t xml:space="preserve"> - Távhő Kft.-nek likviditási problémákra</t>
  </si>
  <si>
    <t xml:space="preserve"> - Kórháztól Polg. Hiv.-nak</t>
  </si>
  <si>
    <t>Előző évi kiegtészítések, visszatérülések</t>
  </si>
  <si>
    <t xml:space="preserve"> - Árpád-házi Szent Erzsébet Szakk. és Rendelőint.-től</t>
  </si>
  <si>
    <t xml:space="preserve"> - Tagi kölcsön Fényes fürdő Kft.</t>
  </si>
  <si>
    <t xml:space="preserve"> - Református Egyháztól - Hajnalcsillag Óvoda működtetés</t>
  </si>
  <si>
    <t>Hiány: 36.829</t>
  </si>
  <si>
    <t>Hiány és a finanszírozási kiadások fedezetének finansz.</t>
  </si>
  <si>
    <t xml:space="preserve"> - Belső forrás, pénzmaradvány </t>
  </si>
  <si>
    <t xml:space="preserve"> - Belső forrás, pénzmaradvány kötvényből a kötvénnyel kapcsolatos kiadásokra </t>
  </si>
  <si>
    <t>Egyéb finanszírozási bevételek (kiegyenlítő, függő, átfutó)</t>
  </si>
  <si>
    <t>Mindösszesen:</t>
  </si>
  <si>
    <t>1/b. melléklet a 30/2011.(X.28.) önkormányzati rendelethez</t>
  </si>
  <si>
    <t>2011.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</si>
  <si>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</si>
  <si>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</si>
  <si>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</si>
  <si>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</si>
  <si>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</si>
  <si>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>Kölcsön visszatérülések</t>
  </si>
  <si>
    <t>Beruházási hitel kamat</t>
  </si>
  <si>
    <t xml:space="preserve"> - Lakás célú</t>
  </si>
  <si>
    <t>Kölcsönnyújtás</t>
  </si>
  <si>
    <t xml:space="preserve"> - Munkáltatói</t>
  </si>
  <si>
    <t xml:space="preserve"> - lakáscélú</t>
  </si>
  <si>
    <t xml:space="preserve"> - Távhő Kft.</t>
  </si>
  <si>
    <t xml:space="preserve"> - munkáltatói</t>
  </si>
  <si>
    <t xml:space="preserve"> - Távhő Kft-nek Öko programra</t>
  </si>
  <si>
    <t xml:space="preserve"> - Tatai Városfejlesztő Kft-től</t>
  </si>
  <si>
    <t xml:space="preserve"> - Tatai Városfejlesztő Kft.-nek</t>
  </si>
  <si>
    <t>Felhalmozási céltartalék</t>
  </si>
  <si>
    <t>Fizetendő ÁFA</t>
  </si>
  <si>
    <t>Kötvény kamata</t>
  </si>
  <si>
    <t>Garancia és kezességvállalás Távhő Kft., Tata Tópart</t>
  </si>
  <si>
    <t>Hiány: 1.544.726</t>
  </si>
  <si>
    <t xml:space="preserve"> - Belső finanszírozás, pénzmaradvány</t>
  </si>
  <si>
    <t xml:space="preserve"> - Külső finanszírozás kötvény kibocsátás, hitel felvétel </t>
  </si>
  <si>
    <t>Finanszírozási kiadás beruházási hitel törlesztés</t>
  </si>
  <si>
    <t>Mindösszesen bevételek:</t>
  </si>
  <si>
    <t>Mindösszesen kiadások:</t>
  </si>
  <si>
    <t>Tata Város Önkormányzatának 2011. évi bevételei forrásonként ( E Ft-ban)</t>
  </si>
  <si>
    <t>Bevételek</t>
  </si>
  <si>
    <t>Összesen</t>
  </si>
  <si>
    <t>Okmányirodai ügyintézés</t>
  </si>
  <si>
    <t>Egyéb működési bevétel (faértékesítés, temető fenntartás, rendezvényszervezés, üdülés, intézményi térítési díjak stb.)</t>
  </si>
  <si>
    <t>Áfa bevétel</t>
  </si>
  <si>
    <t>Kamat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</si>
  <si>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</si>
  <si>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</si>
  <si>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</si>
  <si>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</si>
  <si>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</si>
  <si>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</si>
  <si>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</si>
  <si>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</si>
  <si>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</si>
  <si>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</si>
  <si>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(környezetvédelmi 400, közterület 3.000)</t>
  </si>
  <si>
    <t>Bérleti díj</t>
  </si>
  <si>
    <t>Normatíva</t>
  </si>
  <si>
    <t>Normatív kötött felhasználású támogatás</t>
  </si>
  <si>
    <t xml:space="preserve"> - Egyes szociális feladatok támogatás, szociális továbbképzés és szakvizsga</t>
  </si>
  <si>
    <t xml:space="preserve"> - Kiegészítő támogatás egyes közoktatási feladatokhoz</t>
  </si>
  <si>
    <t>Központosított előirányzatokból</t>
  </si>
  <si>
    <t>Támogatás értékű működési bevétel TB-től</t>
  </si>
  <si>
    <t>Felhalmozási és tőke jellegű bevétel</t>
  </si>
  <si>
    <t>Földterület értékesítés</t>
  </si>
  <si>
    <t>Földterület értékesítés zárolt</t>
  </si>
  <si>
    <t>Egyéb ingatlanértékesítés</t>
  </si>
  <si>
    <t>Lakásértékesítés (részletek)</t>
  </si>
  <si>
    <t>Felhalmozási kamat bevétel</t>
  </si>
  <si>
    <t>Beruházásokhoz és felújításokhoz kapcsolódó ÁFA</t>
  </si>
  <si>
    <t>Fejlesztési célú támogatások (központosított támogatás)</t>
  </si>
  <si>
    <t xml:space="preserve"> - Támogatás értékű felhalmozási bevételek zárolt</t>
  </si>
  <si>
    <t xml:space="preserve"> - Felhalmozási célú pénzeszközátvétel</t>
  </si>
  <si>
    <t>Előző évi kiegészítések, visszatérülések</t>
  </si>
  <si>
    <t>Kötvénykibocsátás, hitelfelvétel zárolt</t>
  </si>
  <si>
    <t xml:space="preserve">Tata Város Önkormányzatának 2011. évi költségvetési kiadásai </t>
  </si>
  <si>
    <t>( kiemelt előirányzatok szerinti részletezésben ) E Ft-ban</t>
  </si>
  <si>
    <t>Kiadások</t>
  </si>
  <si>
    <t>Munkaadót terh. járulékok</t>
  </si>
  <si>
    <t>Dologi és folyó kiadások</t>
  </si>
  <si>
    <t>Kamatkiadások</t>
  </si>
  <si>
    <t>Dologi és egyéb folyók. össz.:</t>
  </si>
  <si>
    <t>Egyéb működési kiadás</t>
  </si>
  <si>
    <t>Támogatás értékű működési kiadások és működési célú pénzeszköz átadás</t>
  </si>
  <si>
    <t>Önkormányzat által folyósított ellátás</t>
  </si>
  <si>
    <t>Ellátottak pénzbeli juttat.</t>
  </si>
  <si>
    <t>Beruházás ( ÁFA-val )</t>
  </si>
  <si>
    <t>Felújítás ( ÁFA-val )</t>
  </si>
  <si>
    <t>Felhalmozási támogatás értékű kiadás és pénzeszközátadás</t>
  </si>
  <si>
    <t>Támogatási kölcsönök</t>
  </si>
  <si>
    <t>Kölcsön nyújtása lakáscélra:</t>
  </si>
  <si>
    <t xml:space="preserve"> - lakossági</t>
  </si>
  <si>
    <t xml:space="preserve"> - Víz-Zene-Virág Fesztivál</t>
  </si>
  <si>
    <t xml:space="preserve"> - Távhő ÖKO program</t>
  </si>
  <si>
    <t xml:space="preserve"> - Távhő ÁFA miatt</t>
  </si>
  <si>
    <t xml:space="preserve"> - Távhő-nek</t>
  </si>
  <si>
    <t xml:space="preserve"> - Református Egyházközségnek</t>
  </si>
  <si>
    <t xml:space="preserve"> - IGH-nak kölcsön nyújtás (könyvtár 22.000 Vaszary  4.200, Kőkúti 7.900)</t>
  </si>
  <si>
    <t xml:space="preserve"> - Tatai Városfejlesztő Kft-nek</t>
  </si>
  <si>
    <t xml:space="preserve"> - Árpád-házi Szent Erzsébet Szakkórház és Rendelőintézetnek</t>
  </si>
  <si>
    <t xml:space="preserve"> - Tagi kölcsön Fénye Fürdő Kft-nek</t>
  </si>
  <si>
    <t>Kölcsön visszafizetés Polgármesteri Hivatalnak</t>
  </si>
  <si>
    <t>Működési</t>
  </si>
  <si>
    <t>Felhalmozási</t>
  </si>
  <si>
    <t>Hiteltörlesztés fejlesztési célú</t>
  </si>
  <si>
    <t>Egyéb finanszírozási kiadások</t>
  </si>
  <si>
    <t>Polgármesteri Hivatal 2011. évi költségvetési terve (szakfeladatok és kiemelt előirányzatok szerinti bontásban) ( E Ft-ban)</t>
  </si>
  <si>
    <t>E. Ft-ban</t>
  </si>
  <si>
    <t>Megnevezés</t>
  </si>
  <si>
    <t>Bevétel</t>
  </si>
  <si>
    <t>Kiadás</t>
  </si>
  <si>
    <t>Működési kiadások</t>
  </si>
  <si>
    <t>Felhalmozási kiadások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</si>
  <si>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</si>
  <si>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</si>
  <si>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</si>
  <si>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</si>
  <si>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</si>
  <si>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</si>
  <si>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</si>
  <si>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</si>
  <si>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</si>
  <si>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</si>
  <si>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</si>
  <si>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</si>
  <si>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</si>
  <si>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</si>
  <si>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Helyi közlekedési támogatása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</si>
  <si>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</si>
  <si>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</si>
  <si>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</si>
  <si>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</si>
  <si>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</si>
  <si>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</si>
  <si>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</si>
  <si>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</si>
  <si>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</si>
  <si>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Egyéb gép, tárgyi eszköz kölcsönzés</t>
  </si>
  <si>
    <t>Zöldterület-kezelés (Parkfenntartás)</t>
  </si>
  <si>
    <t>Zöldterület kezelés (játszótér fenntartás)</t>
  </si>
  <si>
    <t>Fénymásolás, egyéb irodai szolgáltatás</t>
  </si>
  <si>
    <t>Egyéb kiegészítő gazdasági tevékenység (népszámlálás)</t>
  </si>
  <si>
    <t>Önkormányzati jogalkotás (képviselők)</t>
  </si>
  <si>
    <t>Országos, települési és területi kisebbségi választás lebonyolítása</t>
  </si>
  <si>
    <t>Önkormányzatok igazgatási tevékenysége</t>
  </si>
  <si>
    <t>Önkormányzatok igazgatási tevékenysége (Pénzmaradvány)</t>
  </si>
  <si>
    <t>Adó, illeték kiszabása, beszedése, adó ellenőrzés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</si>
  <si>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</si>
  <si>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</si>
  <si>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</si>
  <si>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</si>
  <si>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</si>
  <si>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</si>
  <si>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</si>
  <si>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</si>
  <si>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(Építés és településfejlesztés)</t>
  </si>
  <si>
    <t>Önkormányzatok elszámolása (normatíva)</t>
  </si>
  <si>
    <t>Önkormányzatok elszámolásai (Építési bírság)</t>
  </si>
  <si>
    <t>Finanszírozási műveletek (hitel, kötvény, készfizető kezesség, hitelkamat)</t>
  </si>
  <si>
    <t>Önkormányzat elszámolás költségvetési szerv</t>
  </si>
  <si>
    <t>Önkormányzati nemzetközi feladatok („HUSK”)</t>
  </si>
  <si>
    <t>Önkormányzat nemzetközi kapcsolatai (Testvérváros)</t>
  </si>
  <si>
    <t>Közterület rendjének fenntartása (Polgárőrség)</t>
  </si>
  <si>
    <t>Tűzoltás, műszaki mentés, katasztrófahelyzet elhárítása (Polgári védelem)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</si>
  <si>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</si>
  <si>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</si>
  <si>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</si>
  <si>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</si>
  <si>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</si>
  <si>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</si>
  <si>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</si>
  <si>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</si>
  <si>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Pedagógiai szakmai szolgáltatás</t>
  </si>
  <si>
    <t>Egészségügyi intézmények támogatása</t>
  </si>
  <si>
    <t>Járóbeteg-ellátás, fogorvosi ellátás komplex fejlesztési támogatása (Háziorvosok)</t>
  </si>
  <si>
    <t>Kábítószer megelőzési program támogatás</t>
  </si>
  <si>
    <t>Idősek nappali ellátása</t>
  </si>
  <si>
    <t>Önkormányzati szociális támogatások finanszírozása</t>
  </si>
  <si>
    <t>Rendszeres szociális segély</t>
  </si>
  <si>
    <t xml:space="preserve"> </t>
  </si>
  <si>
    <t>Időskorúak járadéka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</si>
  <si>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</si>
  <si>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</si>
  <si>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</si>
  <si>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</si>
  <si>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</si>
  <si>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Óvodáztatási támogatás</t>
  </si>
  <si>
    <t>Átmeneti segély</t>
  </si>
  <si>
    <t>Temetési segély</t>
  </si>
  <si>
    <t>Rendkívüli GYEV</t>
  </si>
  <si>
    <t>Mozgáskorlátozottak közlekedési támogatása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</si>
  <si>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</si>
  <si>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</si>
  <si>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</si>
  <si>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Közgyógyellátás</t>
  </si>
  <si>
    <t>Köztemetés</t>
  </si>
  <si>
    <t>Bölcsődei ellátás</t>
  </si>
  <si>
    <t>Családi napközi</t>
  </si>
  <si>
    <t>Házi segítségnyújtás</t>
  </si>
  <si>
    <t>Támogató szolgálat</t>
  </si>
  <si>
    <t>Közösségi szolgáltatás</t>
  </si>
  <si>
    <t>Otthonteremtési támogatás</t>
  </si>
  <si>
    <t>Önkormányzat által nyújtott lakástámogatás</t>
  </si>
  <si>
    <t>Munkáltatók által nyújtott lakástámogatás</t>
  </si>
  <si>
    <t>Önkormányzati ifjúsági rendezvények és programok, valamint támogatások (Gyermekbarát város)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</si>
  <si>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</si>
  <si>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</si>
  <si>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</si>
  <si>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</si>
  <si>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</si>
  <si>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</si>
  <si>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</si>
  <si>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</si>
  <si>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</si>
  <si>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</si>
  <si>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</si>
  <si>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</si>
  <si>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</si>
  <si>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</si>
  <si>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</si>
  <si>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</si>
  <si>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Kisebbségi Önkormányzatok összesen</t>
  </si>
  <si>
    <t>Önkormányzatok igazgatási tevékenysége (zárolt előirányzatok)</t>
  </si>
  <si>
    <t>Intézmények Gazdasági Hivatalához tartozó önállóan működő intézmények 2011. évi költségvetése</t>
  </si>
  <si>
    <t>Intézmények Gazdasági Hivatalához tartozó részben önálló intézmények 2011.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</si>
  <si>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</si>
  <si>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</si>
  <si>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</si>
  <si>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</si>
  <si>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</si>
  <si>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</si>
  <si>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</si>
  <si>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</si>
  <si>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</si>
  <si>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</si>
  <si>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</si>
  <si>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</si>
  <si>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</si>
  <si>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</si>
  <si>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</si>
  <si>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</si>
  <si>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</si>
  <si>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</si>
  <si>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</si>
  <si>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>Fentartótói Kölcsön visszafizeté</t>
  </si>
  <si>
    <t>össz</t>
  </si>
  <si>
    <t>2011.V.hó</t>
  </si>
  <si>
    <t>2011. X. hó</t>
  </si>
  <si>
    <t>2011. évi felújítási kiadások célonként (ÁFA-val)</t>
  </si>
  <si>
    <t>E Ft-ban</t>
  </si>
  <si>
    <t>Eredetiből zárolt</t>
  </si>
  <si>
    <t>Mód.-ból zárolt</t>
  </si>
  <si>
    <t>Mód.(X.26.)</t>
  </si>
  <si>
    <t>Áthúzódó, kötelezettségvállalással terhelt feladatok</t>
  </si>
  <si>
    <t>ÉDV Zrt-nek üzemeltetésre átadott ivó- és szennyvízcsatorna közmű felújítása a 2010 évi amortizáció terhére</t>
  </si>
  <si>
    <t>Balatonvilágosi üdülő nyílászáró csere</t>
  </si>
  <si>
    <t>Áthúzódó, kötelezettségvállalással terhelt feladatok kötvényforrás terhére</t>
  </si>
  <si>
    <t>Talentum iskola szennyvízvezeték</t>
  </si>
  <si>
    <t>Rákóczi u. 9. homlokzat felújítása</t>
  </si>
  <si>
    <t>Vaszary Villa állagmegóvó munkái</t>
  </si>
  <si>
    <t>Polgármesteri hivatal épületébe kézi irattár</t>
  </si>
  <si>
    <t>Tervezések útburkolat felújításhoz és városrész rehabilitációhoz</t>
  </si>
  <si>
    <t>2011. évi igények</t>
  </si>
  <si>
    <t>Bérlakások felújítása</t>
  </si>
  <si>
    <t>Nem lakás célú helységek felújítása</t>
  </si>
  <si>
    <t>KEOP pályázatok  (Eötvös József Gimnázium, Magyary Művelődési Központ) tervezéshez és pályázat előkészítéshez 342/2011. (VIII.9.) Tata Kt. határozat</t>
  </si>
  <si>
    <t>József Attila Kollégium felújítási munkáira 294/2011.(VI.29.) Tata Kt. határozat</t>
  </si>
  <si>
    <t>Fényes Fürdő sportmedence javítási munkálatainak fedezésére 30. 269/2011.(VI.29.) Tata Kt. határozat</t>
  </si>
  <si>
    <t>Fényes-fürdő üdülőépület téliesítési munkái 387/2011. (IX.29.) Tata Kt. határozat</t>
  </si>
  <si>
    <t>Rózsa F. u. felújításának kiviteli terve - általános tartalékból</t>
  </si>
  <si>
    <t>„A szabadság kapuja” című, '56-os emlékmű áthelyezési kötségeire 445/2011.(IX.29.) Tata Kt. határozat</t>
  </si>
  <si>
    <t>2011. évi igények kötvényforrás terhére</t>
  </si>
  <si>
    <t>Kocsi u.-i temetőben ravatalozó felújítás</t>
  </si>
  <si>
    <t>Környei u.-i temetőben ravatalozó előtér felújítás</t>
  </si>
  <si>
    <t>Fényes fürdőn Katonai medence rendbetétele</t>
  </si>
  <si>
    <t>Művelődési ház homlokzat felújítás</t>
  </si>
  <si>
    <t>Fényes-fürdő területén épületek felújítása</t>
  </si>
  <si>
    <t>Szakrendelő lépcsőfordulóinak felújítása, nővér szoba kettéosztása</t>
  </si>
  <si>
    <t>Kertváros Óvoda - Központi fűtés</t>
  </si>
  <si>
    <t>Csillagsziget Bölcsőde - vizesblokk felújítás III. ütem</t>
  </si>
  <si>
    <t>Vaszary J. Általános Iskola - tornaterem tetőcsere</t>
  </si>
  <si>
    <t>Kőkúti Általános Iskola - mellékhelységek felújítása</t>
  </si>
  <si>
    <t>Kálvária utcai Óvoda - épület felújítási munkák</t>
  </si>
  <si>
    <t>Vaszary J. Általános Iskola Jázmin u-i tagintézménye - tetőfelújítás</t>
  </si>
  <si>
    <t>Mindösszesen</t>
  </si>
  <si>
    <t>2011. évi beruházási kiadások feladatonként (ÁFA-val)</t>
  </si>
  <si>
    <t xml:space="preserve">E Ft-ban </t>
  </si>
  <si>
    <t>ÁROP-1.A.2 Hivatal szervezetfejlesztése</t>
  </si>
  <si>
    <t>Bacsó B. u. 66. HM ingatlanban önálló ivóvíz fogyasztásmérő felszerelése</t>
  </si>
  <si>
    <t>Új hiteles, digitális alaptérkép</t>
  </si>
  <si>
    <t>Pénzügyi szoftver beszerzésére</t>
  </si>
  <si>
    <t>Jázmin u. 22-24. ingatlan vételár II. részlet</t>
  </si>
  <si>
    <t>Angolpark rehabilitációja KDOP-2.1.1/B-2f-2009-0002</t>
  </si>
  <si>
    <t>Kossuth tér rehabilitációja 277/2010. (VIII.18.)</t>
  </si>
  <si>
    <t>Kocsi u. - Dózsa Gy. u. kerékpárút 315-316./2010. (IX.22.), 348/2010.(X.27)</t>
  </si>
  <si>
    <t xml:space="preserve">Diófa út korszerűsítése </t>
  </si>
  <si>
    <t>Gondoskodó kistérség pályázat KDOP-2009-5.2.2/A 116/2010. (IV.28.)</t>
  </si>
  <si>
    <t>Új úti Bölcsőde kapacitásbővítése és minőségi fejlesztése KDOP-5.2.2/B-09-2009-0004, 115/2010. (IV.28.)</t>
  </si>
  <si>
    <t>Által-ér Völgyi kerékpárút KÖZOP-2008-3.2. 216./2010. (VI.30.)</t>
  </si>
  <si>
    <t>Szemere u. és Aradi u. csapadékvíz elvezetés tervezés</t>
  </si>
  <si>
    <t>V. dűlő szikkasztó árok készítés</t>
  </si>
  <si>
    <t>Kocsi u. 4. ingatlan vételárrész 8/2hrsz</t>
  </si>
  <si>
    <t>Fazekas u. 9-10-11 előtti parkolók építése</t>
  </si>
  <si>
    <t>Piac téri útkorszerűsítés önkormányzati rész</t>
  </si>
  <si>
    <t>Intézmények energiaracionalizálása -  a pályázat elszámolásának technikai fedezetéül pénzmaradványból</t>
  </si>
  <si>
    <t>Kocsi u. - Dózsa Gy. u. kerékpárút projekt - a pályázat elszámolásának technikai fedezetéül pénzmaradványból</t>
  </si>
  <si>
    <t>Tata-Kártya programmal kapcsolatos költségek</t>
  </si>
  <si>
    <t>Számítástechnikai eszközbeszerzés (hardver, szoftver, hálózatbővítés)</t>
  </si>
  <si>
    <t>Által-ér Völgyi kerékpárút KÖZOP-2008-3.2.</t>
  </si>
  <si>
    <t>Új úti Bölcsőde kapacitásbővítése és minőségi fejlesztése KDOP-5.2.2/B-09-2009-0004 többletönerő</t>
  </si>
  <si>
    <t>Kastélykertben található támfal (1850/9 hrsz.) helyreállítás</t>
  </si>
  <si>
    <t>Tervezések sporttal összefüggő feladatokra</t>
  </si>
  <si>
    <t>Piac tér útkorszerűsítése 395/2011.(IX.29.) Tata Kt. határozata</t>
  </si>
  <si>
    <t>Vörösmarty u. korszerűsítésének pótmunkái 396/2011.(IX.29.) Tata Kt. határozata</t>
  </si>
  <si>
    <t>Komáromi utca- Új út körforgalmi csomópont beruházás engedélyezési eljárási díja 397/2011.(IX.29.) Tata Kt. határozat</t>
  </si>
  <si>
    <t>Május 1 út - Ady E. út körforgalmi csomópont beruházás hatósági díj 397/2011.(IX.29.) Tata Kt. határozat</t>
  </si>
  <si>
    <t>Újhegyi úti vízfolyás rekonstrukciójával (Vasút u. korszerűsítés) kapcsolatos eljárási és kisajátítási költségeire 409/2011.(IX.29.) Tata Kt. határozat</t>
  </si>
  <si>
    <t>Május 1 úti körforgalom átépítéséhez kapcsolódó feladatokra 429/2011.(IX.29.) Tata Kt. határozat</t>
  </si>
  <si>
    <t xml:space="preserve">Réti 8. sz. tó élőhely-védelme céljából benyújtandó pályázathoz önerő KEOP-7.3.1.2/09-11 240/2011. (V.25.) sz. határozat </t>
  </si>
  <si>
    <t>Baji úti kerékpárút pályázat pályázatírói megbízására  336/2011. (VII.11.) sz. határozat</t>
  </si>
  <si>
    <t>Baji út melletti kerékpárút KDOP-4.2.2-11. 340/2011. (VIII.9.) Tata Kt. határozat</t>
  </si>
  <si>
    <t>József Attila utca csapadékvíz elvezetése 341/2011. (VIII.9.) Tata Kt. határozat</t>
  </si>
  <si>
    <t>Vaszary Általános Iskolában sportpálya építésére pályázatírói díj 372/2011 (IX.7.) sz. határozat</t>
  </si>
  <si>
    <t>Baji úti közvilágítás 403/2011. (IX.29.) Tata Kt. határozat</t>
  </si>
  <si>
    <t>Öreg tavi Ökoturisztikai Központtal kapcsolatos engedélyezési eljárás lefolytatására 448/2011. (IX.29.) Tata Kt. határozat</t>
  </si>
  <si>
    <t>Újhegy városrész szabályozási terv (útkisajátítás) feladatra 428/2011. (IX.29.) Tata Kt. határozat</t>
  </si>
  <si>
    <t>A tatai 1880/3 hrsz-ú és a 1880/6 hrsz-ú ingatlanok kisajátítása 428/2011. (IX.29.) Tata Kt. határozata</t>
  </si>
  <si>
    <t>Tata, Zsigmond u. 15. szám alatti ingatlan megvásárlására 427/2011. (IX.29.) Tata Kt. határozat</t>
  </si>
  <si>
    <t xml:space="preserve">V. dűlő szikkasztó árok beruházási munkáihoz 398/2011.(IX.29.) Tata Kt. határozat </t>
  </si>
  <si>
    <t>Intermodális Központ létesítése Tatán KÖZOP – 2009-5.4.0-09-11 pályázatíró megbízására</t>
  </si>
  <si>
    <t>Résztulajdon vásárlás a Bercsényi utca 7. ingatlanból 1659/1 hrsz 304/2011.(VI.29.) Tata Kt. határozat</t>
  </si>
  <si>
    <t>A kialakuló tatai 648/1 és 648/2 hrsz.-ú ingatlan közművesítésére 347/2011.(VIII.9.) Tata Kt. határozat</t>
  </si>
  <si>
    <t>Tatai Városgazda Nonprofit Kft. telephely vízellátására és szennyvízelvezetésére 401/2011.(IX.29.) Tata Kt. határozat</t>
  </si>
  <si>
    <t>A Polgármesteri Hivatal irattári páternoszterének tartozékaira 405/2011.(IX.29.) Tata Kt. határozata</t>
  </si>
  <si>
    <t>Kossuth tér rehabilitációja 408/2011.(IX.29.) Tata Kt. határozat</t>
  </si>
  <si>
    <t>Személygépkocsi vásárlása</t>
  </si>
  <si>
    <t>TIOP 1.1.1/07/1 jelű pályázathoz 317/2011.(VI.29.) Tata Kt. határozat</t>
  </si>
  <si>
    <t>Emlékoszlop szakértői díja - általános tartalékból</t>
  </si>
  <si>
    <t>Alkotmány u. járdaépítés - általános tartalékból</t>
  </si>
  <si>
    <t>Amaf mángorló - Általános tartalékból</t>
  </si>
  <si>
    <t>József A. u. - Új úti körforgalom közvilágítás fejlesztés</t>
  </si>
  <si>
    <t>Koltói-Környei u. csapadékvíz elvezetés, V.-VI. dűlő vízelvezető burkolat árok készítés</t>
  </si>
  <si>
    <t>Nagy L. u. - Tavasz u. vízelvezetés</t>
  </si>
  <si>
    <t>Mindszenty téri lakásokban kazán csere (32db) és kéménybélés</t>
  </si>
  <si>
    <t>Kisajátítások, kártalanítások</t>
  </si>
  <si>
    <t xml:space="preserve"> - Agostyáni u.</t>
  </si>
  <si>
    <t xml:space="preserve"> - Újhegy városrész szabályozási terv szerint</t>
  </si>
  <si>
    <t xml:space="preserve"> - Egyéb kisajátítási eljárások (József A. u., Ady E. u., Akácfa u., Kert u.)</t>
  </si>
  <si>
    <t>Fényes fasori Idősek Otthona bővítés</t>
  </si>
  <si>
    <t>KÖZOP-3.2.0/C, KDOP-2.1.1, KDOP-3.1.1/A Pályázatokra a 109/2011.(III.30.) sz. határozat alapján</t>
  </si>
  <si>
    <t>Szoftver állomány bővítés</t>
  </si>
  <si>
    <t>Móricz Zsigmond Városi Könyvtár - TIOP pályázat</t>
  </si>
  <si>
    <t>Fürdő Utcai Óvoda - új főzőzsámolyok</t>
  </si>
  <si>
    <t>Csillagsziget Bölcsőde</t>
  </si>
  <si>
    <t>Szociális Alapellátó - Támogató szolgálat</t>
  </si>
  <si>
    <t>Tata Város Önkormányzata által folyósított 2011. évi ellátások alakulásának részletezése</t>
  </si>
  <si>
    <t>(E Ft-ban)</t>
  </si>
  <si>
    <t>Lehívható központi támogatás</t>
  </si>
  <si>
    <t>Lehívható központi támogatás (V.25.)</t>
  </si>
  <si>
    <t>Bérpótló támogatás</t>
  </si>
  <si>
    <t>Rendelkezésre állási támogatás, illetve bérpótló juttatás</t>
  </si>
  <si>
    <t>Tartósan munkanélküliek rendszeres szociális segélye</t>
  </si>
  <si>
    <t>Rendszeres szociális segély (egészségkárosodottak részére)</t>
  </si>
  <si>
    <t>Lakásfenntartási támogatás (normatív)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</si>
  <si>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</si>
  <si>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</si>
  <si>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</si>
  <si>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</si>
  <si>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Rendszeres gyermekvédelmi támogatás (normatív)</t>
  </si>
  <si>
    <t>Rendkívüli gyermekvédelmi támogatás (helyi megállapítás)</t>
  </si>
  <si>
    <t>Tatai fiatalok életkezdési támogatásához</t>
  </si>
  <si>
    <t>Közlekedési támogatás tanulóknak</t>
  </si>
  <si>
    <t>Gyermektartásdíj megelőlegezése</t>
  </si>
  <si>
    <t>Lakáshitel törlesztések támogatása</t>
  </si>
  <si>
    <t>Tanulóbérlet</t>
  </si>
  <si>
    <t>Rászorultságtól függő pénzbeli szociális, gyermekvédelmi ellátások összesen</t>
  </si>
  <si>
    <t>Önkormányzati saját hatáskörben adott természetbeni ellátás (HPV védőoltás)</t>
  </si>
  <si>
    <t>Házi segítségnyújtás előtti szakértői vizsgálatra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</si>
  <si>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</si>
  <si>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</si>
  <si>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</si>
  <si>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 xml:space="preserve">Ápolási díj járulék 24 % </t>
  </si>
  <si>
    <t xml:space="preserve"> - normatív</t>
  </si>
  <si>
    <t xml:space="preserve"> - méltányosság </t>
  </si>
  <si>
    <t>Tata Város Polgármesteri Hivatal pénzeszközátadásainak és támogatásainak 2011. évi előirányzata (E Ft-ban)</t>
  </si>
  <si>
    <t>Működési célú pénzeszközátadások és támogatások:</t>
  </si>
  <si>
    <t>Tatai Városgazda Nonprofit Kft.-nek bérre és működésre</t>
  </si>
  <si>
    <t>Tatai Városkapu Nonprofit Zrt. támogatása közhasznú megállapodás alapján, a Zrt. igazgatójának prémiumjára 232/2011.(V.25.) Tata Kt. határozat</t>
  </si>
  <si>
    <t>Tatai Televízió Közalapítvány támogatása</t>
  </si>
  <si>
    <t>TDM szervezet működtetésére 270/2009. (VIII.12.)</t>
  </si>
  <si>
    <t>Juniorka alapítványi Óvoda támogatása a közoktatási megállapodás alapján</t>
  </si>
  <si>
    <t>Juniorka alapítványi Bölcsőde támogatása a közoktatási megállapodás alapján</t>
  </si>
  <si>
    <t>Bursa Hungarica és Mecénás Közalapítvány támogatása</t>
  </si>
  <si>
    <t>Kenderke Néptánc Egyesület</t>
  </si>
  <si>
    <t>Concerto Nonprofit Kft. támogatása</t>
  </si>
  <si>
    <t>Oktatási és kulturális alap</t>
  </si>
  <si>
    <t>Egészségvédelmi és sport alap</t>
  </si>
  <si>
    <t>Környezetvédelmi alap</t>
  </si>
  <si>
    <t>Tata Ifjúsági kártya 417/2010. (XII.15.)</t>
  </si>
  <si>
    <t>Tata-kártya program keretében családtámogatási rendszer</t>
  </si>
  <si>
    <t>Kőkúti Sasok Diáksport Egyesület támogatása</t>
  </si>
  <si>
    <t>Magyar Máltai Szeretetszolgálat Tatai Csoportjának</t>
  </si>
  <si>
    <t>Magyar Vöröskereszt Tatai Szervezetének</t>
  </si>
  <si>
    <t>Tanuló bérletekre</t>
  </si>
  <si>
    <t>Háziorvosok támogatása (250 EFt / 21praxis)</t>
  </si>
  <si>
    <t>HU-SK 08/01-0188 projekt támogatás visszafizetés</t>
  </si>
  <si>
    <t>Kis- és középvállalkozások támogatása</t>
  </si>
  <si>
    <t xml:space="preserve">THAC-nak </t>
  </si>
  <si>
    <t>Polgárőrségnek</t>
  </si>
  <si>
    <t>Tata Város Önkormányzattól tatai Kisebbségi Önkormányzatoknak</t>
  </si>
  <si>
    <t>Tatai Távhő Kft.-nek rendkívüli karbantartási munkákra 405/2010 (XII.15.)</t>
  </si>
  <si>
    <t>Közép-dunántúli Regionális Mentőszervezet támogatása</t>
  </si>
  <si>
    <t>Hódy Sport Egyesületnek</t>
  </si>
  <si>
    <t>Vívó SE</t>
  </si>
  <si>
    <t>Tatai Sport Egyesületnek</t>
  </si>
  <si>
    <t>Tatai Rendőrkapitányságnak</t>
  </si>
  <si>
    <t>5. sz. fogászati alapellátási körzet helyettesítésének megoldásához</t>
  </si>
  <si>
    <t>Közép-Duna Vidéke Hulladékgazdálkodási Önkormányzati Társulás 2010-2011. évi tagdíja</t>
  </si>
  <si>
    <t>Tatai Városkapu Zrt. támogatása Tata-kártya program bevezetése miatt</t>
  </si>
  <si>
    <t>KEMÖ Természeti katasztrófa károsultak pályázati alapjának</t>
  </si>
  <si>
    <t>Általános tartalékból pénzeszközátadások</t>
  </si>
  <si>
    <t xml:space="preserve"> - Magyar Politikai Foglyok Szövetségének</t>
  </si>
  <si>
    <t xml:space="preserve"> - Történelmi Igazságtételi Bizottság 56-os Tagozat Tatai Városi Szervezetének</t>
  </si>
  <si>
    <t xml:space="preserve"> - Turul Média Kft.-nek - a Forrás Rádió I. negyedévi támogatása</t>
  </si>
  <si>
    <t xml:space="preserve"> - Bliss Alapítvány - Segítő Kommunikáció-módszertani Központ - 2010/2011-es tanévre</t>
  </si>
  <si>
    <t xml:space="preserve"> - Magyar Vöröskereszt Tata Területi Szervezetének - szociálisan rászoruló és egészségkárosodott gyerekek táboroztatására</t>
  </si>
  <si>
    <t xml:space="preserve"> - Tatai Városkapu Zrt.-nek - a Magyar Kultúra napján rendezett program támogatása</t>
  </si>
  <si>
    <t xml:space="preserve"> - Pusztinai Hazáért Egyesületnek a 202/2011. (IV.27.) sz. határozat alapján</t>
  </si>
  <si>
    <t xml:space="preserve"> - Peter Cerny Alapítványnak a 136/2011. (III.30.) sz. határozat alapján</t>
  </si>
  <si>
    <t xml:space="preserve"> - Magyary Zoltán Népfőiskolai Társaságnak a városi képzési programok támogatására</t>
  </si>
  <si>
    <t xml:space="preserve"> - Monarchia Bélyeges Tégla Gyűjtők Egyesületének Helytörténeti kiadvány megjelentetésére</t>
  </si>
  <si>
    <t xml:space="preserve"> - Magyar Máltai Szeretetszolgálatnak Árvízkárosultak lakhatási támogatására</t>
  </si>
  <si>
    <t xml:space="preserve"> - Pro-Minoritate Alapítványnak a 22. Bálványosi Szabadi Nyári Egyetem támogatása</t>
  </si>
  <si>
    <t xml:space="preserve"> - THAC kézilabda csapatnak az NB1-es aranyérem elismerésére</t>
  </si>
  <si>
    <t xml:space="preserve"> - Jazz and More együttesnek a Pedagógus napi előadásra</t>
  </si>
  <si>
    <t xml:space="preserve"> - Mátyás István vállalkozónak a Nemzeti vágta előfutamán  való részvételre</t>
  </si>
  <si>
    <t xml:space="preserve"> - THAC-nak - Hernádi László autóversenyző támogatása</t>
  </si>
  <si>
    <t xml:space="preserve"> - Schwáb és Társa Kft.-nek Sipos Zoltán Tata képek című albumkiállítás támogatására</t>
  </si>
  <si>
    <t xml:space="preserve"> - THAC-nak - NB1-ben való szereplés támogatása, kézilabda csapat</t>
  </si>
  <si>
    <t xml:space="preserve"> - Mozgáskorlátozottak KEM szervezete - Közüzemi költségek fedezetére</t>
  </si>
  <si>
    <t>Helyi közösségi közlekedés támogatása a Vértes Volán Zrt.-nek</t>
  </si>
  <si>
    <t>Vértes Volán Zrt.-nek 144/2011. (IV.27.) sz. határozat szerint veszteségrendezésre</t>
  </si>
  <si>
    <t>Általános iskolák alsó tagozatos tanulóinak az iskolatej programjához a Tatai Kistérségi Többcélú Társulásnak 413/2011.(IX.29.) Tata Kt. határozat</t>
  </si>
  <si>
    <t>Tatai Kenderke Néptáncegyesületnek a 12. Tatai Sokadalom költségvetési hiányának fedezetéül 425/2011.(IX.29.) Tata Kt. határozat</t>
  </si>
  <si>
    <t>Rákóczi Szövetség támogatása a szövetség beiratkozási ösztöndíj programjához 319/2011.(VI.29.) Tata Kt. határozat</t>
  </si>
  <si>
    <t>Pötörke Népművészeti Egyesületnek</t>
  </si>
  <si>
    <t>Összesen:</t>
  </si>
  <si>
    <t>Felhalmozási célú pénzeszközátadások és támogatások:</t>
  </si>
  <si>
    <t>Vissza nem térítendő kamatmentes támogatás</t>
  </si>
  <si>
    <t>Vértes Volán Zrt.-nek 353/2010 (XI.24.)</t>
  </si>
  <si>
    <t>Keszthelyi u. 10. THK részére bankgaranciából</t>
  </si>
  <si>
    <t>Polgárdi Önkormányzatnak</t>
  </si>
  <si>
    <t>Közműfejlesztési hozzájárulás</t>
  </si>
  <si>
    <t>Lakossági közműfejlesztési hozzájárulás</t>
  </si>
  <si>
    <t>THAC-nak 309/2011.(VI.29.) Tata Kt. határozata</t>
  </si>
  <si>
    <t>Tatai Televízió támogatása 412/2011.(IX.29.) Tata Kt. határozata</t>
  </si>
  <si>
    <t>Felhalmozási célú pénzeszközátadások és támogatások kötvényforrás terhére:</t>
  </si>
  <si>
    <t>Értékvédelmi alap 355/2010. (XI.24.)</t>
  </si>
  <si>
    <t>Összefogás az energiahatékonyság jegyében a tatai kistérségben pályázat önereje</t>
  </si>
  <si>
    <t>Május 1. u. körforgalmi csomópont feladatra az Útpénztárnak 429/2011.(IX.29.) Tata Kt. határozata</t>
  </si>
  <si>
    <t>Panel Programra 231/2008 (VIII.28.), 346/2009 (IX.30.), 498/2009 (XII.22.)</t>
  </si>
  <si>
    <t>Öko programra 230/2008 (VIII.28.), 143/2009 (V.27.), 109/2010 (XII.15.)</t>
  </si>
  <si>
    <t>NEP pályázatra 14/2008 (III.28.)</t>
  </si>
  <si>
    <t>ZBR pályázatra</t>
  </si>
  <si>
    <t>Tatai Városgazda Nonprofit Kft.-nek telephely kialakításnak befejezésére 402/2010 (XII.15.), 401/2011.(IX.29.) Tata Kt. határozata</t>
  </si>
  <si>
    <t>Tatai Távhőnek a rendszer biztonságos működésével kapcsolatos felújításokra</t>
  </si>
  <si>
    <t>Közlekedésbiztonsági kis költségű beavatkozások pályázathoz az Útpénztárnak</t>
  </si>
  <si>
    <t>Közlekedésbiztonsági tervezések pályázathoz az Útpénztárnak</t>
  </si>
  <si>
    <t>Tatai Kistérségi Idősek Otthona TIOP pályázat önerőre</t>
  </si>
  <si>
    <t xml:space="preserve">Tata Város Polgármesteri Hivatal </t>
  </si>
  <si>
    <t>támogatásértékű bevételei és államháztartáson kívülről átvett pénzeszközeinek</t>
  </si>
  <si>
    <t>2011. évi alakulása (E Ft-ban)</t>
  </si>
  <si>
    <t>Mód.(V25.)</t>
  </si>
  <si>
    <t>Munkaügyi Központtól közfoglalkoztatásra</t>
  </si>
  <si>
    <t>Tatai Kistérségi Többcélú Társulástól</t>
  </si>
  <si>
    <t>Jelzőrendszeres házi segítségnyújtás</t>
  </si>
  <si>
    <t>Támogatószolgálat</t>
  </si>
  <si>
    <t>Közösségi ellátás</t>
  </si>
  <si>
    <t>Tardos Önkormányzattól általános iskola működésére</t>
  </si>
  <si>
    <t>Kisebbségi Önkormányzatok általános támogatása</t>
  </si>
  <si>
    <t>Kisebbségi elektor választásra</t>
  </si>
  <si>
    <t>Tata Város Önkormányzattól tatai Kisebbségi Önkormányzatok támogatása</t>
  </si>
  <si>
    <t>2010. évi CLXIX törvény alapján támogatás</t>
  </si>
  <si>
    <t>Rendszeres gyermekvédelmi támogatás</t>
  </si>
  <si>
    <t>KEM-i Német Kisebbségi Önkormányzattól a Tatai Német Kisebbségi Önkormányzatnak</t>
  </si>
  <si>
    <t>Népszámlálás</t>
  </si>
  <si>
    <t>Nemzeti Erőforrás Minisztérium Szabadidő Sportfesztiválok Tatán SPO-SE 2009/276</t>
  </si>
  <si>
    <t>Sportfesztiválok Tatán, a Wesselényi Alaptól SPO-SE-10</t>
  </si>
  <si>
    <t>Nemzeti Erőforrás KAB-KEF 09-A/0003</t>
  </si>
  <si>
    <t>Kistérségtől - Német Kisebbségi Önkormányzatnak</t>
  </si>
  <si>
    <t>Támogatás értékű felhalmozási célú bevételek</t>
  </si>
  <si>
    <t>ÁROP Hivatal szervezetfejlesztése ÁROP-1.A.2./A-2008-0087</t>
  </si>
  <si>
    <t>Intézmények energiaracionalizálása KEOP-5.1.0-2008-0037</t>
  </si>
  <si>
    <t>Kossuth tér rehabilitációja</t>
  </si>
  <si>
    <t>Kocsi u. - Dózsa Gy. u. kerékpárút pályázat KDOP-4.2.2-09-2009-0003</t>
  </si>
  <si>
    <t>Gondoskodó Kistérség KDOP-5.2.2/A-09-2009-0006</t>
  </si>
  <si>
    <t>Új u.-i Bölcsőde bővítése projekt KDOP-5.2.2/B-09-2009-0004</t>
  </si>
  <si>
    <t>Által-ér Völgyi kerékpárút</t>
  </si>
  <si>
    <t>Bartók B. u 1. (2557/22 hrsz) ingatlan tulajdonjogának megvonása miatti kártalanítás</t>
  </si>
  <si>
    <t>Által-ér Völgyi kerékpárút projektre Tatabánya és Vértesszőlős Önkormányzatoktól</t>
  </si>
  <si>
    <t xml:space="preserve">Foglalkoztatási és Szociális Hivataltól Pszichiátriai ellátás </t>
  </si>
  <si>
    <t>Foglalkoztatási és Szociális Hivataltól Jelzőrendszeres házi segítségnyújtás</t>
  </si>
  <si>
    <t>Foglalkoztatási és Szociális Hivataltól Támpgató Szolgálat</t>
  </si>
  <si>
    <t>Működési célra átvett pénzeszközök államháztartáson kívülről</t>
  </si>
  <si>
    <t>2010. évi "Rend és iskola" konferencia pályázati támogatása</t>
  </si>
  <si>
    <t>HU-SK 09/01-0074 pályázat</t>
  </si>
  <si>
    <t>HU-SK 08/01-0188</t>
  </si>
  <si>
    <t>Európai Bizottság - "Interaktív generációk" rendezvény sorozat</t>
  </si>
  <si>
    <t>Felhalmozási célra átvett pénzeszközök államháztartáson kívülről</t>
  </si>
  <si>
    <t>Befejezett viziközmű társulatoktól átvett</t>
  </si>
  <si>
    <t>Keszthelyi u. 10. THK garanciális felújításaira</t>
  </si>
  <si>
    <t>1510-es emlékmű pályázati támogatása Képző- és Iparművészeti Lektorátustól</t>
  </si>
  <si>
    <t>Újhegyi közműfejlesztési hozzájárulás (áthúzódó)</t>
  </si>
  <si>
    <t>Önkormányzati költségvetési szervek engedélyezett álláshelyeinek száma</t>
  </si>
  <si>
    <t>Költségvetési szervek megnevezése</t>
  </si>
  <si>
    <t>Engedélyezett létszám (fő)</t>
  </si>
  <si>
    <t>Fürdő utcai Óvoda</t>
  </si>
  <si>
    <t>Kálvária utcai Óvoda</t>
  </si>
  <si>
    <t>Szivárvány Óvoda</t>
  </si>
  <si>
    <t>Geszti Óvoda</t>
  </si>
  <si>
    <t>Bartók B. úti Óvoda</t>
  </si>
  <si>
    <t>Kertvárosi Óvoda</t>
  </si>
  <si>
    <t>Kincseskert Óvoda</t>
  </si>
  <si>
    <t>Bergengócia Óvoda</t>
  </si>
  <si>
    <t>Kőkúti Általános Iskola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</si>
  <si>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</si>
  <si>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</si>
  <si>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</si>
  <si>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</si>
  <si>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</si>
  <si>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</si>
  <si>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Szociális Alapellátó Intézmény</t>
  </si>
  <si>
    <t xml:space="preserve">Intézmények Gazdasági Hivatala </t>
  </si>
  <si>
    <t>Intézmények Gazdasági Hivatala összesen</t>
  </si>
  <si>
    <t>Városi Önkormányzat Intézmények összesen:</t>
  </si>
  <si>
    <t>Polgármesteri Hivatal:</t>
  </si>
  <si>
    <t xml:space="preserve"> - köztisztviselők, ügyintézők</t>
  </si>
  <si>
    <t xml:space="preserve"> - választott tisztségviselő</t>
  </si>
  <si>
    <t xml:space="preserve"> - Közterület-felügyelet (önállóan működő)</t>
  </si>
  <si>
    <t>Közfoglalkoztatottak éves létszám-erőirányzata</t>
  </si>
  <si>
    <t>Átlag létszám (fő)</t>
  </si>
  <si>
    <t>Hosszabb időtartamú közfogalalkoztatás</t>
  </si>
  <si>
    <t>Rövid időtartamú közfoglalkoztatás</t>
  </si>
  <si>
    <t xml:space="preserve"> Kötvénykibocsátásból rendelkezésre álló fejlesztési forrás felhasználás (E Ft-ban)</t>
  </si>
  <si>
    <t>2008. évben kibocsátott kötvény</t>
  </si>
  <si>
    <t>Kötvénykibocsátásból bevétel:</t>
  </si>
  <si>
    <t>Mód.(V.25)</t>
  </si>
  <si>
    <t xml:space="preserve">Előző évi pénzmaradvány </t>
  </si>
  <si>
    <t>Pénzmaradványból Gondoskodó kistérség elkülönített számláról</t>
  </si>
  <si>
    <t>Pénzmaradványból Új u.-i Bölcsőde bővítése elkülönített számláról</t>
  </si>
  <si>
    <t>Pénzügyi befektetés (kötvényből) kamata</t>
  </si>
  <si>
    <t>Rendszerhiba miatti dupla terhelés jóváírása (kocsi u.-Dózsa Gy. u. kerékpárút</t>
  </si>
  <si>
    <t>Támogatásértékű felhalmozási célú bevételek:</t>
  </si>
  <si>
    <t>Angol park rehabilitációja KDOP-2.1.1/B-2f-2009-0002</t>
  </si>
  <si>
    <t>Kötvénykibocsátásból tervezett kiadások</t>
  </si>
  <si>
    <t>Kötvény után fizetendő kamat</t>
  </si>
  <si>
    <t>Megbízási szerződés szerint fizetendő díj (Budapest Priv-Invest Kft-nek)</t>
  </si>
  <si>
    <t>Beruházási feladatok 2011.évi:</t>
  </si>
  <si>
    <t>Kocsi u. - Dózsa Gy. u. kerékpárút kerékpárút 315-316./2010. (IX.22.), 348/2010.(X.27)</t>
  </si>
  <si>
    <t>Diófa út korszerűsítése</t>
  </si>
  <si>
    <t>Kocsi u. 4. Ingatlan vételár rész 8/2 hrsz.</t>
  </si>
  <si>
    <t>Piac téri útkorszerűsítés Önkormányzati rész</t>
  </si>
  <si>
    <t>Kastély kertben található támfal (1850/9 hrsz.) helyreállítás</t>
  </si>
  <si>
    <t>Mindszenty téri lakásokban kazáncsere (32 db) és kéménybélés</t>
  </si>
  <si>
    <t>Fényes Fasori Idősek Otthona bővítés</t>
  </si>
  <si>
    <t>Egyéb kisajátítási eljárások (József A. u., Ady E. u., Akácfa u., Kert u.)</t>
  </si>
  <si>
    <t>Fazekas u. 9-10-11 parkolók</t>
  </si>
  <si>
    <t>Kossuth tér rehabilitációja 277/2010.(VIII.18.)</t>
  </si>
  <si>
    <t>KÖZOP - 3.2.0/C, KDOP - 2.1.1, KDOP - 3.1.1/A pályázatokra a 109/2011. (III.30.) sz. határozat alapján</t>
  </si>
  <si>
    <t>Tatai Városgazda Nonprofit Kft. új telephelyének vízellátására és szennyvízelvezetésére</t>
  </si>
  <si>
    <t>Felújítás 2011. évi:</t>
  </si>
  <si>
    <t>Talentum Iskola szennyvízvezeték</t>
  </si>
  <si>
    <t>Rákóczi út 9. homlokzat felújítása</t>
  </si>
  <si>
    <t>Kocsi úti temetőben ravatalozó felújítás</t>
  </si>
  <si>
    <t>Környei úti temetőben ravatalozó előtér felújítás</t>
  </si>
  <si>
    <t>Polgármesteri Hivatal épületében kézi irattár</t>
  </si>
  <si>
    <t>Vaszary Villa állagmegovó munkái</t>
  </si>
  <si>
    <t>Felhalmozási célú pénzeszközátadások és támogatások</t>
  </si>
  <si>
    <t>Panel Programra 231/2008 (VIII. 28.), 246/2009 (IX.30.), 498/2009 (XII.22.)</t>
  </si>
  <si>
    <t xml:space="preserve">Május 1. Út körforgalmi csomópont feladatra az útpénztárnak </t>
  </si>
  <si>
    <t>Tatai Városgazda Nonprofit Kft-nek telephely kialakításának befejezésére 402/2010.(XII.15.)</t>
  </si>
  <si>
    <t xml:space="preserve">Tatai Távhőnek a rendszer biztonságos működésével kapcsolatos felújításokra </t>
  </si>
  <si>
    <t>Közlekedésbiztonsági kisköltségű beavatkozások pályázathoz az útpénztárnak</t>
  </si>
  <si>
    <t>Átvezetés felhalmozási tartalékba</t>
  </si>
  <si>
    <t>Gondoskodó Kistérség pályázat-projektmenedzsment megbízási díj (személyi 2.260 E Ft, járulék 549 E Ft)</t>
  </si>
  <si>
    <t>Új úti Bölcsöde bővítése projekt-menedzsment megbízási díj (személyi 777 E Ft, járulék 189 E Ft)</t>
  </si>
  <si>
    <t>Felhasználási javaslat  összege a 2011. évi költségvetésben:</t>
  </si>
  <si>
    <t>Kötvényforrás tartaléka:</t>
  </si>
  <si>
    <t>Tervezett kötvény kibocsátás, felhasználás</t>
  </si>
  <si>
    <t>Zárolt</t>
  </si>
  <si>
    <t>Szabad</t>
  </si>
  <si>
    <t>Megnevezés:</t>
  </si>
  <si>
    <t>Hitelfelvétel, kötvénykibocsátás</t>
  </si>
  <si>
    <t>Támogatásértékű felhalmozási célú bevétel</t>
  </si>
  <si>
    <t>Által-ér völgyi kerékpárút</t>
  </si>
  <si>
    <t>Pénzmaradványból Angolpark rehabilitációja elkülönített számláról</t>
  </si>
  <si>
    <t>Új kötvénykibocsátásból tervezett kiadások</t>
  </si>
  <si>
    <t>Által-ér völgyi kerékpárút KÖZOP-2008-3.2 216/2010.(VI.31.)</t>
  </si>
  <si>
    <t>Felújítási feladatok 2011. évi</t>
  </si>
  <si>
    <t>Panel Program 231/2008.(VIII.28.), 246/2009.(IX.30.), 498/2009.(XII.22.)</t>
  </si>
  <si>
    <t>Öko program 230/2008.(VIII.28.), 143/2009.(V.27.), 109/2010.(XII.15.)</t>
  </si>
  <si>
    <t>Közlekedésbiztonsági tervezések pályázathoz az útpénztárnak</t>
  </si>
  <si>
    <t>Tatai Kistérségi Idősek Otthona TIOP pályázat önerőre 243/2008.(VIII.28.)</t>
  </si>
  <si>
    <t xml:space="preserve">Német Kisebbségi Önkormányzat </t>
  </si>
  <si>
    <t>2011. évi költségvetése (E Ft)</t>
  </si>
  <si>
    <t xml:space="preserve">Megnevezés </t>
  </si>
  <si>
    <t>Dologi kiadások és egyéb folyó kiadások</t>
  </si>
  <si>
    <t>Költségvetési aktív pénzügyi elszámolások</t>
  </si>
  <si>
    <t>Függő kiadás</t>
  </si>
  <si>
    <t>Helyi kisebbségi önkormányzatok kiadásai összesen</t>
  </si>
  <si>
    <t>Működési célú támogatásértékű bevétel kp-i ktgvetési szervtől</t>
  </si>
  <si>
    <t>Működési célú támogatásértékű bevétel önkorm. Kv-i szervtől (PH)</t>
  </si>
  <si>
    <t>Működési célú támogatásértékű bevétel többc.kistérs.társ.-tól</t>
  </si>
  <si>
    <t>Helyi kisebbségi önkormányzatok bevételei összesen</t>
  </si>
  <si>
    <t xml:space="preserve">Cigány Kisebbségi Önkormányzat </t>
  </si>
  <si>
    <t xml:space="preserve">Lengyel Kisebbségi Önkormányzat </t>
  </si>
  <si>
    <t>Tájékoztatás a zárolt feladatokról (E Ft)</t>
  </si>
  <si>
    <t>Felhalmozási tartalékon lévő zárolt kiadás típusa</t>
  </si>
  <si>
    <t>A zárolt kiadás bevételi forrása</t>
  </si>
  <si>
    <t>Felhalmozási célú pénzeszközát-adás</t>
  </si>
  <si>
    <t>Kötvény 2011.</t>
  </si>
  <si>
    <t>Támogatás értékű felhalmozási bevétel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</si>
</sst>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@"/>
    <numFmt numFmtId="167" formatCode="#,##0;\-#,##0"/>
    <numFmt numFmtId="168" formatCode="0"/>
    <numFmt numFmtId="169" formatCode="0.00"/>
    <numFmt numFmtId="170" formatCode="0.0"/>
  </numFmts>
  <fonts count="41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625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3" fillId="0" borderId="9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4" fontId="3" fillId="0" borderId="14" xfId="0" applyFont="1" applyBorder="1" applyAlignment="1">
      <alignment wrapText="1"/>
    </xf>
    <xf numFmtId="165" fontId="4" fillId="0" borderId="14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3" fillId="0" borderId="16" xfId="0" applyFont="1" applyBorder="1" applyAlignment="1">
      <alignment/>
    </xf>
    <xf numFmtId="164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4" fontId="4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3" fillId="0" borderId="13" xfId="0" applyFont="1" applyBorder="1" applyAlignment="1">
      <alignment vertical="center"/>
    </xf>
    <xf numFmtId="164" fontId="3" fillId="0" borderId="14" xfId="0" applyFont="1" applyBorder="1" applyAlignment="1">
      <alignment vertical="center"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4" fontId="4" fillId="0" borderId="16" xfId="0" applyFont="1" applyBorder="1" applyAlignment="1">
      <alignment horizontal="left" wrapText="1"/>
    </xf>
    <xf numFmtId="164" fontId="3" fillId="0" borderId="13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4" fillId="0" borderId="13" xfId="0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5" fontId="5" fillId="0" borderId="14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4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4" fontId="3" fillId="0" borderId="15" xfId="0" applyFont="1" applyBorder="1" applyAlignment="1">
      <alignment/>
    </xf>
    <xf numFmtId="166" fontId="3" fillId="0" borderId="14" xfId="0" applyNumberFormat="1" applyFont="1" applyBorder="1" applyAlignment="1">
      <alignment/>
    </xf>
    <xf numFmtId="164" fontId="3" fillId="0" borderId="18" xfId="0" applyFont="1" applyBorder="1" applyAlignment="1">
      <alignment/>
    </xf>
    <xf numFmtId="164" fontId="7" fillId="0" borderId="19" xfId="0" applyFont="1" applyBorder="1" applyAlignment="1">
      <alignment/>
    </xf>
    <xf numFmtId="165" fontId="8" fillId="0" borderId="14" xfId="0" applyNumberFormat="1" applyFont="1" applyBorder="1" applyAlignment="1">
      <alignment/>
    </xf>
    <xf numFmtId="164" fontId="4" fillId="0" borderId="18" xfId="0" applyFont="1" applyBorder="1" applyAlignment="1">
      <alignment horizontal="left"/>
    </xf>
    <xf numFmtId="164" fontId="3" fillId="0" borderId="14" xfId="0" applyFont="1" applyBorder="1" applyAlignment="1">
      <alignment horizontal="left" wrapText="1"/>
    </xf>
    <xf numFmtId="164" fontId="3" fillId="0" borderId="0" xfId="0" applyFont="1" applyBorder="1" applyAlignment="1">
      <alignment/>
    </xf>
    <xf numFmtId="164" fontId="3" fillId="0" borderId="17" xfId="0" applyFont="1" applyBorder="1" applyAlignment="1">
      <alignment/>
    </xf>
    <xf numFmtId="164" fontId="7" fillId="0" borderId="14" xfId="0" applyFont="1" applyBorder="1" applyAlignment="1">
      <alignment/>
    </xf>
    <xf numFmtId="166" fontId="9" fillId="0" borderId="13" xfId="0" applyNumberFormat="1" applyFont="1" applyBorder="1" applyAlignment="1">
      <alignment/>
    </xf>
    <xf numFmtId="164" fontId="10" fillId="0" borderId="14" xfId="0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64" fontId="9" fillId="0" borderId="16" xfId="0" applyFont="1" applyBorder="1" applyAlignment="1">
      <alignment/>
    </xf>
    <xf numFmtId="164" fontId="9" fillId="0" borderId="14" xfId="0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4" fontId="3" fillId="0" borderId="13" xfId="0" applyFont="1" applyBorder="1" applyAlignment="1">
      <alignment horizontal="center"/>
    </xf>
    <xf numFmtId="166" fontId="3" fillId="0" borderId="13" xfId="0" applyNumberFormat="1" applyFont="1" applyBorder="1" applyAlignment="1">
      <alignment horizontal="left" wrapText="1"/>
    </xf>
    <xf numFmtId="165" fontId="4" fillId="0" borderId="16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4" fontId="0" fillId="0" borderId="14" xfId="0" applyBorder="1" applyAlignment="1">
      <alignment/>
    </xf>
    <xf numFmtId="164" fontId="4" fillId="0" borderId="20" xfId="0" applyFont="1" applyBorder="1" applyAlignment="1">
      <alignment/>
    </xf>
    <xf numFmtId="164" fontId="0" fillId="0" borderId="21" xfId="0" applyBorder="1" applyAlignment="1">
      <alignment/>
    </xf>
    <xf numFmtId="165" fontId="4" fillId="0" borderId="21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4" fontId="0" fillId="0" borderId="0" xfId="0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4" fontId="4" fillId="0" borderId="23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/>
    </xf>
    <xf numFmtId="164" fontId="3" fillId="0" borderId="23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26" xfId="0" applyFont="1" applyBorder="1" applyAlignment="1">
      <alignment/>
    </xf>
    <xf numFmtId="164" fontId="4" fillId="0" borderId="27" xfId="0" applyFont="1" applyBorder="1" applyAlignment="1">
      <alignment/>
    </xf>
    <xf numFmtId="164" fontId="4" fillId="0" borderId="28" xfId="0" applyFont="1" applyBorder="1" applyAlignment="1">
      <alignment/>
    </xf>
    <xf numFmtId="165" fontId="4" fillId="0" borderId="28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/>
    </xf>
    <xf numFmtId="164" fontId="3" fillId="0" borderId="0" xfId="24" applyFont="1">
      <alignment/>
      <protection/>
    </xf>
    <xf numFmtId="165" fontId="3" fillId="0" borderId="0" xfId="24" applyNumberFormat="1" applyFont="1">
      <alignment/>
      <protection/>
    </xf>
    <xf numFmtId="164" fontId="4" fillId="0" borderId="0" xfId="24" applyFont="1" applyAlignment="1">
      <alignment horizontal="left"/>
      <protection/>
    </xf>
    <xf numFmtId="164" fontId="3" fillId="0" borderId="0" xfId="24" applyFont="1" applyAlignment="1">
      <alignment horizontal="left"/>
      <protection/>
    </xf>
    <xf numFmtId="164" fontId="3" fillId="0" borderId="0" xfId="24" applyFont="1" applyAlignment="1">
      <alignment/>
      <protection/>
    </xf>
    <xf numFmtId="164" fontId="4" fillId="0" borderId="0" xfId="24" applyFont="1" applyBorder="1" applyAlignment="1">
      <alignment horizontal="center"/>
      <protection/>
    </xf>
    <xf numFmtId="165" fontId="4" fillId="0" borderId="0" xfId="24" applyNumberFormat="1" applyFont="1">
      <alignment/>
      <protection/>
    </xf>
    <xf numFmtId="164" fontId="4" fillId="0" borderId="0" xfId="24" applyFont="1">
      <alignment/>
      <protection/>
    </xf>
    <xf numFmtId="164" fontId="4" fillId="0" borderId="30" xfId="24" applyFont="1" applyBorder="1" applyAlignment="1">
      <alignment horizontal="center"/>
      <protection/>
    </xf>
    <xf numFmtId="164" fontId="4" fillId="0" borderId="31" xfId="24" applyFont="1" applyBorder="1" applyAlignment="1">
      <alignment horizontal="center"/>
      <protection/>
    </xf>
    <xf numFmtId="164" fontId="4" fillId="0" borderId="32" xfId="24" applyFont="1" applyBorder="1" applyAlignment="1">
      <alignment horizontal="center"/>
      <protection/>
    </xf>
    <xf numFmtId="165" fontId="4" fillId="0" borderId="32" xfId="24" applyNumberFormat="1" applyFont="1" applyBorder="1" applyAlignment="1">
      <alignment horizontal="center"/>
      <protection/>
    </xf>
    <xf numFmtId="164" fontId="3" fillId="0" borderId="30" xfId="24" applyFont="1" applyBorder="1">
      <alignment/>
      <protection/>
    </xf>
    <xf numFmtId="165" fontId="3" fillId="0" borderId="30" xfId="24" applyNumberFormat="1" applyFont="1" applyBorder="1">
      <alignment/>
      <protection/>
    </xf>
    <xf numFmtId="164" fontId="3" fillId="0" borderId="32" xfId="24" applyFont="1" applyBorder="1" applyAlignment="1">
      <alignment horizontal="left"/>
      <protection/>
    </xf>
    <xf numFmtId="165" fontId="3" fillId="0" borderId="32" xfId="24" applyNumberFormat="1" applyFont="1" applyBorder="1">
      <alignment/>
      <protection/>
    </xf>
    <xf numFmtId="164" fontId="3" fillId="0" borderId="32" xfId="24" applyFont="1" applyBorder="1">
      <alignment/>
      <protection/>
    </xf>
    <xf numFmtId="164" fontId="3" fillId="0" borderId="32" xfId="24" applyFont="1" applyBorder="1" applyAlignment="1">
      <alignment/>
      <protection/>
    </xf>
    <xf numFmtId="165" fontId="7" fillId="0" borderId="32" xfId="24" applyNumberFormat="1" applyFont="1" applyBorder="1">
      <alignment/>
      <protection/>
    </xf>
    <xf numFmtId="164" fontId="3" fillId="0" borderId="32" xfId="0" applyFont="1" applyBorder="1" applyAlignment="1">
      <alignment/>
    </xf>
    <xf numFmtId="164" fontId="3" fillId="0" borderId="32" xfId="0" applyFont="1" applyBorder="1" applyAlignment="1">
      <alignment shrinkToFit="1"/>
    </xf>
    <xf numFmtId="164" fontId="7" fillId="0" borderId="32" xfId="24" applyFont="1" applyBorder="1">
      <alignment/>
      <protection/>
    </xf>
    <xf numFmtId="164" fontId="3" fillId="0" borderId="33" xfId="24" applyFont="1" applyBorder="1">
      <alignment/>
      <protection/>
    </xf>
    <xf numFmtId="164" fontId="3" fillId="0" borderId="34" xfId="24" applyFont="1" applyBorder="1">
      <alignment/>
      <protection/>
    </xf>
    <xf numFmtId="164" fontId="3" fillId="0" borderId="35" xfId="24" applyFont="1" applyBorder="1">
      <alignment/>
      <protection/>
    </xf>
    <xf numFmtId="165" fontId="3" fillId="0" borderId="35" xfId="24" applyNumberFormat="1" applyFont="1" applyBorder="1">
      <alignment/>
      <protection/>
    </xf>
    <xf numFmtId="164" fontId="3" fillId="0" borderId="31" xfId="24" applyFont="1" applyBorder="1">
      <alignment/>
      <protection/>
    </xf>
    <xf numFmtId="164" fontId="3" fillId="0" borderId="36" xfId="24" applyFont="1" applyBorder="1">
      <alignment/>
      <protection/>
    </xf>
    <xf numFmtId="164" fontId="3" fillId="0" borderId="37" xfId="24" applyFont="1" applyBorder="1">
      <alignment/>
      <protection/>
    </xf>
    <xf numFmtId="164" fontId="3" fillId="0" borderId="38" xfId="24" applyFont="1" applyBorder="1">
      <alignment/>
      <protection/>
    </xf>
    <xf numFmtId="165" fontId="7" fillId="0" borderId="35" xfId="24" applyNumberFormat="1" applyFont="1" applyBorder="1">
      <alignment/>
      <protection/>
    </xf>
    <xf numFmtId="164" fontId="4" fillId="0" borderId="39" xfId="24" applyFont="1" applyBorder="1">
      <alignment/>
      <protection/>
    </xf>
    <xf numFmtId="165" fontId="4" fillId="0" borderId="39" xfId="24" applyNumberFormat="1" applyFont="1" applyBorder="1">
      <alignment/>
      <protection/>
    </xf>
    <xf numFmtId="164" fontId="3" fillId="0" borderId="0" xfId="24" applyFont="1" applyBorder="1">
      <alignment/>
      <protection/>
    </xf>
    <xf numFmtId="164" fontId="4" fillId="0" borderId="30" xfId="24" applyFont="1" applyBorder="1">
      <alignment/>
      <protection/>
    </xf>
    <xf numFmtId="165" fontId="4" fillId="0" borderId="30" xfId="24" applyNumberFormat="1" applyFont="1" applyBorder="1">
      <alignment/>
      <protection/>
    </xf>
    <xf numFmtId="164" fontId="4" fillId="0" borderId="40" xfId="24" applyFont="1" applyBorder="1">
      <alignment/>
      <protection/>
    </xf>
    <xf numFmtId="165" fontId="4" fillId="0" borderId="40" xfId="24" applyNumberFormat="1" applyFont="1" applyBorder="1">
      <alignment/>
      <protection/>
    </xf>
    <xf numFmtId="164" fontId="4" fillId="0" borderId="32" xfId="24" applyFont="1" applyBorder="1">
      <alignment/>
      <protection/>
    </xf>
    <xf numFmtId="165" fontId="4" fillId="0" borderId="32" xfId="24" applyNumberFormat="1" applyFont="1" applyBorder="1">
      <alignment/>
      <protection/>
    </xf>
    <xf numFmtId="164" fontId="3" fillId="0" borderId="32" xfId="24" applyFont="1" applyBorder="1" applyAlignment="1">
      <alignment wrapText="1"/>
      <protection/>
    </xf>
    <xf numFmtId="164" fontId="4" fillId="0" borderId="41" xfId="24" applyFont="1" applyBorder="1">
      <alignment/>
      <protection/>
    </xf>
    <xf numFmtId="165" fontId="4" fillId="0" borderId="41" xfId="24" applyNumberFormat="1" applyFont="1" applyBorder="1">
      <alignment/>
      <protection/>
    </xf>
    <xf numFmtId="164" fontId="3" fillId="0" borderId="35" xfId="24" applyFont="1" applyBorder="1" applyAlignment="1">
      <alignment wrapText="1"/>
      <protection/>
    </xf>
    <xf numFmtId="164" fontId="4" fillId="0" borderId="35" xfId="24" applyFont="1" applyBorder="1">
      <alignment/>
      <protection/>
    </xf>
    <xf numFmtId="165" fontId="4" fillId="0" borderId="35" xfId="24" applyNumberFormat="1" applyFont="1" applyBorder="1">
      <alignment/>
      <protection/>
    </xf>
    <xf numFmtId="164" fontId="4" fillId="0" borderId="39" xfId="0" applyFont="1" applyBorder="1" applyAlignment="1">
      <alignment/>
    </xf>
    <xf numFmtId="165" fontId="4" fillId="0" borderId="39" xfId="0" applyNumberFormat="1" applyFont="1" applyBorder="1" applyAlignment="1">
      <alignment/>
    </xf>
    <xf numFmtId="165" fontId="3" fillId="0" borderId="0" xfId="24" applyNumberFormat="1" applyFont="1" applyBorder="1">
      <alignment/>
      <protection/>
    </xf>
    <xf numFmtId="164" fontId="4" fillId="0" borderId="0" xfId="24" applyFont="1" applyAlignment="1">
      <alignment horizontal="center"/>
      <protection/>
    </xf>
    <xf numFmtId="164" fontId="4" fillId="0" borderId="42" xfId="24" applyFont="1" applyBorder="1" applyAlignment="1">
      <alignment horizontal="center"/>
      <protection/>
    </xf>
    <xf numFmtId="164" fontId="4" fillId="0" borderId="38" xfId="24" applyFont="1" applyBorder="1" applyAlignment="1">
      <alignment horizontal="center"/>
      <protection/>
    </xf>
    <xf numFmtId="164" fontId="4" fillId="0" borderId="36" xfId="24" applyFont="1" applyBorder="1" applyAlignment="1">
      <alignment horizontal="center"/>
      <protection/>
    </xf>
    <xf numFmtId="165" fontId="4" fillId="0" borderId="31" xfId="24" applyNumberFormat="1" applyFont="1" applyBorder="1" applyAlignment="1">
      <alignment horizontal="center"/>
      <protection/>
    </xf>
    <xf numFmtId="164" fontId="3" fillId="0" borderId="40" xfId="24" applyFont="1" applyBorder="1">
      <alignment/>
      <protection/>
    </xf>
    <xf numFmtId="165" fontId="3" fillId="0" borderId="43" xfId="24" applyNumberFormat="1" applyFont="1" applyBorder="1">
      <alignment/>
      <protection/>
    </xf>
    <xf numFmtId="165" fontId="3" fillId="0" borderId="40" xfId="24" applyNumberFormat="1" applyFont="1" applyBorder="1">
      <alignment/>
      <protection/>
    </xf>
    <xf numFmtId="165" fontId="3" fillId="0" borderId="18" xfId="24" applyNumberFormat="1" applyFont="1" applyBorder="1">
      <alignment/>
      <protection/>
    </xf>
    <xf numFmtId="165" fontId="7" fillId="0" borderId="18" xfId="24" applyNumberFormat="1" applyFont="1" applyBorder="1">
      <alignment/>
      <protection/>
    </xf>
    <xf numFmtId="164" fontId="3" fillId="0" borderId="18" xfId="24" applyFont="1" applyBorder="1">
      <alignment/>
      <protection/>
    </xf>
    <xf numFmtId="165" fontId="3" fillId="0" borderId="31" xfId="24" applyNumberFormat="1" applyFont="1" applyBorder="1">
      <alignment/>
      <protection/>
    </xf>
    <xf numFmtId="165" fontId="3" fillId="0" borderId="41" xfId="24" applyNumberFormat="1" applyFont="1" applyBorder="1">
      <alignment/>
      <protection/>
    </xf>
    <xf numFmtId="165" fontId="3" fillId="0" borderId="44" xfId="24" applyNumberFormat="1" applyFont="1" applyBorder="1">
      <alignment/>
      <protection/>
    </xf>
    <xf numFmtId="164" fontId="3" fillId="0" borderId="41" xfId="24" applyFont="1" applyBorder="1">
      <alignment/>
      <protection/>
    </xf>
    <xf numFmtId="165" fontId="4" fillId="0" borderId="45" xfId="24" applyNumberFormat="1" applyFont="1" applyBorder="1">
      <alignment/>
      <protection/>
    </xf>
    <xf numFmtId="165" fontId="4" fillId="0" borderId="43" xfId="24" applyNumberFormat="1" applyFont="1" applyBorder="1">
      <alignment/>
      <protection/>
    </xf>
    <xf numFmtId="164" fontId="4" fillId="0" borderId="0" xfId="24" applyFont="1" applyBorder="1">
      <alignment/>
      <protection/>
    </xf>
    <xf numFmtId="165" fontId="4" fillId="0" borderId="0" xfId="24" applyNumberFormat="1" applyFont="1" applyBorder="1">
      <alignment/>
      <protection/>
    </xf>
    <xf numFmtId="164" fontId="4" fillId="0" borderId="46" xfId="24" applyFont="1" applyBorder="1">
      <alignment/>
      <protection/>
    </xf>
    <xf numFmtId="165" fontId="4" fillId="0" borderId="46" xfId="24" applyNumberFormat="1" applyFont="1" applyBorder="1">
      <alignment/>
      <protection/>
    </xf>
    <xf numFmtId="165" fontId="3" fillId="0" borderId="0" xfId="24" applyNumberFormat="1" applyFont="1" applyAlignment="1">
      <alignment horizontal="right"/>
      <protection/>
    </xf>
    <xf numFmtId="164" fontId="12" fillId="0" borderId="0" xfId="24" applyFont="1">
      <alignment/>
      <protection/>
    </xf>
    <xf numFmtId="165" fontId="12" fillId="0" borderId="0" xfId="24" applyNumberFormat="1" applyFont="1" applyAlignment="1">
      <alignment/>
      <protection/>
    </xf>
    <xf numFmtId="165" fontId="12" fillId="0" borderId="0" xfId="24" applyNumberFormat="1" applyFont="1">
      <alignment/>
      <protection/>
    </xf>
    <xf numFmtId="164" fontId="11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Border="1" applyAlignment="1">
      <alignment horizontal="center" shrinkToFit="1"/>
    </xf>
    <xf numFmtId="164" fontId="5" fillId="0" borderId="0" xfId="0" applyFont="1" applyAlignment="1">
      <alignment/>
    </xf>
    <xf numFmtId="164" fontId="4" fillId="0" borderId="47" xfId="0" applyFont="1" applyBorder="1" applyAlignment="1">
      <alignment horizontal="center" vertical="center"/>
    </xf>
    <xf numFmtId="164" fontId="14" fillId="0" borderId="48" xfId="0" applyFont="1" applyBorder="1" applyAlignment="1">
      <alignment horizontal="center" vertical="center" wrapText="1"/>
    </xf>
    <xf numFmtId="164" fontId="14" fillId="0" borderId="49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/>
    </xf>
    <xf numFmtId="164" fontId="4" fillId="0" borderId="13" xfId="0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164" fontId="15" fillId="0" borderId="0" xfId="0" applyFont="1" applyAlignment="1">
      <alignment/>
    </xf>
    <xf numFmtId="165" fontId="3" fillId="0" borderId="14" xfId="0" applyNumberFormat="1" applyFont="1" applyBorder="1" applyAlignment="1">
      <alignment horizontal="right" vertical="center" wrapText="1"/>
    </xf>
    <xf numFmtId="164" fontId="3" fillId="0" borderId="13" xfId="0" applyFont="1" applyBorder="1" applyAlignment="1">
      <alignment wrapText="1"/>
    </xf>
    <xf numFmtId="164" fontId="16" fillId="0" borderId="0" xfId="0" applyFont="1" applyAlignment="1">
      <alignment/>
    </xf>
    <xf numFmtId="164" fontId="7" fillId="0" borderId="13" xfId="0" applyFont="1" applyBorder="1" applyAlignment="1">
      <alignment/>
    </xf>
    <xf numFmtId="165" fontId="7" fillId="0" borderId="14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7" fillId="0" borderId="13" xfId="0" applyFont="1" applyBorder="1" applyAlignment="1">
      <alignment horizontal="left" vertical="center" wrapText="1"/>
    </xf>
    <xf numFmtId="164" fontId="7" fillId="0" borderId="13" xfId="0" applyFont="1" applyBorder="1" applyAlignment="1">
      <alignment wrapText="1"/>
    </xf>
    <xf numFmtId="165" fontId="17" fillId="0" borderId="14" xfId="0" applyNumberFormat="1" applyFont="1" applyBorder="1" applyAlignment="1">
      <alignment/>
    </xf>
    <xf numFmtId="164" fontId="4" fillId="0" borderId="13" xfId="0" applyFont="1" applyBorder="1" applyAlignment="1">
      <alignment shrinkToFit="1"/>
    </xf>
    <xf numFmtId="164" fontId="3" fillId="0" borderId="13" xfId="0" applyFont="1" applyBorder="1" applyAlignment="1">
      <alignment shrinkToFit="1"/>
    </xf>
    <xf numFmtId="164" fontId="7" fillId="0" borderId="13" xfId="0" applyFont="1" applyBorder="1" applyAlignment="1">
      <alignment shrinkToFit="1"/>
    </xf>
    <xf numFmtId="164" fontId="4" fillId="0" borderId="50" xfId="0" applyFont="1" applyBorder="1" applyAlignment="1">
      <alignment shrinkToFit="1"/>
    </xf>
    <xf numFmtId="165" fontId="4" fillId="0" borderId="51" xfId="0" applyNumberFormat="1" applyFont="1" applyBorder="1" applyAlignment="1">
      <alignment/>
    </xf>
    <xf numFmtId="165" fontId="4" fillId="0" borderId="51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shrinkToFit="1"/>
    </xf>
    <xf numFmtId="165" fontId="4" fillId="0" borderId="26" xfId="0" applyNumberFormat="1" applyFont="1" applyBorder="1" applyAlignment="1">
      <alignment/>
    </xf>
    <xf numFmtId="165" fontId="4" fillId="0" borderId="52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8" fillId="0" borderId="53" xfId="0" applyFont="1" applyBorder="1" applyAlignment="1">
      <alignment/>
    </xf>
    <xf numFmtId="164" fontId="18" fillId="0" borderId="0" xfId="0" applyFont="1" applyBorder="1" applyAlignment="1">
      <alignment/>
    </xf>
    <xf numFmtId="164" fontId="4" fillId="0" borderId="47" xfId="0" applyFont="1" applyBorder="1" applyAlignment="1">
      <alignment horizontal="center" vertical="center" wrapText="1"/>
    </xf>
    <xf numFmtId="164" fontId="18" fillId="0" borderId="9" xfId="0" applyFont="1" applyBorder="1" applyAlignment="1">
      <alignment/>
    </xf>
    <xf numFmtId="164" fontId="18" fillId="0" borderId="10" xfId="0" applyFont="1" applyBorder="1" applyAlignment="1">
      <alignment/>
    </xf>
    <xf numFmtId="164" fontId="4" fillId="0" borderId="13" xfId="0" applyFont="1" applyBorder="1" applyAlignment="1">
      <alignment vertical="top" wrapText="1"/>
    </xf>
    <xf numFmtId="165" fontId="4" fillId="0" borderId="14" xfId="0" applyNumberFormat="1" applyFont="1" applyBorder="1" applyAlignment="1">
      <alignment horizontal="center" wrapText="1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9" fillId="0" borderId="53" xfId="0" applyFont="1" applyBorder="1" applyAlignment="1">
      <alignment/>
    </xf>
    <xf numFmtId="164" fontId="19" fillId="0" borderId="0" xfId="0" applyFont="1" applyBorder="1" applyAlignment="1">
      <alignment/>
    </xf>
    <xf numFmtId="165" fontId="4" fillId="0" borderId="14" xfId="0" applyNumberFormat="1" applyFont="1" applyBorder="1" applyAlignment="1">
      <alignment wrapText="1"/>
    </xf>
    <xf numFmtId="164" fontId="4" fillId="0" borderId="0" xfId="0" applyFont="1" applyBorder="1" applyAlignment="1">
      <alignment/>
    </xf>
    <xf numFmtId="165" fontId="3" fillId="0" borderId="14" xfId="0" applyNumberFormat="1" applyFont="1" applyBorder="1" applyAlignment="1">
      <alignment wrapText="1"/>
    </xf>
    <xf numFmtId="164" fontId="4" fillId="0" borderId="13" xfId="0" applyFont="1" applyBorder="1" applyAlignment="1">
      <alignment wrapText="1"/>
    </xf>
    <xf numFmtId="167" fontId="4" fillId="0" borderId="14" xfId="0" applyNumberFormat="1" applyFont="1" applyBorder="1" applyAlignment="1">
      <alignment wrapText="1"/>
    </xf>
    <xf numFmtId="164" fontId="3" fillId="0" borderId="13" xfId="0" applyFont="1" applyBorder="1" applyAlignment="1">
      <alignment horizontal="left" wrapText="1"/>
    </xf>
    <xf numFmtId="164" fontId="19" fillId="0" borderId="38" xfId="0" applyFont="1" applyBorder="1" applyAlignment="1">
      <alignment/>
    </xf>
    <xf numFmtId="164" fontId="19" fillId="0" borderId="54" xfId="0" applyFont="1" applyBorder="1" applyAlignment="1">
      <alignment/>
    </xf>
    <xf numFmtId="164" fontId="18" fillId="0" borderId="0" xfId="0" applyFont="1" applyAlignment="1">
      <alignment/>
    </xf>
    <xf numFmtId="167" fontId="3" fillId="0" borderId="14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7" fillId="0" borderId="13" xfId="0" applyFont="1" applyBorder="1" applyAlignment="1">
      <alignment/>
    </xf>
    <xf numFmtId="165" fontId="7" fillId="0" borderId="14" xfId="0" applyNumberFormat="1" applyFont="1" applyBorder="1" applyAlignment="1">
      <alignment wrapText="1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9" fillId="0" borderId="0" xfId="0" applyFont="1" applyAlignment="1">
      <alignment/>
    </xf>
    <xf numFmtId="165" fontId="4" fillId="0" borderId="17" xfId="0" applyNumberFormat="1" applyFont="1" applyBorder="1" applyAlignment="1">
      <alignment wrapText="1"/>
    </xf>
    <xf numFmtId="164" fontId="4" fillId="0" borderId="50" xfId="0" applyFont="1" applyBorder="1" applyAlignment="1">
      <alignment/>
    </xf>
    <xf numFmtId="165" fontId="4" fillId="0" borderId="51" xfId="0" applyNumberFormat="1" applyFont="1" applyBorder="1" applyAlignment="1">
      <alignment wrapText="1"/>
    </xf>
    <xf numFmtId="164" fontId="4" fillId="0" borderId="25" xfId="0" applyFont="1" applyBorder="1" applyAlignment="1">
      <alignment wrapText="1"/>
    </xf>
    <xf numFmtId="167" fontId="4" fillId="0" borderId="26" xfId="0" applyNumberFormat="1" applyFont="1" applyBorder="1" applyAlignment="1">
      <alignment vertical="center" wrapText="1"/>
    </xf>
    <xf numFmtId="167" fontId="4" fillId="0" borderId="52" xfId="0" applyNumberFormat="1" applyFont="1" applyBorder="1" applyAlignment="1">
      <alignment vertical="center" wrapText="1"/>
    </xf>
    <xf numFmtId="164" fontId="21" fillId="0" borderId="0" xfId="21" applyFont="1" applyAlignment="1">
      <alignment horizontal="right"/>
      <protection/>
    </xf>
    <xf numFmtId="164" fontId="21" fillId="0" borderId="0" xfId="21" applyFont="1">
      <alignment/>
      <protection/>
    </xf>
    <xf numFmtId="164" fontId="22" fillId="0" borderId="0" xfId="21" applyFont="1" applyAlignment="1">
      <alignment horizontal="center"/>
      <protection/>
    </xf>
    <xf numFmtId="164" fontId="21" fillId="0" borderId="0" xfId="21" applyFont="1" applyAlignment="1">
      <alignment horizontal="center"/>
      <protection/>
    </xf>
    <xf numFmtId="165" fontId="21" fillId="0" borderId="0" xfId="21" applyNumberFormat="1" applyFont="1">
      <alignment/>
      <protection/>
    </xf>
    <xf numFmtId="164" fontId="14" fillId="0" borderId="0" xfId="21" applyFont="1" applyBorder="1" applyAlignment="1">
      <alignment/>
      <protection/>
    </xf>
    <xf numFmtId="164" fontId="23" fillId="0" borderId="0" xfId="21" applyFont="1" applyBorder="1" applyAlignment="1">
      <alignment horizontal="center"/>
      <protection/>
    </xf>
    <xf numFmtId="164" fontId="24" fillId="0" borderId="0" xfId="21" applyFont="1" applyBorder="1" applyAlignment="1">
      <alignment horizontal="center"/>
      <protection/>
    </xf>
    <xf numFmtId="165" fontId="14" fillId="0" borderId="0" xfId="21" applyNumberFormat="1" applyFont="1" applyAlignment="1">
      <alignment horizontal="right"/>
      <protection/>
    </xf>
    <xf numFmtId="164" fontId="14" fillId="0" borderId="55" xfId="21" applyFont="1" applyBorder="1" applyAlignment="1">
      <alignment horizontal="center" vertical="center"/>
      <protection/>
    </xf>
    <xf numFmtId="164" fontId="14" fillId="0" borderId="56" xfId="20" applyFont="1" applyBorder="1" applyAlignment="1">
      <alignment horizontal="center" vertical="center"/>
      <protection/>
    </xf>
    <xf numFmtId="164" fontId="14" fillId="0" borderId="56" xfId="21" applyFont="1" applyBorder="1" applyAlignment="1">
      <alignment horizontal="center" vertical="center"/>
      <protection/>
    </xf>
    <xf numFmtId="164" fontId="14" fillId="0" borderId="57" xfId="21" applyFont="1" applyBorder="1" applyAlignment="1">
      <alignment horizontal="center"/>
      <protection/>
    </xf>
    <xf numFmtId="164" fontId="14" fillId="0" borderId="56" xfId="21" applyFont="1" applyBorder="1" applyAlignment="1">
      <alignment horizontal="center" vertical="center" wrapText="1"/>
      <protection/>
    </xf>
    <xf numFmtId="165" fontId="14" fillId="0" borderId="58" xfId="21" applyNumberFormat="1" applyFont="1" applyBorder="1" applyAlignment="1">
      <alignment horizontal="center" vertical="center" wrapText="1"/>
      <protection/>
    </xf>
    <xf numFmtId="164" fontId="22" fillId="0" borderId="0" xfId="21" applyFont="1">
      <alignment/>
      <protection/>
    </xf>
    <xf numFmtId="164" fontId="14" fillId="0" borderId="59" xfId="21" applyFont="1" applyBorder="1" applyAlignment="1">
      <alignment horizontal="center" vertical="center" wrapText="1"/>
      <protection/>
    </xf>
    <xf numFmtId="164" fontId="14" fillId="0" borderId="59" xfId="21" applyFont="1" applyBorder="1" applyAlignment="1">
      <alignment horizontal="center" vertical="center"/>
      <protection/>
    </xf>
    <xf numFmtId="166" fontId="21" fillId="0" borderId="60" xfId="21" applyNumberFormat="1" applyFont="1" applyBorder="1" applyAlignment="1">
      <alignment horizontal="center"/>
      <protection/>
    </xf>
    <xf numFmtId="164" fontId="21" fillId="0" borderId="61" xfId="21" applyFont="1" applyBorder="1" applyAlignment="1">
      <alignment/>
      <protection/>
    </xf>
    <xf numFmtId="164" fontId="22" fillId="0" borderId="61" xfId="21" applyFont="1" applyBorder="1">
      <alignment/>
      <protection/>
    </xf>
    <xf numFmtId="165" fontId="21" fillId="0" borderId="61" xfId="21" applyNumberFormat="1" applyFont="1" applyBorder="1">
      <alignment/>
      <protection/>
    </xf>
    <xf numFmtId="165" fontId="21" fillId="0" borderId="62" xfId="21" applyNumberFormat="1" applyFont="1" applyBorder="1">
      <alignment/>
      <protection/>
    </xf>
    <xf numFmtId="166" fontId="21" fillId="0" borderId="13" xfId="21" applyNumberFormat="1" applyFont="1" applyBorder="1" applyAlignment="1">
      <alignment horizontal="center"/>
      <protection/>
    </xf>
    <xf numFmtId="164" fontId="21" fillId="0" borderId="14" xfId="21" applyFont="1" applyBorder="1" applyAlignment="1">
      <alignment/>
      <protection/>
    </xf>
    <xf numFmtId="164" fontId="22" fillId="0" borderId="14" xfId="21" applyFont="1" applyBorder="1">
      <alignment/>
      <protection/>
    </xf>
    <xf numFmtId="165" fontId="21" fillId="0" borderId="14" xfId="21" applyNumberFormat="1" applyFont="1" applyBorder="1">
      <alignment/>
      <protection/>
    </xf>
    <xf numFmtId="165" fontId="21" fillId="0" borderId="17" xfId="21" applyNumberFormat="1" applyFont="1" applyBorder="1">
      <alignment/>
      <protection/>
    </xf>
    <xf numFmtId="168" fontId="21" fillId="0" borderId="13" xfId="21" applyNumberFormat="1" applyFont="1" applyBorder="1" applyAlignment="1">
      <alignment horizontal="center"/>
      <protection/>
    </xf>
    <xf numFmtId="164" fontId="21" fillId="0" borderId="14" xfId="21" applyFont="1" applyBorder="1" applyAlignment="1">
      <alignment horizontal="left"/>
      <protection/>
    </xf>
    <xf numFmtId="165" fontId="14" fillId="0" borderId="14" xfId="21" applyNumberFormat="1" applyFont="1" applyBorder="1">
      <alignment/>
      <protection/>
    </xf>
    <xf numFmtId="168" fontId="21" fillId="0" borderId="13" xfId="20" applyNumberFormat="1" applyFont="1" applyBorder="1" applyAlignment="1">
      <alignment horizontal="center" vertical="center"/>
      <protection/>
    </xf>
    <xf numFmtId="164" fontId="21" fillId="0" borderId="14" xfId="20" applyFont="1" applyBorder="1" applyAlignment="1">
      <alignment horizontal="left" vertical="center"/>
      <protection/>
    </xf>
    <xf numFmtId="165" fontId="21" fillId="0" borderId="14" xfId="21" applyNumberFormat="1" applyFont="1" applyBorder="1" applyAlignment="1">
      <alignment horizontal="right"/>
      <protection/>
    </xf>
    <xf numFmtId="165" fontId="21" fillId="0" borderId="17" xfId="21" applyNumberFormat="1" applyFont="1" applyBorder="1" applyAlignment="1">
      <alignment horizontal="right"/>
      <protection/>
    </xf>
    <xf numFmtId="168" fontId="21" fillId="0" borderId="25" xfId="21" applyNumberFormat="1" applyFont="1" applyBorder="1" applyAlignment="1">
      <alignment horizontal="center"/>
      <protection/>
    </xf>
    <xf numFmtId="164" fontId="21" fillId="0" borderId="26" xfId="21" applyFont="1" applyBorder="1" applyAlignment="1">
      <alignment/>
      <protection/>
    </xf>
    <xf numFmtId="164" fontId="22" fillId="0" borderId="26" xfId="21" applyFont="1" applyBorder="1">
      <alignment/>
      <protection/>
    </xf>
    <xf numFmtId="165" fontId="21" fillId="0" borderId="26" xfId="21" applyNumberFormat="1" applyFont="1" applyBorder="1">
      <alignment/>
      <protection/>
    </xf>
    <xf numFmtId="165" fontId="21" fillId="0" borderId="52" xfId="21" applyNumberFormat="1" applyFont="1" applyBorder="1">
      <alignment/>
      <protection/>
    </xf>
    <xf numFmtId="168" fontId="21" fillId="0" borderId="47" xfId="21" applyNumberFormat="1" applyFont="1" applyBorder="1" applyAlignment="1">
      <alignment horizontal="center"/>
      <protection/>
    </xf>
    <xf numFmtId="164" fontId="21" fillId="0" borderId="48" xfId="21" applyFont="1" applyBorder="1" applyAlignment="1">
      <alignment/>
      <protection/>
    </xf>
    <xf numFmtId="164" fontId="22" fillId="0" borderId="48" xfId="21" applyFont="1" applyBorder="1">
      <alignment/>
      <protection/>
    </xf>
    <xf numFmtId="165" fontId="21" fillId="0" borderId="48" xfId="21" applyNumberFormat="1" applyFont="1" applyBorder="1">
      <alignment/>
      <protection/>
    </xf>
    <xf numFmtId="165" fontId="21" fillId="0" borderId="48" xfId="21" applyNumberFormat="1" applyFont="1" applyBorder="1" applyAlignment="1">
      <alignment horizontal="right"/>
      <protection/>
    </xf>
    <xf numFmtId="165" fontId="21" fillId="0" borderId="49" xfId="21" applyNumberFormat="1" applyFont="1" applyBorder="1" applyAlignment="1">
      <alignment horizontal="right"/>
      <protection/>
    </xf>
    <xf numFmtId="164" fontId="22" fillId="0" borderId="51" xfId="21" applyFont="1" applyBorder="1">
      <alignment/>
      <protection/>
    </xf>
    <xf numFmtId="164" fontId="21" fillId="0" borderId="14" xfId="21" applyFont="1" applyBorder="1" applyAlignment="1">
      <alignment horizontal="right"/>
      <protection/>
    </xf>
    <xf numFmtId="164" fontId="22" fillId="0" borderId="0" xfId="21" applyFont="1" applyBorder="1">
      <alignment/>
      <protection/>
    </xf>
    <xf numFmtId="164" fontId="22" fillId="0" borderId="63" xfId="21" applyFont="1" applyBorder="1">
      <alignment/>
      <protection/>
    </xf>
    <xf numFmtId="165" fontId="21" fillId="0" borderId="26" xfId="21" applyNumberFormat="1" applyFont="1" applyBorder="1" applyAlignment="1">
      <alignment horizontal="right"/>
      <protection/>
    </xf>
    <xf numFmtId="165" fontId="21" fillId="0" borderId="52" xfId="21" applyNumberFormat="1" applyFont="1" applyBorder="1" applyAlignment="1">
      <alignment horizontal="right"/>
      <protection/>
    </xf>
    <xf numFmtId="168" fontId="21" fillId="0" borderId="8" xfId="21" applyNumberFormat="1" applyFont="1" applyBorder="1" applyAlignment="1">
      <alignment horizontal="center"/>
      <protection/>
    </xf>
    <xf numFmtId="164" fontId="21" fillId="0" borderId="9" xfId="21" applyFont="1" applyBorder="1" applyAlignment="1">
      <alignment/>
      <protection/>
    </xf>
    <xf numFmtId="164" fontId="22" fillId="0" borderId="9" xfId="21" applyFont="1" applyBorder="1">
      <alignment/>
      <protection/>
    </xf>
    <xf numFmtId="165" fontId="21" fillId="0" borderId="9" xfId="21" applyNumberFormat="1" applyFont="1" applyBorder="1">
      <alignment/>
      <protection/>
    </xf>
    <xf numFmtId="165" fontId="21" fillId="0" borderId="9" xfId="21" applyNumberFormat="1" applyFont="1" applyBorder="1" applyAlignment="1">
      <alignment horizontal="right"/>
      <protection/>
    </xf>
    <xf numFmtId="165" fontId="21" fillId="0" borderId="12" xfId="21" applyNumberFormat="1" applyFont="1" applyBorder="1" applyAlignment="1">
      <alignment horizontal="right"/>
      <protection/>
    </xf>
    <xf numFmtId="164" fontId="22" fillId="0" borderId="64" xfId="21" applyFont="1" applyBorder="1">
      <alignment/>
      <protection/>
    </xf>
    <xf numFmtId="164" fontId="22" fillId="0" borderId="65" xfId="21" applyFont="1" applyBorder="1">
      <alignment/>
      <protection/>
    </xf>
    <xf numFmtId="168" fontId="21" fillId="0" borderId="50" xfId="21" applyNumberFormat="1" applyFont="1" applyBorder="1" applyAlignment="1">
      <alignment horizontal="center"/>
      <protection/>
    </xf>
    <xf numFmtId="164" fontId="21" fillId="0" borderId="51" xfId="21" applyFont="1" applyBorder="1" applyAlignment="1">
      <alignment/>
      <protection/>
    </xf>
    <xf numFmtId="165" fontId="21" fillId="0" borderId="51" xfId="21" applyNumberFormat="1" applyFont="1" applyBorder="1">
      <alignment/>
      <protection/>
    </xf>
    <xf numFmtId="165" fontId="21" fillId="0" borderId="51" xfId="21" applyNumberFormat="1" applyFont="1" applyBorder="1" applyAlignment="1">
      <alignment horizontal="right"/>
      <protection/>
    </xf>
    <xf numFmtId="165" fontId="21" fillId="0" borderId="66" xfId="21" applyNumberFormat="1" applyFont="1" applyBorder="1" applyAlignment="1">
      <alignment horizontal="right"/>
      <protection/>
    </xf>
    <xf numFmtId="164" fontId="22" fillId="0" borderId="67" xfId="21" applyFont="1" applyBorder="1">
      <alignment/>
      <protection/>
    </xf>
    <xf numFmtId="165" fontId="21" fillId="0" borderId="12" xfId="21" applyNumberFormat="1" applyFont="1" applyBorder="1">
      <alignment/>
      <protection/>
    </xf>
    <xf numFmtId="164" fontId="22" fillId="0" borderId="28" xfId="21" applyFont="1" applyBorder="1">
      <alignment/>
      <protection/>
    </xf>
    <xf numFmtId="164" fontId="14" fillId="0" borderId="13" xfId="21" applyFont="1" applyBorder="1" applyAlignment="1">
      <alignment horizontal="left"/>
      <protection/>
    </xf>
    <xf numFmtId="164" fontId="25" fillId="0" borderId="14" xfId="21" applyFont="1" applyBorder="1">
      <alignment/>
      <protection/>
    </xf>
    <xf numFmtId="165" fontId="14" fillId="0" borderId="17" xfId="21" applyNumberFormat="1" applyFont="1" applyBorder="1">
      <alignment/>
      <protection/>
    </xf>
    <xf numFmtId="164" fontId="14" fillId="0" borderId="50" xfId="21" applyFont="1" applyBorder="1" applyAlignment="1">
      <alignment horizontal="left"/>
      <protection/>
    </xf>
    <xf numFmtId="164" fontId="14" fillId="0" borderId="51" xfId="21" applyFont="1" applyBorder="1" applyAlignment="1">
      <alignment horizontal="left"/>
      <protection/>
    </xf>
    <xf numFmtId="164" fontId="25" fillId="0" borderId="51" xfId="21" applyFont="1" applyBorder="1">
      <alignment/>
      <protection/>
    </xf>
    <xf numFmtId="165" fontId="14" fillId="0" borderId="51" xfId="21" applyNumberFormat="1" applyFont="1" applyBorder="1">
      <alignment/>
      <protection/>
    </xf>
    <xf numFmtId="165" fontId="14" fillId="0" borderId="66" xfId="21" applyNumberFormat="1" applyFont="1" applyBorder="1">
      <alignment/>
      <protection/>
    </xf>
    <xf numFmtId="164" fontId="14" fillId="0" borderId="25" xfId="21" applyFont="1" applyBorder="1" applyAlignment="1">
      <alignment horizontal="left"/>
      <protection/>
    </xf>
    <xf numFmtId="164" fontId="14" fillId="0" borderId="26" xfId="20" applyFont="1" applyBorder="1" applyAlignment="1">
      <alignment horizontal="left"/>
      <protection/>
    </xf>
    <xf numFmtId="164" fontId="25" fillId="0" borderId="26" xfId="21" applyFont="1" applyBorder="1">
      <alignment/>
      <protection/>
    </xf>
    <xf numFmtId="165" fontId="14" fillId="0" borderId="26" xfId="21" applyNumberFormat="1" applyFont="1" applyBorder="1">
      <alignment/>
      <protection/>
    </xf>
    <xf numFmtId="165" fontId="14" fillId="0" borderId="52" xfId="21" applyNumberFormat="1" applyFont="1" applyBorder="1">
      <alignment/>
      <protection/>
    </xf>
    <xf numFmtId="165" fontId="14" fillId="0" borderId="67" xfId="21" applyNumberFormat="1" applyFont="1" applyBorder="1">
      <alignment/>
      <protection/>
    </xf>
    <xf numFmtId="164" fontId="14" fillId="0" borderId="8" xfId="21" applyFont="1" applyBorder="1" applyAlignment="1">
      <alignment horizontal="left"/>
      <protection/>
    </xf>
    <xf numFmtId="164" fontId="14" fillId="0" borderId="9" xfId="20" applyFont="1" applyBorder="1" applyAlignment="1">
      <alignment horizontal="left"/>
      <protection/>
    </xf>
    <xf numFmtId="164" fontId="25" fillId="0" borderId="9" xfId="21" applyFont="1" applyBorder="1">
      <alignment/>
      <protection/>
    </xf>
    <xf numFmtId="165" fontId="14" fillId="0" borderId="9" xfId="21" applyNumberFormat="1" applyFont="1" applyBorder="1">
      <alignment/>
      <protection/>
    </xf>
    <xf numFmtId="165" fontId="14" fillId="0" borderId="9" xfId="21" applyNumberFormat="1" applyFont="1" applyBorder="1" applyAlignment="1">
      <alignment horizontal="right"/>
      <protection/>
    </xf>
    <xf numFmtId="165" fontId="14" fillId="0" borderId="12" xfId="21" applyNumberFormat="1" applyFont="1" applyBorder="1" applyAlignment="1">
      <alignment horizontal="right"/>
      <protection/>
    </xf>
    <xf numFmtId="165" fontId="14" fillId="0" borderId="0" xfId="21" applyNumberFormat="1" applyFont="1" applyBorder="1">
      <alignment/>
      <protection/>
    </xf>
    <xf numFmtId="164" fontId="25" fillId="0" borderId="0" xfId="21" applyFont="1">
      <alignment/>
      <protection/>
    </xf>
    <xf numFmtId="165" fontId="14" fillId="0" borderId="14" xfId="21" applyNumberFormat="1" applyFont="1" applyBorder="1" applyAlignment="1">
      <alignment horizontal="right"/>
      <protection/>
    </xf>
    <xf numFmtId="165" fontId="14" fillId="0" borderId="17" xfId="21" applyNumberFormat="1" applyFont="1" applyBorder="1" applyAlignment="1">
      <alignment horizontal="right"/>
      <protection/>
    </xf>
    <xf numFmtId="164" fontId="14" fillId="0" borderId="14" xfId="21" applyFont="1" applyBorder="1" applyAlignment="1">
      <alignment horizontal="left"/>
      <protection/>
    </xf>
    <xf numFmtId="164" fontId="14" fillId="0" borderId="14" xfId="20" applyFont="1" applyBorder="1" applyAlignment="1">
      <alignment horizontal="left"/>
      <protection/>
    </xf>
    <xf numFmtId="166" fontId="14" fillId="0" borderId="13" xfId="21" applyNumberFormat="1" applyFont="1" applyBorder="1" applyAlignment="1">
      <alignment horizontal="left"/>
      <protection/>
    </xf>
    <xf numFmtId="164" fontId="16" fillId="0" borderId="14" xfId="20" applyFont="1" applyBorder="1" applyAlignment="1">
      <alignment horizontal="left"/>
      <protection/>
    </xf>
    <xf numFmtId="164" fontId="21" fillId="0" borderId="63" xfId="21" applyFont="1" applyBorder="1">
      <alignment/>
      <protection/>
    </xf>
    <xf numFmtId="164" fontId="21" fillId="0" borderId="0" xfId="21" applyFont="1" applyBorder="1">
      <alignment/>
      <protection/>
    </xf>
    <xf numFmtId="164" fontId="21" fillId="0" borderId="13" xfId="21" applyFont="1" applyBorder="1" applyAlignment="1">
      <alignment horizontal="right"/>
      <protection/>
    </xf>
    <xf numFmtId="164" fontId="21" fillId="0" borderId="14" xfId="21" applyFont="1" applyBorder="1">
      <alignment/>
      <protection/>
    </xf>
    <xf numFmtId="164" fontId="22" fillId="0" borderId="14" xfId="21" applyFont="1" applyBorder="1" applyAlignment="1">
      <alignment horizontal="center"/>
      <protection/>
    </xf>
    <xf numFmtId="164" fontId="21" fillId="0" borderId="14" xfId="21" applyFont="1" applyBorder="1" applyAlignment="1">
      <alignment horizontal="center"/>
      <protection/>
    </xf>
    <xf numFmtId="164" fontId="21" fillId="0" borderId="17" xfId="21" applyFont="1" applyBorder="1" applyAlignment="1">
      <alignment horizontal="right"/>
      <protection/>
    </xf>
    <xf numFmtId="165" fontId="21" fillId="0" borderId="13" xfId="21" applyNumberFormat="1" applyFont="1" applyBorder="1" applyAlignment="1">
      <alignment horizontal="center"/>
      <protection/>
    </xf>
    <xf numFmtId="164" fontId="21" fillId="0" borderId="25" xfId="21" applyFont="1" applyBorder="1" applyAlignment="1">
      <alignment horizontal="right"/>
      <protection/>
    </xf>
    <xf numFmtId="164" fontId="21" fillId="0" borderId="26" xfId="21" applyFont="1" applyBorder="1">
      <alignment/>
      <protection/>
    </xf>
    <xf numFmtId="165" fontId="14" fillId="0" borderId="26" xfId="21" applyNumberFormat="1" applyFont="1" applyBorder="1" applyAlignment="1">
      <alignment horizontal="right"/>
      <protection/>
    </xf>
    <xf numFmtId="165" fontId="14" fillId="0" borderId="52" xfId="21" applyNumberFormat="1" applyFont="1" applyBorder="1" applyAlignment="1">
      <alignment horizontal="right"/>
      <protection/>
    </xf>
    <xf numFmtId="164" fontId="26" fillId="0" borderId="0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 wrapText="1"/>
    </xf>
    <xf numFmtId="164" fontId="27" fillId="0" borderId="14" xfId="0" applyFont="1" applyFill="1" applyBorder="1" applyAlignment="1">
      <alignment horizontal="center" vertical="center"/>
    </xf>
    <xf numFmtId="164" fontId="27" fillId="0" borderId="68" xfId="0" applyFont="1" applyFill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 wrapText="1"/>
    </xf>
    <xf numFmtId="164" fontId="21" fillId="0" borderId="14" xfId="0" applyFont="1" applyBorder="1" applyAlignment="1">
      <alignment vertical="center" wrapText="1"/>
    </xf>
    <xf numFmtId="165" fontId="21" fillId="0" borderId="14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5" fontId="21" fillId="0" borderId="69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0" fillId="0" borderId="14" xfId="0" applyNumberFormat="1" applyBorder="1" applyAlignment="1">
      <alignment/>
    </xf>
    <xf numFmtId="164" fontId="14" fillId="0" borderId="14" xfId="0" applyFont="1" applyBorder="1" applyAlignment="1">
      <alignment horizontal="center" vertical="center" wrapText="1"/>
    </xf>
    <xf numFmtId="164" fontId="14" fillId="0" borderId="14" xfId="0" applyFont="1" applyBorder="1" applyAlignment="1">
      <alignment vertical="center" wrapText="1"/>
    </xf>
    <xf numFmtId="165" fontId="14" fillId="0" borderId="14" xfId="0" applyNumberFormat="1" applyFont="1" applyBorder="1" applyAlignment="1">
      <alignment vertical="center"/>
    </xf>
    <xf numFmtId="164" fontId="28" fillId="0" borderId="0" xfId="0" applyFont="1" applyAlignment="1">
      <alignment/>
    </xf>
    <xf numFmtId="165" fontId="28" fillId="0" borderId="0" xfId="0" applyNumberFormat="1" applyFont="1" applyAlignment="1">
      <alignment/>
    </xf>
    <xf numFmtId="164" fontId="0" fillId="0" borderId="69" xfId="0" applyBorder="1" applyAlignment="1">
      <alignment/>
    </xf>
    <xf numFmtId="164" fontId="0" fillId="0" borderId="14" xfId="0" applyBorder="1" applyAlignment="1">
      <alignment/>
    </xf>
    <xf numFmtId="165" fontId="29" fillId="0" borderId="14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22">
      <alignment/>
      <protection/>
    </xf>
    <xf numFmtId="165" fontId="1" fillId="0" borderId="0" xfId="22" applyNumberFormat="1">
      <alignment/>
      <protection/>
    </xf>
    <xf numFmtId="165" fontId="21" fillId="0" borderId="0" xfId="22" applyNumberFormat="1" applyFont="1">
      <alignment/>
      <protection/>
    </xf>
    <xf numFmtId="164" fontId="21" fillId="0" borderId="0" xfId="22" applyFont="1">
      <alignment/>
      <protection/>
    </xf>
    <xf numFmtId="164" fontId="14" fillId="0" borderId="0" xfId="22" applyFont="1">
      <alignment/>
      <protection/>
    </xf>
    <xf numFmtId="164" fontId="30" fillId="0" borderId="0" xfId="22" applyFont="1" applyBorder="1" applyAlignment="1">
      <alignment horizontal="center" vertical="center"/>
      <protection/>
    </xf>
    <xf numFmtId="164" fontId="30" fillId="0" borderId="0" xfId="22" applyFont="1" applyBorder="1" applyAlignment="1">
      <alignment horizontal="center"/>
      <protection/>
    </xf>
    <xf numFmtId="164" fontId="14" fillId="0" borderId="47" xfId="22" applyFont="1" applyBorder="1">
      <alignment/>
      <protection/>
    </xf>
    <xf numFmtId="165" fontId="14" fillId="0" borderId="48" xfId="22" applyNumberFormat="1" applyFont="1" applyBorder="1" applyAlignment="1">
      <alignment horizontal="center"/>
      <protection/>
    </xf>
    <xf numFmtId="164" fontId="14" fillId="0" borderId="48" xfId="22" applyFont="1" applyBorder="1" applyAlignment="1">
      <alignment horizontal="center"/>
      <protection/>
    </xf>
    <xf numFmtId="164" fontId="14" fillId="0" borderId="49" xfId="22" applyFont="1" applyBorder="1" applyAlignment="1">
      <alignment horizontal="center"/>
      <protection/>
    </xf>
    <xf numFmtId="164" fontId="21" fillId="0" borderId="13" xfId="22" applyFont="1" applyBorder="1">
      <alignment/>
      <protection/>
    </xf>
    <xf numFmtId="165" fontId="21" fillId="0" borderId="14" xfId="22" applyNumberFormat="1" applyFont="1" applyBorder="1">
      <alignment/>
      <protection/>
    </xf>
    <xf numFmtId="165" fontId="21" fillId="0" borderId="14" xfId="22" applyNumberFormat="1" applyFont="1" applyBorder="1" applyAlignment="1">
      <alignment horizontal="right"/>
      <protection/>
    </xf>
    <xf numFmtId="165" fontId="21" fillId="0" borderId="17" xfId="22" applyNumberFormat="1" applyFont="1" applyBorder="1" applyAlignment="1">
      <alignment horizontal="right"/>
      <protection/>
    </xf>
    <xf numFmtId="164" fontId="14" fillId="0" borderId="13" xfId="22" applyFont="1" applyBorder="1">
      <alignment/>
      <protection/>
    </xf>
    <xf numFmtId="165" fontId="14" fillId="0" borderId="14" xfId="22" applyNumberFormat="1" applyFont="1" applyBorder="1">
      <alignment/>
      <protection/>
    </xf>
    <xf numFmtId="165" fontId="14" fillId="0" borderId="17" xfId="22" applyNumberFormat="1" applyFont="1" applyBorder="1">
      <alignment/>
      <protection/>
    </xf>
    <xf numFmtId="164" fontId="31" fillId="0" borderId="13" xfId="22" applyFont="1" applyBorder="1">
      <alignment/>
      <protection/>
    </xf>
    <xf numFmtId="165" fontId="31" fillId="0" borderId="14" xfId="22" applyNumberFormat="1" applyFont="1" applyBorder="1">
      <alignment/>
      <protection/>
    </xf>
    <xf numFmtId="165" fontId="31" fillId="0" borderId="17" xfId="22" applyNumberFormat="1" applyFont="1" applyBorder="1">
      <alignment/>
      <protection/>
    </xf>
    <xf numFmtId="164" fontId="21" fillId="0" borderId="13" xfId="22" applyFont="1" applyBorder="1" applyAlignment="1">
      <alignment wrapText="1"/>
      <protection/>
    </xf>
    <xf numFmtId="169" fontId="21" fillId="0" borderId="13" xfId="22" applyNumberFormat="1" applyFont="1" applyBorder="1" applyAlignment="1">
      <alignment wrapText="1"/>
      <protection/>
    </xf>
    <xf numFmtId="164" fontId="21" fillId="0" borderId="13" xfId="0" applyFont="1" applyBorder="1" applyAlignment="1">
      <alignment wrapText="1"/>
    </xf>
    <xf numFmtId="165" fontId="21" fillId="0" borderId="17" xfId="22" applyNumberFormat="1" applyFont="1" applyBorder="1">
      <alignment/>
      <protection/>
    </xf>
    <xf numFmtId="164" fontId="28" fillId="0" borderId="0" xfId="22" applyFont="1">
      <alignment/>
      <protection/>
    </xf>
    <xf numFmtId="164" fontId="32" fillId="0" borderId="25" xfId="22" applyFont="1" applyBorder="1">
      <alignment/>
      <protection/>
    </xf>
    <xf numFmtId="165" fontId="32" fillId="0" borderId="26" xfId="22" applyNumberFormat="1" applyFont="1" applyBorder="1">
      <alignment/>
      <protection/>
    </xf>
    <xf numFmtId="165" fontId="32" fillId="0" borderId="52" xfId="22" applyNumberFormat="1" applyFont="1" applyBorder="1">
      <alignment/>
      <protection/>
    </xf>
    <xf numFmtId="164" fontId="33" fillId="0" borderId="0" xfId="22" applyFont="1">
      <alignment/>
      <protection/>
    </xf>
    <xf numFmtId="164" fontId="21" fillId="0" borderId="14" xfId="22" applyFont="1" applyBorder="1">
      <alignment/>
      <protection/>
    </xf>
    <xf numFmtId="164" fontId="1" fillId="0" borderId="14" xfId="22" applyBorder="1">
      <alignment/>
      <protection/>
    </xf>
    <xf numFmtId="164" fontId="1" fillId="0" borderId="17" xfId="22" applyBorder="1">
      <alignment/>
      <protection/>
    </xf>
    <xf numFmtId="164" fontId="34" fillId="0" borderId="0" xfId="22" applyFont="1">
      <alignment/>
      <protection/>
    </xf>
    <xf numFmtId="164" fontId="21" fillId="0" borderId="13" xfId="0" applyFont="1" applyBorder="1" applyAlignment="1">
      <alignment/>
    </xf>
    <xf numFmtId="164" fontId="1" fillId="0" borderId="0" xfId="22" applyFont="1">
      <alignment/>
      <protection/>
    </xf>
    <xf numFmtId="164" fontId="9" fillId="0" borderId="0" xfId="0" applyFont="1" applyBorder="1" applyAlignment="1">
      <alignment horizontal="center" wrapText="1"/>
    </xf>
    <xf numFmtId="164" fontId="4" fillId="0" borderId="48" xfId="0" applyFont="1" applyBorder="1" applyAlignment="1">
      <alignment horizontal="center" vertical="center"/>
    </xf>
    <xf numFmtId="165" fontId="4" fillId="0" borderId="48" xfId="0" applyNumberFormat="1" applyFont="1" applyBorder="1" applyAlignment="1">
      <alignment horizontal="center" vertical="center" wrapText="1"/>
    </xf>
    <xf numFmtId="165" fontId="14" fillId="0" borderId="49" xfId="22" applyNumberFormat="1" applyFont="1" applyFill="1" applyBorder="1" applyAlignment="1">
      <alignment horizontal="center" vertical="center"/>
      <protection/>
    </xf>
    <xf numFmtId="164" fontId="4" fillId="0" borderId="49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left" vertical="center" wrapText="1"/>
    </xf>
    <xf numFmtId="164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4" fontId="3" fillId="0" borderId="13" xfId="0" applyFont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 vertical="center"/>
    </xf>
    <xf numFmtId="164" fontId="3" fillId="0" borderId="13" xfId="0" applyFont="1" applyBorder="1" applyAlignment="1">
      <alignment vertical="top" wrapText="1"/>
    </xf>
    <xf numFmtId="165" fontId="4" fillId="0" borderId="14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4" fontId="17" fillId="0" borderId="13" xfId="0" applyFont="1" applyBorder="1" applyAlignment="1">
      <alignment vertical="top" wrapText="1"/>
    </xf>
    <xf numFmtId="165" fontId="17" fillId="0" borderId="1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4" fontId="17" fillId="0" borderId="25" xfId="0" applyFont="1" applyBorder="1" applyAlignment="1">
      <alignment/>
    </xf>
    <xf numFmtId="165" fontId="17" fillId="0" borderId="26" xfId="0" applyNumberFormat="1" applyFont="1" applyBorder="1" applyAlignment="1">
      <alignment horizontal="right"/>
    </xf>
    <xf numFmtId="165" fontId="17" fillId="0" borderId="52" xfId="0" applyNumberFormat="1" applyFont="1" applyBorder="1" applyAlignment="1">
      <alignment horizontal="right"/>
    </xf>
    <xf numFmtId="164" fontId="35" fillId="0" borderId="0" xfId="0" applyFont="1" applyAlignment="1">
      <alignment/>
    </xf>
    <xf numFmtId="164" fontId="9" fillId="0" borderId="0" xfId="22" applyFont="1" applyBorder="1" applyAlignment="1">
      <alignment horizontal="center" wrapText="1"/>
      <protection/>
    </xf>
    <xf numFmtId="164" fontId="9" fillId="0" borderId="0" xfId="22" applyFont="1" applyBorder="1" applyAlignment="1">
      <alignment horizontal="center"/>
      <protection/>
    </xf>
    <xf numFmtId="164" fontId="3" fillId="0" borderId="0" xfId="22" applyFont="1">
      <alignment/>
      <protection/>
    </xf>
    <xf numFmtId="164" fontId="4" fillId="0" borderId="47" xfId="22" applyFont="1" applyBorder="1" applyAlignment="1">
      <alignment vertical="top" wrapText="1"/>
      <protection/>
    </xf>
    <xf numFmtId="164" fontId="4" fillId="0" borderId="48" xfId="22" applyFont="1" applyBorder="1" applyAlignment="1">
      <alignment horizontal="center"/>
      <protection/>
    </xf>
    <xf numFmtId="165" fontId="14" fillId="0" borderId="49" xfId="22" applyNumberFormat="1" applyFont="1" applyBorder="1" applyAlignment="1">
      <alignment horizontal="center"/>
      <protection/>
    </xf>
    <xf numFmtId="164" fontId="21" fillId="0" borderId="25" xfId="22" applyFont="1" applyBorder="1" applyAlignment="1">
      <alignment wrapText="1"/>
      <protection/>
    </xf>
    <xf numFmtId="165" fontId="21" fillId="0" borderId="26" xfId="22" applyNumberFormat="1" applyFont="1" applyBorder="1">
      <alignment/>
      <protection/>
    </xf>
    <xf numFmtId="164" fontId="21" fillId="0" borderId="26" xfId="22" applyFont="1" applyBorder="1">
      <alignment/>
      <protection/>
    </xf>
    <xf numFmtId="165" fontId="21" fillId="0" borderId="52" xfId="22" applyNumberFormat="1" applyFont="1" applyBorder="1">
      <alignment/>
      <protection/>
    </xf>
    <xf numFmtId="164" fontId="21" fillId="0" borderId="47" xfId="22" applyFont="1" applyBorder="1">
      <alignment/>
      <protection/>
    </xf>
    <xf numFmtId="165" fontId="21" fillId="0" borderId="48" xfId="22" applyNumberFormat="1" applyFont="1" applyBorder="1">
      <alignment/>
      <protection/>
    </xf>
    <xf numFmtId="164" fontId="21" fillId="0" borderId="48" xfId="22" applyFont="1" applyBorder="1">
      <alignment/>
      <protection/>
    </xf>
    <xf numFmtId="165" fontId="21" fillId="0" borderId="49" xfId="22" applyNumberFormat="1" applyFont="1" applyBorder="1">
      <alignment/>
      <protection/>
    </xf>
    <xf numFmtId="164" fontId="14" fillId="0" borderId="13" xfId="22" applyFont="1" applyBorder="1" applyAlignment="1">
      <alignment vertical="top" wrapText="1"/>
      <protection/>
    </xf>
    <xf numFmtId="164" fontId="14" fillId="0" borderId="14" xfId="22" applyFont="1" applyBorder="1" applyAlignment="1">
      <alignment horizontal="center"/>
      <protection/>
    </xf>
    <xf numFmtId="165" fontId="34" fillId="0" borderId="0" xfId="22" applyNumberFormat="1" applyFont="1">
      <alignment/>
      <protection/>
    </xf>
    <xf numFmtId="164" fontId="14" fillId="0" borderId="25" xfId="22" applyFont="1" applyBorder="1">
      <alignment/>
      <protection/>
    </xf>
    <xf numFmtId="165" fontId="14" fillId="0" borderId="26" xfId="22" applyNumberFormat="1" applyFont="1" applyBorder="1">
      <alignment/>
      <protection/>
    </xf>
    <xf numFmtId="165" fontId="14" fillId="0" borderId="52" xfId="22" applyNumberFormat="1" applyFont="1" applyBorder="1">
      <alignment/>
      <protection/>
    </xf>
    <xf numFmtId="165" fontId="21" fillId="0" borderId="0" xfId="22" applyNumberFormat="1" applyFont="1" applyAlignment="1">
      <alignment/>
      <protection/>
    </xf>
    <xf numFmtId="164" fontId="9" fillId="0" borderId="0" xfId="22" applyFont="1">
      <alignment/>
      <protection/>
    </xf>
    <xf numFmtId="164" fontId="10" fillId="0" borderId="0" xfId="22" applyFont="1">
      <alignment/>
      <protection/>
    </xf>
    <xf numFmtId="164" fontId="9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/>
      <protection/>
    </xf>
    <xf numFmtId="164" fontId="1" fillId="0" borderId="0" xfId="22" applyAlignment="1">
      <alignment/>
      <protection/>
    </xf>
    <xf numFmtId="164" fontId="14" fillId="0" borderId="47" xfId="22" applyFont="1" applyBorder="1" applyAlignment="1">
      <alignment horizontal="left"/>
      <protection/>
    </xf>
    <xf numFmtId="165" fontId="25" fillId="0" borderId="48" xfId="22" applyNumberFormat="1" applyFont="1" applyBorder="1" applyAlignment="1">
      <alignment/>
      <protection/>
    </xf>
    <xf numFmtId="165" fontId="25" fillId="0" borderId="48" xfId="22" applyNumberFormat="1" applyFont="1" applyBorder="1" applyAlignment="1">
      <alignment horizontal="center"/>
      <protection/>
    </xf>
    <xf numFmtId="165" fontId="36" fillId="0" borderId="49" xfId="22" applyNumberFormat="1" applyFont="1" applyBorder="1">
      <alignment/>
      <protection/>
    </xf>
    <xf numFmtId="164" fontId="14" fillId="0" borderId="13" xfId="22" applyFont="1" applyBorder="1" applyAlignment="1">
      <alignment horizontal="left"/>
      <protection/>
    </xf>
    <xf numFmtId="165" fontId="21" fillId="0" borderId="14" xfId="22" applyNumberFormat="1" applyFont="1" applyBorder="1" applyAlignment="1">
      <alignment/>
      <protection/>
    </xf>
    <xf numFmtId="165" fontId="1" fillId="0" borderId="17" xfId="22" applyNumberFormat="1" applyBorder="1">
      <alignment/>
      <protection/>
    </xf>
    <xf numFmtId="165" fontId="14" fillId="0" borderId="14" xfId="22" applyNumberFormat="1" applyFont="1" applyBorder="1" applyAlignment="1">
      <alignment/>
      <protection/>
    </xf>
    <xf numFmtId="165" fontId="14" fillId="0" borderId="17" xfId="22" applyNumberFormat="1" applyFont="1" applyBorder="1" applyAlignment="1">
      <alignment/>
      <protection/>
    </xf>
    <xf numFmtId="165" fontId="32" fillId="0" borderId="26" xfId="22" applyNumberFormat="1" applyFont="1" applyBorder="1" applyAlignment="1">
      <alignment/>
      <protection/>
    </xf>
    <xf numFmtId="165" fontId="32" fillId="0" borderId="52" xfId="22" applyNumberFormat="1" applyFont="1" applyBorder="1" applyAlignment="1">
      <alignment/>
      <protection/>
    </xf>
    <xf numFmtId="164" fontId="21" fillId="0" borderId="0" xfId="0" applyFont="1" applyAlignment="1">
      <alignment/>
    </xf>
    <xf numFmtId="169" fontId="21" fillId="0" borderId="0" xfId="0" applyNumberFormat="1" applyFont="1" applyAlignment="1">
      <alignment horizontal="center"/>
    </xf>
    <xf numFmtId="164" fontId="37" fillId="0" borderId="0" xfId="0" applyFont="1" applyAlignment="1">
      <alignment/>
    </xf>
    <xf numFmtId="164" fontId="23" fillId="0" borderId="0" xfId="0" applyFont="1" applyBorder="1" applyAlignment="1">
      <alignment horizontal="center" wrapText="1"/>
    </xf>
    <xf numFmtId="164" fontId="23" fillId="0" borderId="0" xfId="0" applyFont="1" applyAlignment="1">
      <alignment/>
    </xf>
    <xf numFmtId="164" fontId="38" fillId="0" borderId="0" xfId="0" applyFont="1" applyAlignment="1">
      <alignment/>
    </xf>
    <xf numFmtId="164" fontId="14" fillId="0" borderId="47" xfId="0" applyFont="1" applyBorder="1" applyAlignment="1">
      <alignment horizontal="center" vertical="top" wrapText="1"/>
    </xf>
    <xf numFmtId="169" fontId="21" fillId="0" borderId="49" xfId="0" applyNumberFormat="1" applyFont="1" applyBorder="1" applyAlignment="1">
      <alignment horizontal="center"/>
    </xf>
    <xf numFmtId="164" fontId="14" fillId="0" borderId="14" xfId="0" applyFont="1" applyBorder="1" applyAlignment="1">
      <alignment horizontal="center"/>
    </xf>
    <xf numFmtId="169" fontId="14" fillId="0" borderId="17" xfId="0" applyNumberFormat="1" applyFont="1" applyBorder="1" applyAlignment="1">
      <alignment horizontal="center"/>
    </xf>
    <xf numFmtId="164" fontId="21" fillId="0" borderId="13" xfId="0" applyFont="1" applyBorder="1" applyAlignment="1">
      <alignment horizontal="justify" vertical="top" wrapText="1"/>
    </xf>
    <xf numFmtId="169" fontId="21" fillId="0" borderId="14" xfId="0" applyNumberFormat="1" applyFont="1" applyBorder="1" applyAlignment="1">
      <alignment horizontal="center" vertical="top" wrapText="1"/>
    </xf>
    <xf numFmtId="169" fontId="21" fillId="0" borderId="14" xfId="0" applyNumberFormat="1" applyFont="1" applyBorder="1" applyAlignment="1">
      <alignment horizontal="center"/>
    </xf>
    <xf numFmtId="169" fontId="21" fillId="0" borderId="17" xfId="0" applyNumberFormat="1" applyFont="1" applyBorder="1" applyAlignment="1">
      <alignment horizontal="center"/>
    </xf>
    <xf numFmtId="164" fontId="39" fillId="0" borderId="13" xfId="0" applyFont="1" applyBorder="1" applyAlignment="1">
      <alignment horizontal="justify" vertical="top" wrapText="1"/>
    </xf>
    <xf numFmtId="169" fontId="39" fillId="0" borderId="14" xfId="0" applyNumberFormat="1" applyFont="1" applyBorder="1" applyAlignment="1">
      <alignment horizontal="center" vertical="top" wrapText="1"/>
    </xf>
    <xf numFmtId="169" fontId="39" fillId="0" borderId="17" xfId="0" applyNumberFormat="1" applyFont="1" applyBorder="1" applyAlignment="1">
      <alignment horizontal="center" vertical="top" wrapText="1"/>
    </xf>
    <xf numFmtId="164" fontId="39" fillId="0" borderId="13" xfId="0" applyFont="1" applyBorder="1" applyAlignment="1">
      <alignment horizontal="left" vertical="center" wrapText="1"/>
    </xf>
    <xf numFmtId="164" fontId="14" fillId="0" borderId="13" xfId="0" applyFont="1" applyBorder="1" applyAlignment="1">
      <alignment horizontal="justify" vertical="top" wrapText="1"/>
    </xf>
    <xf numFmtId="169" fontId="14" fillId="0" borderId="14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horizontal="center" vertical="top" wrapText="1"/>
    </xf>
    <xf numFmtId="164" fontId="31" fillId="0" borderId="13" xfId="0" applyFont="1" applyBorder="1" applyAlignment="1">
      <alignment horizontal="justify" vertical="top" wrapText="1"/>
    </xf>
    <xf numFmtId="169" fontId="31" fillId="0" borderId="14" xfId="0" applyNumberFormat="1" applyFont="1" applyBorder="1" applyAlignment="1">
      <alignment horizontal="center" vertical="top" wrapText="1"/>
    </xf>
    <xf numFmtId="169" fontId="31" fillId="0" borderId="17" xfId="0" applyNumberFormat="1" applyFont="1" applyBorder="1" applyAlignment="1">
      <alignment horizontal="center" vertical="top" wrapText="1"/>
    </xf>
    <xf numFmtId="164" fontId="31" fillId="0" borderId="0" xfId="0" applyFont="1" applyAlignment="1">
      <alignment/>
    </xf>
    <xf numFmtId="164" fontId="14" fillId="0" borderId="25" xfId="0" applyFont="1" applyBorder="1" applyAlignment="1">
      <alignment horizontal="justify" vertical="top" wrapText="1"/>
    </xf>
    <xf numFmtId="169" fontId="14" fillId="0" borderId="26" xfId="0" applyNumberFormat="1" applyFont="1" applyBorder="1" applyAlignment="1">
      <alignment horizontal="center" vertical="top" wrapText="1"/>
    </xf>
    <xf numFmtId="169" fontId="14" fillId="0" borderId="52" xfId="0" applyNumberFormat="1" applyFont="1" applyBorder="1" applyAlignment="1">
      <alignment horizontal="center" vertical="top" wrapText="1"/>
    </xf>
    <xf numFmtId="164" fontId="40" fillId="0" borderId="0" xfId="0" applyFont="1" applyAlignment="1">
      <alignment horizontal="justify"/>
    </xf>
    <xf numFmtId="170" fontId="21" fillId="0" borderId="0" xfId="0" applyNumberFormat="1" applyFont="1" applyAlignment="1">
      <alignment/>
    </xf>
    <xf numFmtId="164" fontId="37" fillId="0" borderId="0" xfId="0" applyFont="1" applyAlignment="1">
      <alignment horizontal="justify"/>
    </xf>
    <xf numFmtId="164" fontId="23" fillId="0" borderId="0" xfId="0" applyFont="1" applyBorder="1" applyAlignment="1">
      <alignment horizontal="center"/>
    </xf>
    <xf numFmtId="164" fontId="14" fillId="0" borderId="47" xfId="0" applyFont="1" applyBorder="1" applyAlignment="1">
      <alignment horizontal="center"/>
    </xf>
    <xf numFmtId="164" fontId="14" fillId="0" borderId="48" xfId="0" applyFont="1" applyBorder="1" applyAlignment="1">
      <alignment horizontal="center"/>
    </xf>
    <xf numFmtId="169" fontId="14" fillId="0" borderId="49" xfId="0" applyNumberFormat="1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14" fillId="0" borderId="25" xfId="0" applyFont="1" applyBorder="1" applyAlignment="1">
      <alignment/>
    </xf>
    <xf numFmtId="164" fontId="14" fillId="0" borderId="26" xfId="0" applyFont="1" applyBorder="1" applyAlignment="1">
      <alignment horizontal="center"/>
    </xf>
    <xf numFmtId="169" fontId="14" fillId="0" borderId="52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5" fontId="21" fillId="0" borderId="0" xfId="0" applyNumberFormat="1" applyFont="1" applyAlignment="1">
      <alignment/>
    </xf>
    <xf numFmtId="164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4" fontId="14" fillId="0" borderId="47" xfId="0" applyFont="1" applyBorder="1" applyAlignment="1">
      <alignment/>
    </xf>
    <xf numFmtId="165" fontId="14" fillId="0" borderId="48" xfId="0" applyNumberFormat="1" applyFont="1" applyBorder="1" applyAlignment="1">
      <alignment horizontal="center"/>
    </xf>
    <xf numFmtId="165" fontId="25" fillId="0" borderId="48" xfId="0" applyNumberFormat="1" applyFont="1" applyBorder="1" applyAlignment="1">
      <alignment horizontal="center" vertical="center"/>
    </xf>
    <xf numFmtId="165" fontId="14" fillId="0" borderId="49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/>
    </xf>
    <xf numFmtId="165" fontId="21" fillId="0" borderId="17" xfId="0" applyNumberFormat="1" applyFont="1" applyBorder="1" applyAlignment="1">
      <alignment/>
    </xf>
    <xf numFmtId="164" fontId="31" fillId="0" borderId="13" xfId="0" applyFont="1" applyBorder="1" applyAlignment="1">
      <alignment/>
    </xf>
    <xf numFmtId="165" fontId="31" fillId="0" borderId="14" xfId="0" applyNumberFormat="1" applyFont="1" applyBorder="1" applyAlignment="1">
      <alignment/>
    </xf>
    <xf numFmtId="165" fontId="31" fillId="0" borderId="17" xfId="0" applyNumberFormat="1" applyFont="1" applyBorder="1" applyAlignment="1">
      <alignment/>
    </xf>
    <xf numFmtId="164" fontId="21" fillId="0" borderId="50" xfId="0" applyFont="1" applyBorder="1" applyAlignment="1">
      <alignment/>
    </xf>
    <xf numFmtId="165" fontId="21" fillId="0" borderId="51" xfId="0" applyNumberFormat="1" applyFont="1" applyBorder="1" applyAlignment="1">
      <alignment/>
    </xf>
    <xf numFmtId="165" fontId="21" fillId="0" borderId="66" xfId="0" applyNumberFormat="1" applyFont="1" applyBorder="1" applyAlignment="1">
      <alignment/>
    </xf>
    <xf numFmtId="164" fontId="14" fillId="0" borderId="50" xfId="0" applyFont="1" applyBorder="1" applyAlignment="1">
      <alignment/>
    </xf>
    <xf numFmtId="165" fontId="14" fillId="0" borderId="51" xfId="0" applyNumberFormat="1" applyFont="1" applyBorder="1" applyAlignment="1">
      <alignment/>
    </xf>
    <xf numFmtId="165" fontId="14" fillId="0" borderId="7" xfId="0" applyNumberFormat="1" applyFont="1" applyBorder="1" applyAlignment="1">
      <alignment/>
    </xf>
    <xf numFmtId="164" fontId="32" fillId="0" borderId="70" xfId="0" applyFont="1" applyBorder="1" applyAlignment="1">
      <alignment horizontal="left" vertical="center"/>
    </xf>
    <xf numFmtId="165" fontId="14" fillId="0" borderId="71" xfId="0" applyNumberFormat="1" applyFont="1" applyBorder="1" applyAlignment="1">
      <alignment horizontal="center" vertical="center" wrapText="1"/>
    </xf>
    <xf numFmtId="165" fontId="25" fillId="0" borderId="71" xfId="0" applyNumberFormat="1" applyFont="1" applyBorder="1" applyAlignment="1">
      <alignment horizontal="center" vertical="center"/>
    </xf>
    <xf numFmtId="165" fontId="14" fillId="0" borderId="72" xfId="0" applyNumberFormat="1" applyFont="1" applyBorder="1" applyAlignment="1">
      <alignment horizontal="center" vertical="center"/>
    </xf>
    <xf numFmtId="164" fontId="32" fillId="0" borderId="8" xfId="0" applyFont="1" applyBorder="1" applyAlignment="1">
      <alignment horizontal="left" vertical="center"/>
    </xf>
    <xf numFmtId="165" fontId="14" fillId="0" borderId="9" xfId="0" applyNumberFormat="1" applyFont="1" applyBorder="1" applyAlignment="1">
      <alignment horizontal="center" vertical="center" wrapText="1"/>
    </xf>
    <xf numFmtId="165" fontId="21" fillId="0" borderId="9" xfId="0" applyNumberFormat="1" applyFont="1" applyBorder="1" applyAlignment="1">
      <alignment/>
    </xf>
    <xf numFmtId="165" fontId="21" fillId="0" borderId="12" xfId="0" applyNumberFormat="1" applyFont="1" applyBorder="1" applyAlignment="1">
      <alignment/>
    </xf>
    <xf numFmtId="164" fontId="31" fillId="0" borderId="13" xfId="0" applyFont="1" applyBorder="1" applyAlignment="1">
      <alignment horizontal="left" vertical="center"/>
    </xf>
    <xf numFmtId="165" fontId="31" fillId="0" borderId="14" xfId="0" applyNumberFormat="1" applyFont="1" applyBorder="1" applyAlignment="1">
      <alignment horizontal="right" vertical="center" wrapText="1"/>
    </xf>
    <xf numFmtId="165" fontId="39" fillId="0" borderId="0" xfId="0" applyNumberFormat="1" applyFont="1" applyAlignment="1">
      <alignment/>
    </xf>
    <xf numFmtId="164" fontId="39" fillId="0" borderId="0" xfId="0" applyFont="1" applyAlignment="1">
      <alignment/>
    </xf>
    <xf numFmtId="164" fontId="32" fillId="0" borderId="13" xfId="0" applyFont="1" applyBorder="1" applyAlignment="1">
      <alignment horizontal="left" vertical="center"/>
    </xf>
    <xf numFmtId="165" fontId="14" fillId="0" borderId="14" xfId="0" applyNumberFormat="1" applyFont="1" applyBorder="1" applyAlignment="1">
      <alignment horizontal="center" vertical="center" wrapText="1"/>
    </xf>
    <xf numFmtId="164" fontId="14" fillId="0" borderId="13" xfId="0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164" fontId="14" fillId="0" borderId="13" xfId="22" applyFont="1" applyBorder="1" applyAlignment="1">
      <alignment wrapText="1"/>
      <protection/>
    </xf>
    <xf numFmtId="165" fontId="14" fillId="0" borderId="26" xfId="0" applyNumberFormat="1" applyFont="1" applyBorder="1" applyAlignment="1">
      <alignment/>
    </xf>
    <xf numFmtId="165" fontId="14" fillId="0" borderId="52" xfId="0" applyNumberFormat="1" applyFont="1" applyBorder="1" applyAlignment="1">
      <alignment/>
    </xf>
    <xf numFmtId="164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5" fontId="14" fillId="0" borderId="0" xfId="0" applyNumberFormat="1" applyFont="1" applyAlignment="1">
      <alignment horizontal="center"/>
    </xf>
    <xf numFmtId="165" fontId="25" fillId="0" borderId="73" xfId="0" applyNumberFormat="1" applyFont="1" applyBorder="1" applyAlignment="1">
      <alignment horizontal="center" vertical="center"/>
    </xf>
    <xf numFmtId="165" fontId="14" fillId="0" borderId="74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5" fontId="21" fillId="0" borderId="15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164" fontId="32" fillId="0" borderId="60" xfId="0" applyFont="1" applyBorder="1" applyAlignment="1">
      <alignment horizontal="left" vertical="center"/>
    </xf>
    <xf numFmtId="165" fontId="14" fillId="0" borderId="61" xfId="0" applyNumberFormat="1" applyFont="1" applyBorder="1" applyAlignment="1">
      <alignment horizontal="center" vertical="center" wrapText="1"/>
    </xf>
    <xf numFmtId="165" fontId="25" fillId="0" borderId="75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/>
    </xf>
    <xf numFmtId="165" fontId="21" fillId="0" borderId="15" xfId="22" applyNumberFormat="1" applyFont="1" applyBorder="1">
      <alignment/>
      <protection/>
    </xf>
    <xf numFmtId="165" fontId="14" fillId="0" borderId="76" xfId="0" applyNumberFormat="1" applyFont="1" applyBorder="1" applyAlignment="1">
      <alignment/>
    </xf>
    <xf numFmtId="164" fontId="1" fillId="0" borderId="0" xfId="23">
      <alignment/>
      <protection/>
    </xf>
    <xf numFmtId="165" fontId="1" fillId="0" borderId="0" xfId="23" applyNumberFormat="1">
      <alignment/>
      <protection/>
    </xf>
    <xf numFmtId="164" fontId="30" fillId="0" borderId="0" xfId="23" applyFont="1" applyBorder="1" applyAlignment="1">
      <alignment horizontal="center"/>
      <protection/>
    </xf>
    <xf numFmtId="164" fontId="37" fillId="0" borderId="0" xfId="23" applyFont="1">
      <alignment/>
      <protection/>
    </xf>
    <xf numFmtId="164" fontId="30" fillId="0" borderId="0" xfId="23" applyFont="1">
      <alignment/>
      <protection/>
    </xf>
    <xf numFmtId="165" fontId="28" fillId="0" borderId="0" xfId="23" applyNumberFormat="1" applyFont="1">
      <alignment/>
      <protection/>
    </xf>
    <xf numFmtId="164" fontId="30" fillId="0" borderId="47" xfId="23" applyFont="1" applyBorder="1" applyAlignment="1">
      <alignment horizontal="center" vertical="center"/>
      <protection/>
    </xf>
    <xf numFmtId="164" fontId="30" fillId="0" borderId="48" xfId="23" applyFont="1" applyBorder="1" applyAlignment="1">
      <alignment horizontal="center" vertical="center"/>
      <protection/>
    </xf>
    <xf numFmtId="165" fontId="28" fillId="0" borderId="73" xfId="23" applyNumberFormat="1" applyFont="1" applyBorder="1" applyAlignment="1">
      <alignment horizontal="center" vertical="center"/>
      <protection/>
    </xf>
    <xf numFmtId="165" fontId="28" fillId="0" borderId="49" xfId="23" applyNumberFormat="1" applyFont="1" applyBorder="1" applyAlignment="1">
      <alignment horizontal="center" vertical="center"/>
      <protection/>
    </xf>
    <xf numFmtId="164" fontId="37" fillId="0" borderId="13" xfId="23" applyFont="1" applyBorder="1" applyAlignment="1">
      <alignment horizontal="left"/>
      <protection/>
    </xf>
    <xf numFmtId="164" fontId="37" fillId="0" borderId="14" xfId="23" applyFont="1" applyBorder="1">
      <alignment/>
      <protection/>
    </xf>
    <xf numFmtId="165" fontId="1" fillId="0" borderId="15" xfId="23" applyNumberFormat="1" applyFont="1" applyBorder="1">
      <alignment/>
      <protection/>
    </xf>
    <xf numFmtId="165" fontId="1" fillId="0" borderId="17" xfId="23" applyNumberFormat="1" applyFont="1" applyBorder="1">
      <alignment/>
      <protection/>
    </xf>
    <xf numFmtId="164" fontId="1" fillId="0" borderId="0" xfId="23" applyFont="1">
      <alignment/>
      <protection/>
    </xf>
    <xf numFmtId="164" fontId="30" fillId="0" borderId="13" xfId="23" applyFont="1" applyBorder="1" applyAlignment="1">
      <alignment horizontal="left"/>
      <protection/>
    </xf>
    <xf numFmtId="164" fontId="30" fillId="0" borderId="14" xfId="23" applyFont="1" applyBorder="1">
      <alignment/>
      <protection/>
    </xf>
    <xf numFmtId="165" fontId="30" fillId="0" borderId="15" xfId="23" applyNumberFormat="1" applyFont="1" applyBorder="1">
      <alignment/>
      <protection/>
    </xf>
    <xf numFmtId="165" fontId="30" fillId="0" borderId="17" xfId="23" applyNumberFormat="1" applyFont="1" applyBorder="1">
      <alignment/>
      <protection/>
    </xf>
    <xf numFmtId="165" fontId="1" fillId="0" borderId="15" xfId="23" applyNumberFormat="1" applyBorder="1">
      <alignment/>
      <protection/>
    </xf>
    <xf numFmtId="165" fontId="1" fillId="0" borderId="17" xfId="23" applyNumberFormat="1" applyBorder="1">
      <alignment/>
      <protection/>
    </xf>
    <xf numFmtId="164" fontId="37" fillId="0" borderId="51" xfId="23" applyFont="1" applyBorder="1">
      <alignment/>
      <protection/>
    </xf>
    <xf numFmtId="165" fontId="1" fillId="0" borderId="77" xfId="23" applyNumberFormat="1" applyBorder="1">
      <alignment/>
      <protection/>
    </xf>
    <xf numFmtId="164" fontId="30" fillId="0" borderId="25" xfId="23" applyFont="1" applyBorder="1" applyAlignment="1">
      <alignment horizontal="left"/>
      <protection/>
    </xf>
    <xf numFmtId="164" fontId="30" fillId="0" borderId="26" xfId="23" applyFont="1" applyBorder="1">
      <alignment/>
      <protection/>
    </xf>
    <xf numFmtId="165" fontId="30" fillId="0" borderId="76" xfId="23" applyNumberFormat="1" applyFont="1" applyBorder="1">
      <alignment/>
      <protection/>
    </xf>
    <xf numFmtId="165" fontId="30" fillId="0" borderId="52" xfId="23" applyNumberFormat="1" applyFont="1" applyBorder="1">
      <alignment/>
      <protection/>
    </xf>
    <xf numFmtId="164" fontId="37" fillId="0" borderId="0" xfId="23" applyFont="1" applyBorder="1">
      <alignment/>
      <protection/>
    </xf>
    <xf numFmtId="165" fontId="1" fillId="0" borderId="0" xfId="23" applyNumberFormat="1" applyBorder="1">
      <alignment/>
      <protection/>
    </xf>
    <xf numFmtId="165" fontId="37" fillId="0" borderId="14" xfId="23" applyNumberFormat="1" applyFont="1" applyBorder="1">
      <alignment/>
      <protection/>
    </xf>
    <xf numFmtId="165" fontId="30" fillId="0" borderId="14" xfId="23" applyNumberFormat="1" applyFont="1" applyBorder="1">
      <alignment/>
      <protection/>
    </xf>
    <xf numFmtId="165" fontId="37" fillId="0" borderId="51" xfId="23" applyNumberFormat="1" applyFont="1" applyBorder="1">
      <alignment/>
      <protection/>
    </xf>
    <xf numFmtId="165" fontId="30" fillId="0" borderId="26" xfId="23" applyNumberFormat="1" applyFont="1" applyBorder="1">
      <alignment/>
      <protection/>
    </xf>
    <xf numFmtId="164" fontId="1" fillId="0" borderId="0" xfId="25">
      <alignment/>
      <protection/>
    </xf>
    <xf numFmtId="164" fontId="14" fillId="0" borderId="0" xfId="25" applyFont="1" applyBorder="1" applyAlignment="1">
      <alignment horizontal="center"/>
      <protection/>
    </xf>
    <xf numFmtId="164" fontId="21" fillId="0" borderId="0" xfId="25" applyFont="1">
      <alignment/>
      <protection/>
    </xf>
    <xf numFmtId="164" fontId="14" fillId="0" borderId="47" xfId="25" applyFont="1" applyBorder="1" applyAlignment="1">
      <alignment horizontal="center" vertical="center"/>
      <protection/>
    </xf>
    <xf numFmtId="164" fontId="14" fillId="0" borderId="78" xfId="25" applyFont="1" applyBorder="1" applyAlignment="1">
      <alignment horizontal="center" vertical="center"/>
      <protection/>
    </xf>
    <xf numFmtId="164" fontId="14" fillId="0" borderId="74" xfId="25" applyFont="1" applyBorder="1" applyAlignment="1">
      <alignment horizontal="center" vertical="center"/>
      <protection/>
    </xf>
    <xf numFmtId="164" fontId="14" fillId="0" borderId="14" xfId="25" applyFont="1" applyBorder="1" applyAlignment="1">
      <alignment horizontal="center" vertical="center"/>
      <protection/>
    </xf>
    <xf numFmtId="164" fontId="14" fillId="0" borderId="14" xfId="25" applyFont="1" applyBorder="1" applyAlignment="1">
      <alignment horizontal="center" vertical="center" wrapText="1"/>
      <protection/>
    </xf>
    <xf numFmtId="164" fontId="14" fillId="0" borderId="79" xfId="25" applyFont="1" applyBorder="1" applyAlignment="1">
      <alignment horizontal="center" vertical="center"/>
      <protection/>
    </xf>
    <xf numFmtId="164" fontId="14" fillId="0" borderId="69" xfId="25" applyFont="1" applyBorder="1" applyAlignment="1">
      <alignment horizontal="center" vertical="center" wrapText="1"/>
      <protection/>
    </xf>
    <xf numFmtId="164" fontId="14" fillId="0" borderId="17" xfId="25" applyFont="1" applyBorder="1" applyAlignment="1">
      <alignment horizontal="center" vertical="center"/>
      <protection/>
    </xf>
    <xf numFmtId="164" fontId="21" fillId="0" borderId="13" xfId="25" applyFont="1" applyBorder="1" applyAlignment="1">
      <alignment vertical="center"/>
      <protection/>
    </xf>
    <xf numFmtId="165" fontId="21" fillId="0" borderId="14" xfId="25" applyNumberFormat="1" applyFont="1" applyBorder="1" applyAlignment="1">
      <alignment vertical="center"/>
      <protection/>
    </xf>
    <xf numFmtId="165" fontId="31" fillId="0" borderId="79" xfId="25" applyNumberFormat="1" applyFont="1" applyBorder="1" applyAlignment="1">
      <alignment vertical="center"/>
      <protection/>
    </xf>
    <xf numFmtId="165" fontId="21" fillId="0" borderId="69" xfId="25" applyNumberFormat="1" applyFont="1" applyBorder="1" applyAlignment="1">
      <alignment vertical="center"/>
      <protection/>
    </xf>
    <xf numFmtId="165" fontId="31" fillId="0" borderId="17" xfId="25" applyNumberFormat="1" applyFont="1" applyBorder="1" applyAlignment="1">
      <alignment vertical="center"/>
      <protection/>
    </xf>
    <xf numFmtId="164" fontId="14" fillId="0" borderId="25" xfId="25" applyFont="1" applyBorder="1" applyAlignment="1">
      <alignment vertical="center"/>
      <protection/>
    </xf>
    <xf numFmtId="165" fontId="14" fillId="0" borderId="26" xfId="25" applyNumberFormat="1" applyFont="1" applyBorder="1" applyAlignment="1">
      <alignment vertical="center"/>
      <protection/>
    </xf>
    <xf numFmtId="165" fontId="14" fillId="0" borderId="80" xfId="25" applyNumberFormat="1" applyFont="1" applyBorder="1" applyAlignment="1">
      <alignment vertical="center"/>
      <protection/>
    </xf>
    <xf numFmtId="165" fontId="14" fillId="0" borderId="67" xfId="25" applyNumberFormat="1" applyFont="1" applyBorder="1" applyAlignment="1">
      <alignment vertical="center"/>
      <protection/>
    </xf>
    <xf numFmtId="165" fontId="14" fillId="0" borderId="52" xfId="25" applyNumberFormat="1" applyFont="1" applyBorder="1" applyAlignment="1">
      <alignment vertical="center"/>
      <protection/>
    </xf>
    <xf numFmtId="164" fontId="14" fillId="0" borderId="0" xfId="25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011 ktv. táblák" xfId="20"/>
    <cellStyle name="Normál_9702KV1_2011 ktv. táblák" xfId="21"/>
    <cellStyle name="Normál_Beruh.felú-átadott-átvett" xfId="22"/>
    <cellStyle name="Normál_Brigitől kisebbségek" xfId="23"/>
    <cellStyle name="Normál_KTGVET98" xfId="24"/>
    <cellStyle name="Normál_Zárolások tábl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omborimonika\Dokumentumok\el&#337;terjeszt&#233;sek\2011\Okt&#243;ber\Leadott%20anyagok\IGH%20-%20Int&#233;zm&#233;nyi%20el&#337;ir&#225;nyzat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edeti EFt"/>
      <sheetName val="Eredeti EzerFt"/>
      <sheetName val="Eredeti Ft"/>
    </sheetNames>
    <sheetDataSet>
      <sheetData sheetId="2">
        <row r="4">
          <cell r="A4" t="str">
            <v>Fürdő utcai Óvoda</v>
          </cell>
          <cell r="B4" t="str">
            <v>Eredeti</v>
          </cell>
          <cell r="C4">
            <v>6203182.3</v>
          </cell>
          <cell r="D4">
            <v>4470400</v>
          </cell>
          <cell r="E4">
            <v>1550795.575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O4">
            <v>37168720.825</v>
          </cell>
          <cell r="P4">
            <v>9865566.807750002</v>
          </cell>
          <cell r="Q4">
            <v>12932760.5</v>
          </cell>
          <cell r="R4">
            <v>5630577.5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7">
          <cell r="A7" t="str">
            <v>Kálvária utcai Óvoda</v>
          </cell>
          <cell r="B7" t="str">
            <v>Eredeti</v>
          </cell>
          <cell r="C7">
            <v>3058100</v>
          </cell>
          <cell r="D7">
            <v>2486900</v>
          </cell>
          <cell r="E7">
            <v>764525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O7">
            <v>25374969.643</v>
          </cell>
          <cell r="P7">
            <v>6780781.518750001</v>
          </cell>
          <cell r="Q7">
            <v>9555722.5625</v>
          </cell>
          <cell r="R7">
            <v>4647871.25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10">
          <cell r="A10" t="str">
            <v>Szivárvány Óvoda</v>
          </cell>
          <cell r="B10" t="str">
            <v>Eredeti</v>
          </cell>
          <cell r="C10">
            <v>2207800</v>
          </cell>
          <cell r="D10">
            <v>1922200</v>
          </cell>
          <cell r="E10">
            <v>551950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13269495.1</v>
          </cell>
          <cell r="P10">
            <v>3506993.685</v>
          </cell>
          <cell r="Q10">
            <v>6532738.9375</v>
          </cell>
          <cell r="R10">
            <v>2716225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3">
          <cell r="A13" t="str">
            <v>Kuckó Óvoda</v>
          </cell>
          <cell r="B13" t="str">
            <v>Eredeti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6">
          <cell r="A16" t="str">
            <v>Geszti Óvoda</v>
          </cell>
          <cell r="B16" t="str">
            <v>Eredeti</v>
          </cell>
          <cell r="C16">
            <v>4599400</v>
          </cell>
          <cell r="D16">
            <v>3905800</v>
          </cell>
          <cell r="E16">
            <v>1149850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29349126.125</v>
          </cell>
          <cell r="P16">
            <v>7800466.488749999</v>
          </cell>
          <cell r="Q16">
            <v>10285446.375</v>
          </cell>
          <cell r="R16">
            <v>4576740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9">
          <cell r="A19" t="str">
            <v>Bartók B. utcai Óvoda</v>
          </cell>
          <cell r="B19" t="str">
            <v>Eredeti</v>
          </cell>
          <cell r="C19">
            <v>5005029.25</v>
          </cell>
          <cell r="D19">
            <v>4027600</v>
          </cell>
          <cell r="E19">
            <v>1251257.3125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38893309.275</v>
          </cell>
          <cell r="P19">
            <v>10316260.703250002</v>
          </cell>
          <cell r="Q19">
            <v>16785352.3125</v>
          </cell>
          <cell r="R19">
            <v>5976402.5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2">
          <cell r="A22" t="str">
            <v>Kertvárosi Óvoda</v>
          </cell>
          <cell r="B22" t="str">
            <v>Eredeti</v>
          </cell>
          <cell r="C22">
            <v>5648988.4</v>
          </cell>
          <cell r="D22">
            <v>2487100</v>
          </cell>
          <cell r="E22">
            <v>1412247.1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25873587.625</v>
          </cell>
          <cell r="P22">
            <v>6894780.108750001</v>
          </cell>
          <cell r="Q22">
            <v>10835131</v>
          </cell>
          <cell r="R22">
            <v>3102847.5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</row>
        <row r="25">
          <cell r="A25" t="str">
            <v>Kincseskert Óvoda</v>
          </cell>
          <cell r="B25" t="str">
            <v>Eredeti</v>
          </cell>
          <cell r="C25">
            <v>4186500</v>
          </cell>
          <cell r="D25">
            <v>3615300</v>
          </cell>
          <cell r="E25">
            <v>1046625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27157294.45</v>
          </cell>
          <cell r="P25">
            <v>7242018.705</v>
          </cell>
          <cell r="Q25">
            <v>10585796.175999999</v>
          </cell>
          <cell r="R25">
            <v>4724602.5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A28" t="str">
            <v>Bergengócia Óvoda</v>
          </cell>
          <cell r="B28" t="str">
            <v>Eredeti</v>
          </cell>
          <cell r="C28">
            <v>1002500</v>
          </cell>
          <cell r="D28">
            <v>839300</v>
          </cell>
          <cell r="E28">
            <v>250625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7192910.5</v>
          </cell>
          <cell r="P28">
            <v>1936415.8350000002</v>
          </cell>
          <cell r="Q28">
            <v>2956720.5</v>
          </cell>
          <cell r="R28">
            <v>1040071.25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1">
          <cell r="A31" t="str">
            <v>Bölcsöde</v>
          </cell>
          <cell r="B31" t="str">
            <v>Eredeti</v>
          </cell>
          <cell r="C31">
            <v>4676780.05625</v>
          </cell>
          <cell r="D31">
            <v>3295100</v>
          </cell>
          <cell r="E31">
            <v>1169195.0140625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37986587.94</v>
          </cell>
          <cell r="P31">
            <v>10028459.3238</v>
          </cell>
          <cell r="Q31">
            <v>19990482.936699998</v>
          </cell>
          <cell r="R31">
            <v>3917115.9999999995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</row>
        <row r="34">
          <cell r="A34" t="str">
            <v>Vaszary J. Általános Iskola</v>
          </cell>
          <cell r="B34" t="str">
            <v>Eredeti</v>
          </cell>
          <cell r="C34">
            <v>15919009.708737865</v>
          </cell>
          <cell r="D34">
            <v>12826009.708737865</v>
          </cell>
          <cell r="E34">
            <v>3354002.4271844663</v>
          </cell>
          <cell r="F34">
            <v>4200000</v>
          </cell>
          <cell r="G34">
            <v>1500000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O34">
            <v>159000003.89499998</v>
          </cell>
          <cell r="P34">
            <v>42523867.262250006</v>
          </cell>
          <cell r="Q34">
            <v>68585290.01551999</v>
          </cell>
          <cell r="R34">
            <v>31892675.728</v>
          </cell>
          <cell r="S34">
            <v>4200000</v>
          </cell>
          <cell r="T34">
            <v>4200000</v>
          </cell>
          <cell r="U34">
            <v>0</v>
          </cell>
          <cell r="V34">
            <v>2300000</v>
          </cell>
        </row>
        <row r="37">
          <cell r="A37" t="str">
            <v>Vaszary - Logopédiai Intézet</v>
          </cell>
          <cell r="B37" t="str">
            <v>Eredeti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5494000</v>
          </cell>
          <cell r="J37">
            <v>0</v>
          </cell>
          <cell r="K37">
            <v>0</v>
          </cell>
          <cell r="O37">
            <v>21809535.400000002</v>
          </cell>
          <cell r="P37">
            <v>5773895.4059999995</v>
          </cell>
          <cell r="Q37">
            <v>2535746.38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40">
          <cell r="A40" t="str">
            <v>Vaszary-Jázmin Tagint.</v>
          </cell>
          <cell r="B40" t="str">
            <v>Eredeti</v>
          </cell>
          <cell r="C40">
            <v>8552408.737864077</v>
          </cell>
          <cell r="D40">
            <v>7802408.737864077</v>
          </cell>
          <cell r="E40">
            <v>2090602.1844660193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O40">
            <v>43110489.5</v>
          </cell>
          <cell r="P40">
            <v>11589442.065000001</v>
          </cell>
          <cell r="Q40">
            <v>27695622.98</v>
          </cell>
          <cell r="R40">
            <v>17839731.584</v>
          </cell>
          <cell r="S40">
            <v>1020000</v>
          </cell>
          <cell r="T40">
            <v>0</v>
          </cell>
          <cell r="U40">
            <v>0</v>
          </cell>
          <cell r="V40">
            <v>0</v>
          </cell>
        </row>
        <row r="43">
          <cell r="A43" t="str">
            <v>Vaszary - Tardosi Tagint.</v>
          </cell>
          <cell r="B43" t="str">
            <v>Eredeti</v>
          </cell>
          <cell r="C43">
            <v>2009968</v>
          </cell>
          <cell r="D43">
            <v>1312000</v>
          </cell>
          <cell r="E43">
            <v>502492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34649771.95</v>
          </cell>
          <cell r="P43">
            <v>9162228.3165</v>
          </cell>
          <cell r="Q43">
            <v>12402383.5</v>
          </cell>
          <cell r="R43">
            <v>4511800</v>
          </cell>
          <cell r="S43">
            <v>660000</v>
          </cell>
          <cell r="T43">
            <v>0</v>
          </cell>
          <cell r="U43">
            <v>0</v>
          </cell>
          <cell r="V43">
            <v>0</v>
          </cell>
        </row>
        <row r="46">
          <cell r="A46" t="str">
            <v>Vaszary összesen</v>
          </cell>
          <cell r="B46" t="str">
            <v>Eredeti</v>
          </cell>
        </row>
        <row r="49">
          <cell r="A49" t="str">
            <v>Kőkúti Általános Iskola</v>
          </cell>
          <cell r="B49" t="str">
            <v>Eredeti</v>
          </cell>
          <cell r="C49">
            <v>24703922.330097087</v>
          </cell>
          <cell r="D49">
            <v>17633922.330097087</v>
          </cell>
          <cell r="E49">
            <v>6008480.582524272</v>
          </cell>
          <cell r="F49">
            <v>7900000</v>
          </cell>
          <cell r="G49">
            <v>1679000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147553152.60000002</v>
          </cell>
          <cell r="P49">
            <v>39584423.95200001</v>
          </cell>
          <cell r="Q49">
            <v>115245604.61216</v>
          </cell>
          <cell r="R49">
            <v>39023581.49599999</v>
          </cell>
          <cell r="S49">
            <v>3000000</v>
          </cell>
          <cell r="T49">
            <v>7920000</v>
          </cell>
          <cell r="U49">
            <v>0</v>
          </cell>
          <cell r="V49">
            <v>4000000</v>
          </cell>
        </row>
        <row r="52">
          <cell r="A52" t="str">
            <v>Kőkúti Általános Iskola - Fazekas U. Tagintézmény</v>
          </cell>
          <cell r="B52" t="str">
            <v>Eredeti</v>
          </cell>
          <cell r="C52">
            <v>4941916.019417476</v>
          </cell>
          <cell r="D52">
            <v>4211916.019417476</v>
          </cell>
          <cell r="E52">
            <v>1172979.004854369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O52">
            <v>50863195.765</v>
          </cell>
          <cell r="P52">
            <v>13605395.37075</v>
          </cell>
          <cell r="Q52">
            <v>27721583.6825</v>
          </cell>
          <cell r="R52">
            <v>13925136.095999999</v>
          </cell>
          <cell r="S52">
            <v>1320000</v>
          </cell>
          <cell r="T52">
            <v>0</v>
          </cell>
          <cell r="U52">
            <v>0</v>
          </cell>
          <cell r="V52">
            <v>0</v>
          </cell>
        </row>
        <row r="55">
          <cell r="A55" t="str">
            <v>Kőkúti összesen</v>
          </cell>
          <cell r="B55" t="str">
            <v>Eredeti</v>
          </cell>
        </row>
        <row r="58">
          <cell r="A58" t="str">
            <v>Zeneiskola</v>
          </cell>
          <cell r="B58" t="str">
            <v>Eredeti</v>
          </cell>
          <cell r="C58">
            <v>4740000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52174224.41500001</v>
          </cell>
          <cell r="P58">
            <v>13797734.75505</v>
          </cell>
          <cell r="Q58">
            <v>6750817.5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1">
          <cell r="A61" t="str">
            <v>Könyvtár</v>
          </cell>
          <cell r="B61" t="str">
            <v>Eredeti</v>
          </cell>
          <cell r="C61">
            <v>1230000</v>
          </cell>
          <cell r="E61">
            <v>307500</v>
          </cell>
          <cell r="F61">
            <v>22000000</v>
          </cell>
          <cell r="G61">
            <v>5876000</v>
          </cell>
          <cell r="H61">
            <v>0</v>
          </cell>
          <cell r="I61">
            <v>9000000</v>
          </cell>
          <cell r="J61">
            <v>0</v>
          </cell>
          <cell r="K61">
            <v>0</v>
          </cell>
          <cell r="O61">
            <v>24661186.88875</v>
          </cell>
          <cell r="P61">
            <v>6580632.155962502</v>
          </cell>
          <cell r="Q61">
            <v>45046153.90488</v>
          </cell>
          <cell r="S61">
            <v>0</v>
          </cell>
          <cell r="T61">
            <v>2313000</v>
          </cell>
          <cell r="U61">
            <v>0</v>
          </cell>
          <cell r="V61">
            <v>0</v>
          </cell>
        </row>
        <row r="64">
          <cell r="A64" t="str">
            <v>SZAI Jelzőrendszeres házi segítségnyújtás</v>
          </cell>
          <cell r="B64" t="str">
            <v>Eredeti</v>
          </cell>
          <cell r="C64">
            <v>480000</v>
          </cell>
          <cell r="E64">
            <v>120000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O64">
            <v>2110000</v>
          </cell>
          <cell r="P64">
            <v>569700</v>
          </cell>
          <cell r="Q64">
            <v>462171.25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7">
          <cell r="A67" t="str">
            <v>SZAI Támogató szolgálat</v>
          </cell>
          <cell r="B67" t="str">
            <v>Eredeti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O67">
            <v>9807147.1</v>
          </cell>
          <cell r="P67">
            <v>2561881.473</v>
          </cell>
          <cell r="Q67">
            <v>4514358.75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70">
          <cell r="A70" t="str">
            <v>SZAI Közösségi</v>
          </cell>
          <cell r="B70" t="str">
            <v>Eredeti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4956606.5</v>
          </cell>
          <cell r="P70">
            <v>1310668.506</v>
          </cell>
          <cell r="Q70">
            <v>1947202.5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3">
          <cell r="A73" t="str">
            <v>SZAI nappali, családsegítő és gyermekjóléti, szociális étkezés, éjjeli menedékhely, házigondozás</v>
          </cell>
          <cell r="B73" t="str">
            <v>Eredeti</v>
          </cell>
          <cell r="C73">
            <v>11471650</v>
          </cell>
          <cell r="E73">
            <v>81600</v>
          </cell>
          <cell r="F73">
            <v>0</v>
          </cell>
          <cell r="G73">
            <v>0</v>
          </cell>
          <cell r="H73">
            <v>0</v>
          </cell>
          <cell r="I73">
            <v>21996000</v>
          </cell>
          <cell r="J73">
            <v>0</v>
          </cell>
          <cell r="K73">
            <v>0</v>
          </cell>
          <cell r="O73">
            <v>80758253.13000001</v>
          </cell>
          <cell r="P73">
            <v>20852150.2821</v>
          </cell>
          <cell r="Q73">
            <v>26123706.5625</v>
          </cell>
          <cell r="R73">
            <v>9895950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6">
          <cell r="A76" t="str">
            <v>Szociális Alapellátó Intézmény</v>
          </cell>
          <cell r="B76" t="str">
            <v>Eredeti</v>
          </cell>
        </row>
        <row r="79">
          <cell r="A79" t="str">
            <v>Intézmények Gazdasági Hivatala</v>
          </cell>
          <cell r="B79" t="str">
            <v>Eredeti</v>
          </cell>
          <cell r="C79">
            <v>666468</v>
          </cell>
          <cell r="E79">
            <v>5730617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17856719.42</v>
          </cell>
          <cell r="P79">
            <v>4759640.0658</v>
          </cell>
          <cell r="Q79">
            <v>7863040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2">
          <cell r="A82" t="str">
            <v>Kvi. alcímek és szakf. Összesen:</v>
          </cell>
          <cell r="B82" t="str">
            <v>Eredeti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workbookViewId="0" topLeftCell="B1">
      <selection activeCell="G17" sqref="G17"/>
    </sheetView>
  </sheetViews>
  <sheetFormatPr defaultColWidth="9.00390625" defaultRowHeight="12.75"/>
  <cols>
    <col min="1" max="1" width="6.125" style="1" customWidth="1"/>
    <col min="2" max="2" width="57.625" style="1" customWidth="1"/>
    <col min="3" max="3" width="0" style="1" hidden="1" customWidth="1"/>
    <col min="4" max="6" width="12.875" style="1" customWidth="1"/>
    <col min="7" max="7" width="6.125" style="1" customWidth="1"/>
    <col min="8" max="8" width="57.625" style="1" customWidth="1"/>
    <col min="9" max="9" width="12.875" style="1" customWidth="1"/>
    <col min="10" max="10" width="13.75390625" style="1" customWidth="1"/>
    <col min="11" max="11" width="13.75390625" style="2" customWidth="1"/>
    <col min="12" max="16384" width="9.125" style="1" customWidth="1"/>
  </cols>
  <sheetData>
    <row r="1" ht="12.75">
      <c r="A1" s="3"/>
    </row>
    <row r="2" spans="1:1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</row>
    <row r="3" spans="3:8" ht="13.5">
      <c r="C3" s="2"/>
      <c r="D3" s="2"/>
      <c r="E3" s="2"/>
      <c r="F3" s="2"/>
      <c r="G3" s="2"/>
      <c r="H3" s="2"/>
    </row>
    <row r="4" spans="1:11" ht="13.5" customHeight="1">
      <c r="A4" s="6" t="s">
        <v>1</v>
      </c>
      <c r="B4" s="6"/>
      <c r="C4" s="6"/>
      <c r="D4" s="6"/>
      <c r="E4" s="6"/>
      <c r="F4" s="6"/>
      <c r="G4" s="7" t="s">
        <v>2</v>
      </c>
      <c r="H4" s="7"/>
      <c r="I4" s="7"/>
      <c r="J4" s="7"/>
      <c r="K4" s="7"/>
    </row>
    <row r="5" spans="1:11" ht="14.25" customHeight="1">
      <c r="A5" s="8"/>
      <c r="B5" s="9"/>
      <c r="C5" s="10"/>
      <c r="D5" s="10" t="s">
        <v>3</v>
      </c>
      <c r="E5" s="11" t="s">
        <v>4</v>
      </c>
      <c r="F5" s="10" t="s">
        <v>5</v>
      </c>
      <c r="G5" s="12"/>
      <c r="H5" s="9"/>
      <c r="I5" s="10" t="s">
        <v>6</v>
      </c>
      <c r="J5" s="10" t="s">
        <v>4</v>
      </c>
      <c r="K5" s="13" t="s">
        <v>5</v>
      </c>
    </row>
    <row r="6" spans="1:11" ht="13.5" customHeight="1">
      <c r="A6" s="14" t="s">
        <v>7</v>
      </c>
      <c r="B6" s="15"/>
      <c r="C6" s="15"/>
      <c r="D6" s="16">
        <f>SUM(D7:D10)</f>
        <v>228452</v>
      </c>
      <c r="E6" s="17">
        <f>SUM(E7:E10)</f>
        <v>229102</v>
      </c>
      <c r="F6" s="17">
        <f>SUM(F7:F10)</f>
        <v>238190</v>
      </c>
      <c r="G6" s="18" t="s">
        <v>8</v>
      </c>
      <c r="H6" s="19"/>
      <c r="I6" s="20">
        <v>1757298</v>
      </c>
      <c r="J6" s="20">
        <v>1779146</v>
      </c>
      <c r="K6" s="21">
        <v>1800320</v>
      </c>
    </row>
    <row r="7" spans="1:11" ht="12.75" customHeight="1">
      <c r="A7" s="22"/>
      <c r="B7" s="23" t="s">
        <v>9</v>
      </c>
      <c r="C7" s="23"/>
      <c r="D7" s="24">
        <f>81733</f>
        <v>81733</v>
      </c>
      <c r="E7" s="25">
        <v>81733</v>
      </c>
      <c r="F7" s="24">
        <v>82283</v>
      </c>
      <c r="G7" s="26"/>
      <c r="H7" s="27"/>
      <c r="I7" s="28"/>
      <c r="J7" s="29"/>
      <c r="K7" s="30"/>
    </row>
    <row r="8" spans="1:11" ht="14.25">
      <c r="A8" s="22"/>
      <c r="B8" s="31" t="s">
        <v>10</v>
      </c>
      <c r="C8" s="23"/>
      <c r="D8" s="24">
        <v>139819</v>
      </c>
      <c r="E8" s="25">
        <v>140469</v>
      </c>
      <c r="F8" s="24">
        <v>144497</v>
      </c>
      <c r="G8" s="26" t="s">
        <v>11</v>
      </c>
      <c r="H8" s="23"/>
      <c r="I8" s="32">
        <v>485937</v>
      </c>
      <c r="J8" s="33">
        <v>490840</v>
      </c>
      <c r="K8" s="34">
        <v>496903</v>
      </c>
    </row>
    <row r="9" spans="1:11" ht="15">
      <c r="A9" s="22"/>
      <c r="B9" s="23" t="s">
        <v>12</v>
      </c>
      <c r="C9" s="23"/>
      <c r="D9" s="24">
        <v>6900</v>
      </c>
      <c r="E9" s="25">
        <v>6900</v>
      </c>
      <c r="F9" s="24">
        <v>11410</v>
      </c>
      <c r="G9" s="26"/>
      <c r="H9" s="27"/>
      <c r="I9" s="28"/>
      <c r="J9" s="29"/>
      <c r="K9" s="30"/>
    </row>
    <row r="10" spans="1:11" ht="12.75">
      <c r="A10" s="22"/>
      <c r="B10" s="23"/>
      <c r="C10" s="23"/>
      <c r="D10" s="24"/>
      <c r="E10" s="25"/>
      <c r="F10" s="24"/>
      <c r="G10" s="26" t="s">
        <v>13</v>
      </c>
      <c r="H10" s="23"/>
      <c r="I10" s="32">
        <f>SUM(I11:I12)</f>
        <v>1337064</v>
      </c>
      <c r="J10" s="32">
        <f>SUM(J11:J12)</f>
        <v>1432585</v>
      </c>
      <c r="K10" s="35">
        <f>SUM(K11:K12)</f>
        <v>1483491</v>
      </c>
    </row>
    <row r="11" spans="1:11" ht="15">
      <c r="A11" s="22"/>
      <c r="B11" s="23"/>
      <c r="C11" s="23"/>
      <c r="D11" s="24"/>
      <c r="E11" s="25"/>
      <c r="F11" s="24"/>
      <c r="G11" s="36"/>
      <c r="H11" s="23" t="s">
        <v>14</v>
      </c>
      <c r="I11" s="28">
        <v>1272890</v>
      </c>
      <c r="J11" s="29">
        <v>1368411</v>
      </c>
      <c r="K11" s="30">
        <v>1419317</v>
      </c>
    </row>
    <row r="12" spans="1:11" ht="15">
      <c r="A12" s="37" t="s">
        <v>15</v>
      </c>
      <c r="B12" s="27"/>
      <c r="C12" s="38" t="s">
        <v>16</v>
      </c>
      <c r="D12" s="38">
        <f>SUM(D13:D18)</f>
        <v>1949303</v>
      </c>
      <c r="E12" s="39">
        <f>SUM(E13:E18)</f>
        <v>1949303</v>
      </c>
      <c r="F12" s="39">
        <f>SUM(F13:F18)</f>
        <v>1949303</v>
      </c>
      <c r="G12" s="36"/>
      <c r="H12" s="23" t="s">
        <v>17</v>
      </c>
      <c r="I12" s="24">
        <v>64174</v>
      </c>
      <c r="J12" s="29">
        <v>64174</v>
      </c>
      <c r="K12" s="30">
        <v>64174</v>
      </c>
    </row>
    <row r="13" spans="1:11" ht="15">
      <c r="A13" s="40"/>
      <c r="B13" s="41" t="s">
        <v>18</v>
      </c>
      <c r="C13" s="24" t="s">
        <v>19</v>
      </c>
      <c r="D13" s="24">
        <f>195000+70000+16000+890000+12000+3500</f>
        <v>1186500</v>
      </c>
      <c r="E13" s="25">
        <v>1186500</v>
      </c>
      <c r="F13" s="24">
        <v>1186500</v>
      </c>
      <c r="G13" s="36"/>
      <c r="H13" s="23"/>
      <c r="I13" s="24"/>
      <c r="J13" s="29"/>
      <c r="K13" s="30"/>
    </row>
    <row r="14" spans="1:11" ht="27.75" customHeight="1">
      <c r="A14" s="42"/>
      <c r="B14" s="31" t="s">
        <v>20</v>
      </c>
      <c r="C14" s="23"/>
      <c r="D14" s="24">
        <f>404939+260000+300</f>
        <v>665239</v>
      </c>
      <c r="E14" s="25">
        <v>665239</v>
      </c>
      <c r="F14" s="24">
        <v>665239</v>
      </c>
      <c r="G14" s="26" t="s">
        <v>21</v>
      </c>
      <c r="H14" s="27"/>
      <c r="I14" s="32">
        <f>SUM(I15:I18)</f>
        <v>490171</v>
      </c>
      <c r="J14" s="32">
        <f>SUM(J15:J18)</f>
        <v>504354</v>
      </c>
      <c r="K14" s="35">
        <f>SUM(K15:K18)</f>
        <v>541117</v>
      </c>
    </row>
    <row r="15" spans="1:11" ht="15">
      <c r="A15" s="42"/>
      <c r="B15" s="43" t="s">
        <v>22</v>
      </c>
      <c r="C15" s="23"/>
      <c r="D15" s="24">
        <f>3400</f>
        <v>3400</v>
      </c>
      <c r="E15" s="25">
        <v>3400</v>
      </c>
      <c r="F15" s="24">
        <v>3400</v>
      </c>
      <c r="G15" s="36"/>
      <c r="H15" s="23" t="s">
        <v>23</v>
      </c>
      <c r="I15" s="28">
        <v>326856</v>
      </c>
      <c r="J15" s="29">
        <v>314039</v>
      </c>
      <c r="K15" s="30">
        <f>354402-5200-4800</f>
        <v>344402</v>
      </c>
    </row>
    <row r="16" spans="1:11" ht="15">
      <c r="A16" s="44"/>
      <c r="B16" s="43" t="s">
        <v>24</v>
      </c>
      <c r="C16" s="23"/>
      <c r="D16" s="24">
        <v>3500</v>
      </c>
      <c r="E16" s="25">
        <v>3500</v>
      </c>
      <c r="F16" s="24">
        <v>3500</v>
      </c>
      <c r="G16" s="26"/>
      <c r="H16" s="23" t="s">
        <v>25</v>
      </c>
      <c r="I16" s="28">
        <v>153115</v>
      </c>
      <c r="J16" s="29">
        <v>180115</v>
      </c>
      <c r="K16" s="30">
        <v>186515</v>
      </c>
    </row>
    <row r="17" spans="1:11" ht="15">
      <c r="A17" s="22"/>
      <c r="B17" s="23" t="s">
        <v>26</v>
      </c>
      <c r="C17" s="23"/>
      <c r="D17" s="24">
        <v>34124</v>
      </c>
      <c r="E17" s="25">
        <v>34124</v>
      </c>
      <c r="F17" s="24">
        <v>34124</v>
      </c>
      <c r="G17" s="26"/>
      <c r="H17" s="23" t="s">
        <v>27</v>
      </c>
      <c r="I17" s="28">
        <v>10200</v>
      </c>
      <c r="J17" s="29">
        <v>10200</v>
      </c>
      <c r="K17" s="30">
        <v>10200</v>
      </c>
    </row>
    <row r="18" spans="1:11" ht="14.25">
      <c r="A18" s="22"/>
      <c r="B18" s="23" t="s">
        <v>28</v>
      </c>
      <c r="C18" s="23"/>
      <c r="D18" s="24">
        <v>56540</v>
      </c>
      <c r="E18" s="25">
        <v>56540</v>
      </c>
      <c r="F18" s="24">
        <v>56540</v>
      </c>
      <c r="G18" s="26"/>
      <c r="H18" s="23" t="s">
        <v>29</v>
      </c>
      <c r="I18" s="28"/>
      <c r="J18" s="33"/>
      <c r="K18" s="30"/>
    </row>
    <row r="19" spans="1:11" ht="15">
      <c r="A19" s="22"/>
      <c r="B19" s="23"/>
      <c r="C19" s="23"/>
      <c r="D19" s="24"/>
      <c r="E19" s="25"/>
      <c r="F19" s="24"/>
      <c r="G19" s="26"/>
      <c r="H19" s="27"/>
      <c r="I19" s="32"/>
      <c r="J19" s="29"/>
      <c r="K19" s="30"/>
    </row>
    <row r="20" spans="1:11" ht="12.75">
      <c r="A20" s="42" t="s">
        <v>30</v>
      </c>
      <c r="B20" s="45"/>
      <c r="C20" s="38"/>
      <c r="D20" s="38">
        <f>SUM(D21,D22,D25,D26)</f>
        <v>982909</v>
      </c>
      <c r="E20" s="39">
        <f>SUM(E21,E22,E25,E26)</f>
        <v>987303</v>
      </c>
      <c r="F20" s="39">
        <f>SUM(F21,F22,F25,F26)</f>
        <v>997219</v>
      </c>
      <c r="G20" s="26" t="s">
        <v>31</v>
      </c>
      <c r="H20" s="27"/>
      <c r="I20" s="32">
        <v>2518644</v>
      </c>
      <c r="J20" s="32">
        <v>2660524</v>
      </c>
      <c r="K20" s="34">
        <v>875864</v>
      </c>
    </row>
    <row r="21" spans="1:11" ht="14.25">
      <c r="A21" s="46"/>
      <c r="B21" s="47" t="s">
        <v>32</v>
      </c>
      <c r="C21" s="38"/>
      <c r="D21" s="24">
        <v>867102</v>
      </c>
      <c r="E21" s="25">
        <v>868147</v>
      </c>
      <c r="F21" s="24">
        <v>859859</v>
      </c>
      <c r="G21" s="26"/>
      <c r="H21" s="27"/>
      <c r="I21" s="32"/>
      <c r="J21" s="33"/>
      <c r="K21" s="30"/>
    </row>
    <row r="22" spans="1:11" ht="14.25">
      <c r="A22" s="22"/>
      <c r="B22" s="24" t="s">
        <v>33</v>
      </c>
      <c r="C22" s="24"/>
      <c r="D22" s="24">
        <f>SUM(D23:D24)</f>
        <v>115807</v>
      </c>
      <c r="E22" s="25">
        <f>SUM(E23:E24)</f>
        <v>111907</v>
      </c>
      <c r="F22" s="25">
        <v>111874</v>
      </c>
      <c r="G22" s="26" t="s">
        <v>34</v>
      </c>
      <c r="H22" s="27"/>
      <c r="I22" s="32">
        <v>117796</v>
      </c>
      <c r="J22" s="33">
        <v>117796</v>
      </c>
      <c r="K22" s="34">
        <v>92736</v>
      </c>
    </row>
    <row r="23" spans="1:11" ht="14.25">
      <c r="A23" s="22"/>
      <c r="B23" s="48" t="s">
        <v>35</v>
      </c>
      <c r="C23" s="48"/>
      <c r="D23" s="48">
        <v>103883</v>
      </c>
      <c r="E23" s="49">
        <v>99983</v>
      </c>
      <c r="F23" s="48">
        <v>99982</v>
      </c>
      <c r="G23" s="26"/>
      <c r="H23" s="27"/>
      <c r="I23" s="32"/>
      <c r="J23" s="33"/>
      <c r="K23" s="30"/>
    </row>
    <row r="24" spans="1:11" ht="14.25">
      <c r="A24" s="22"/>
      <c r="B24" s="48" t="s">
        <v>36</v>
      </c>
      <c r="C24" s="48"/>
      <c r="D24" s="48">
        <v>11924</v>
      </c>
      <c r="E24" s="49">
        <v>11924</v>
      </c>
      <c r="F24" s="48">
        <v>11892</v>
      </c>
      <c r="G24" s="26"/>
      <c r="H24" s="27"/>
      <c r="I24" s="32"/>
      <c r="J24" s="33"/>
      <c r="K24" s="30"/>
    </row>
    <row r="25" spans="1:11" ht="14.25">
      <c r="A25" s="46"/>
      <c r="B25" s="47" t="s">
        <v>37</v>
      </c>
      <c r="C25" s="38"/>
      <c r="D25" s="24"/>
      <c r="E25" s="25">
        <v>7249</v>
      </c>
      <c r="F25" s="24">
        <v>25486</v>
      </c>
      <c r="G25" s="26"/>
      <c r="H25" s="27"/>
      <c r="I25" s="32"/>
      <c r="J25" s="33"/>
      <c r="K25" s="30"/>
    </row>
    <row r="26" spans="1:11" ht="27" customHeight="1">
      <c r="A26" s="22"/>
      <c r="B26" s="23" t="s">
        <v>38</v>
      </c>
      <c r="C26" s="27"/>
      <c r="D26" s="24"/>
      <c r="E26" s="25"/>
      <c r="F26" s="24"/>
      <c r="G26" s="50" t="s">
        <v>39</v>
      </c>
      <c r="H26" s="50"/>
      <c r="I26" s="32">
        <v>303871</v>
      </c>
      <c r="J26" s="33">
        <v>288959</v>
      </c>
      <c r="K26" s="34">
        <v>234229</v>
      </c>
    </row>
    <row r="27" spans="1:11" ht="17.25" customHeight="1">
      <c r="A27" s="51"/>
      <c r="B27" s="52"/>
      <c r="C27" s="27"/>
      <c r="D27" s="24"/>
      <c r="E27" s="25"/>
      <c r="F27" s="24"/>
      <c r="G27" s="36"/>
      <c r="H27" s="23"/>
      <c r="I27" s="23"/>
      <c r="J27" s="33"/>
      <c r="K27" s="30"/>
    </row>
    <row r="28" spans="1:11" ht="12.75">
      <c r="A28" s="53" t="s">
        <v>40</v>
      </c>
      <c r="B28" s="54"/>
      <c r="C28" s="27"/>
      <c r="D28" s="38">
        <f>SUM(D29:D31)</f>
        <v>941908</v>
      </c>
      <c r="E28" s="39">
        <f>SUM(E29:E31)</f>
        <v>952843</v>
      </c>
      <c r="F28" s="39">
        <f>SUM(F29:F32)</f>
        <v>976951</v>
      </c>
      <c r="G28" s="26" t="s">
        <v>41</v>
      </c>
      <c r="H28" s="23"/>
      <c r="I28" s="38">
        <f>SUM(I29,I30)</f>
        <v>150986</v>
      </c>
      <c r="J28" s="38">
        <f>SUM(J29,J30)</f>
        <v>245024</v>
      </c>
      <c r="K28" s="34">
        <f>SUM(K29,K30)</f>
        <v>127388</v>
      </c>
    </row>
    <row r="29" spans="1:11" ht="15.75" customHeight="1">
      <c r="A29" s="53"/>
      <c r="B29" s="52" t="s">
        <v>42</v>
      </c>
      <c r="C29" s="27"/>
      <c r="D29" s="24">
        <v>184393</v>
      </c>
      <c r="E29" s="25">
        <v>193076</v>
      </c>
      <c r="F29" s="24">
        <v>217251</v>
      </c>
      <c r="G29" s="36"/>
      <c r="H29" s="23" t="s">
        <v>43</v>
      </c>
      <c r="I29" s="24">
        <v>11000</v>
      </c>
      <c r="J29" s="55">
        <v>7262</v>
      </c>
      <c r="K29" s="30">
        <v>2155</v>
      </c>
    </row>
    <row r="30" spans="1:11" ht="14.25" customHeight="1">
      <c r="A30" s="22"/>
      <c r="B30" s="23" t="s">
        <v>44</v>
      </c>
      <c r="C30" s="23"/>
      <c r="D30" s="24">
        <v>727613</v>
      </c>
      <c r="E30" s="25">
        <v>727613</v>
      </c>
      <c r="F30" s="24">
        <v>727613</v>
      </c>
      <c r="G30" s="36"/>
      <c r="H30" s="23" t="s">
        <v>45</v>
      </c>
      <c r="I30" s="24">
        <f>SUM(I31:I35)</f>
        <v>139986</v>
      </c>
      <c r="J30" s="29">
        <f>SUM(J31:J37)</f>
        <v>237762</v>
      </c>
      <c r="K30" s="56">
        <f>SUM(K31:K37)</f>
        <v>125233</v>
      </c>
    </row>
    <row r="31" spans="1:11" ht="12.75">
      <c r="A31" s="42"/>
      <c r="B31" s="43" t="s">
        <v>46</v>
      </c>
      <c r="C31" s="27"/>
      <c r="D31" s="24">
        <v>29902</v>
      </c>
      <c r="E31" s="25">
        <v>32154</v>
      </c>
      <c r="F31" s="24">
        <v>32087</v>
      </c>
      <c r="G31" s="36"/>
      <c r="H31" s="57" t="s">
        <v>47</v>
      </c>
      <c r="I31" s="58">
        <v>4800</v>
      </c>
      <c r="J31" s="48">
        <v>4800</v>
      </c>
      <c r="K31" s="59">
        <v>4800</v>
      </c>
    </row>
    <row r="32" spans="1:11" ht="12.75" customHeight="1">
      <c r="A32" s="22"/>
      <c r="B32" s="23" t="s">
        <v>48</v>
      </c>
      <c r="C32" s="23"/>
      <c r="D32" s="23"/>
      <c r="E32" s="60"/>
      <c r="F32" s="23"/>
      <c r="G32" s="36"/>
      <c r="H32" s="57" t="s">
        <v>49</v>
      </c>
      <c r="I32" s="58">
        <v>8000</v>
      </c>
      <c r="J32" s="58">
        <v>0</v>
      </c>
      <c r="K32" s="59"/>
    </row>
    <row r="33" spans="1:11" ht="12.75" customHeight="1">
      <c r="A33" s="22"/>
      <c r="B33" s="23"/>
      <c r="C33" s="23"/>
      <c r="D33" s="23"/>
      <c r="E33" s="60"/>
      <c r="F33" s="23"/>
      <c r="G33" s="36"/>
      <c r="H33" s="57" t="s">
        <v>50</v>
      </c>
      <c r="I33" s="58">
        <v>600</v>
      </c>
      <c r="J33" s="58">
        <v>600</v>
      </c>
      <c r="K33" s="59">
        <v>0</v>
      </c>
    </row>
    <row r="34" spans="1:11" ht="12.75" customHeight="1">
      <c r="A34" s="42" t="s">
        <v>51</v>
      </c>
      <c r="B34" s="27"/>
      <c r="C34" s="38"/>
      <c r="D34" s="38">
        <f>SUM(D35:D42)</f>
        <v>503910</v>
      </c>
      <c r="E34" s="39">
        <f>SUM(E35:E42)</f>
        <v>503910</v>
      </c>
      <c r="F34" s="39">
        <f>SUM(F35:F43)</f>
        <v>467410</v>
      </c>
      <c r="G34" s="36"/>
      <c r="H34" s="57" t="s">
        <v>52</v>
      </c>
      <c r="I34" s="58">
        <v>1200</v>
      </c>
      <c r="J34" s="48">
        <v>1200</v>
      </c>
      <c r="K34" s="59">
        <v>1200</v>
      </c>
    </row>
    <row r="35" spans="1:11" ht="12.75" customHeight="1">
      <c r="A35" s="22"/>
      <c r="B35" s="23" t="s">
        <v>53</v>
      </c>
      <c r="C35" s="24"/>
      <c r="D35" s="24">
        <v>0</v>
      </c>
      <c r="E35" s="25">
        <v>0</v>
      </c>
      <c r="F35" s="25">
        <v>700</v>
      </c>
      <c r="G35" s="36"/>
      <c r="H35" s="57" t="s">
        <v>54</v>
      </c>
      <c r="I35" s="58">
        <f>150940-15867-21693-9231+18093+6192-8960-2873+6560+2225</f>
        <v>125386</v>
      </c>
      <c r="J35" s="48">
        <v>195783</v>
      </c>
      <c r="K35" s="59">
        <f>78654+5200</f>
        <v>83854</v>
      </c>
    </row>
    <row r="36" spans="1:11" ht="12.75" customHeight="1">
      <c r="A36" s="22"/>
      <c r="B36" s="43" t="s">
        <v>55</v>
      </c>
      <c r="C36" s="27"/>
      <c r="D36" s="24">
        <v>116636</v>
      </c>
      <c r="E36" s="25">
        <v>116636</v>
      </c>
      <c r="F36" s="24">
        <v>88336</v>
      </c>
      <c r="G36" s="36"/>
      <c r="H36" s="57" t="s">
        <v>56</v>
      </c>
      <c r="I36" s="58"/>
      <c r="J36" s="48">
        <v>35157</v>
      </c>
      <c r="K36" s="59">
        <v>35157</v>
      </c>
    </row>
    <row r="37" spans="1:11" ht="12.75" customHeight="1">
      <c r="A37" s="22"/>
      <c r="B37" s="43" t="s">
        <v>57</v>
      </c>
      <c r="C37" s="27"/>
      <c r="D37" s="24"/>
      <c r="E37" s="25"/>
      <c r="F37" s="24">
        <v>12500</v>
      </c>
      <c r="G37" s="36"/>
      <c r="H37" s="57" t="s">
        <v>58</v>
      </c>
      <c r="I37" s="58"/>
      <c r="J37" s="48">
        <v>222</v>
      </c>
      <c r="K37" s="59">
        <v>222</v>
      </c>
    </row>
    <row r="38" spans="1:11" ht="12.75" customHeight="1">
      <c r="A38" s="22"/>
      <c r="B38" s="61" t="s">
        <v>59</v>
      </c>
      <c r="C38" s="24"/>
      <c r="D38" s="24">
        <v>109200</v>
      </c>
      <c r="E38" s="25">
        <v>109200</v>
      </c>
      <c r="F38" s="24">
        <v>109200</v>
      </c>
      <c r="G38" s="62"/>
      <c r="H38" s="63"/>
      <c r="I38" s="58"/>
      <c r="J38" s="64"/>
      <c r="K38" s="30"/>
    </row>
    <row r="39" spans="1:11" ht="12.75" customHeight="1">
      <c r="A39" s="22"/>
      <c r="B39" s="43" t="s">
        <v>60</v>
      </c>
      <c r="C39" s="24"/>
      <c r="D39" s="24">
        <v>15484</v>
      </c>
      <c r="E39" s="25">
        <v>15484</v>
      </c>
      <c r="F39" s="24">
        <v>15484</v>
      </c>
      <c r="G39" s="65" t="s">
        <v>61</v>
      </c>
      <c r="H39" s="65"/>
      <c r="I39" s="23"/>
      <c r="J39" s="23"/>
      <c r="K39" s="30">
        <v>2069332</v>
      </c>
    </row>
    <row r="40" spans="1:11" ht="12.75" customHeight="1">
      <c r="A40" s="44"/>
      <c r="B40" s="23" t="s">
        <v>62</v>
      </c>
      <c r="C40" s="23"/>
      <c r="D40" s="24">
        <v>38590</v>
      </c>
      <c r="E40" s="25">
        <v>38590</v>
      </c>
      <c r="F40" s="24">
        <v>17190</v>
      </c>
      <c r="G40" s="36"/>
      <c r="H40" s="23"/>
      <c r="I40" s="23"/>
      <c r="J40" s="29"/>
      <c r="K40" s="30"/>
    </row>
    <row r="41" spans="1:11" ht="14.25" customHeight="1">
      <c r="A41" s="22"/>
      <c r="B41" s="23" t="s">
        <v>63</v>
      </c>
      <c r="C41" s="24"/>
      <c r="D41" s="24">
        <v>196000</v>
      </c>
      <c r="E41" s="25">
        <v>196000</v>
      </c>
      <c r="F41" s="24">
        <v>196000</v>
      </c>
      <c r="G41" s="26" t="s">
        <v>64</v>
      </c>
      <c r="H41" s="57"/>
      <c r="I41" s="32">
        <f>SUM(I42:I47)</f>
        <v>380285</v>
      </c>
      <c r="J41" s="32">
        <f>SUM(J42:J47)</f>
        <v>366678</v>
      </c>
      <c r="K41" s="35">
        <f>SUM(K42:K47)</f>
        <v>72147</v>
      </c>
    </row>
    <row r="42" spans="1:11" ht="12.75" customHeight="1">
      <c r="A42" s="37"/>
      <c r="B42" s="66" t="s">
        <v>65</v>
      </c>
      <c r="C42" s="24"/>
      <c r="D42" s="24">
        <v>28000</v>
      </c>
      <c r="E42" s="25">
        <v>28000</v>
      </c>
      <c r="F42" s="24">
        <v>28000</v>
      </c>
      <c r="G42" s="36"/>
      <c r="H42" s="23" t="s">
        <v>66</v>
      </c>
      <c r="I42" s="24">
        <v>2000</v>
      </c>
      <c r="J42" s="24">
        <v>2000</v>
      </c>
      <c r="K42" s="30">
        <v>2000</v>
      </c>
    </row>
    <row r="43" spans="1:11" ht="12.75" customHeight="1">
      <c r="A43" s="22"/>
      <c r="B43" s="23" t="s">
        <v>67</v>
      </c>
      <c r="C43" s="23"/>
      <c r="D43" s="23"/>
      <c r="E43" s="60"/>
      <c r="F43" s="24"/>
      <c r="G43" s="36"/>
      <c r="H43" s="23" t="s">
        <v>68</v>
      </c>
      <c r="I43" s="24">
        <v>12000</v>
      </c>
      <c r="J43" s="24">
        <v>12000</v>
      </c>
      <c r="K43" s="30">
        <v>0</v>
      </c>
    </row>
    <row r="44" spans="1:11" ht="12.75" customHeight="1">
      <c r="A44" s="53"/>
      <c r="D44" s="60"/>
      <c r="E44" s="23"/>
      <c r="G44" s="36"/>
      <c r="H44" s="23" t="s">
        <v>69</v>
      </c>
      <c r="I44" s="24">
        <v>3000</v>
      </c>
      <c r="J44" s="24">
        <v>3000</v>
      </c>
      <c r="K44" s="30">
        <v>0</v>
      </c>
    </row>
    <row r="45" spans="1:11" ht="12.75" customHeight="1">
      <c r="A45" s="53"/>
      <c r="B45" s="23"/>
      <c r="C45" s="23"/>
      <c r="D45" s="23"/>
      <c r="E45" s="60"/>
      <c r="F45" s="60"/>
      <c r="G45" s="36"/>
      <c r="H45" s="23" t="s">
        <v>70</v>
      </c>
      <c r="I45" s="24">
        <v>5000</v>
      </c>
      <c r="J45" s="24">
        <v>5000</v>
      </c>
      <c r="K45" s="30">
        <v>5000</v>
      </c>
    </row>
    <row r="46" spans="1:11" ht="12.75" customHeight="1">
      <c r="A46" s="53" t="s">
        <v>71</v>
      </c>
      <c r="B46" s="54"/>
      <c r="C46" s="24"/>
      <c r="D46" s="38">
        <f>SUM(D47,D48,D52)</f>
        <v>1351178</v>
      </c>
      <c r="E46" s="39">
        <f>SUM(E47,E48,E52)</f>
        <v>1362643</v>
      </c>
      <c r="F46" s="39">
        <f>SUM(F47,F48,F52)</f>
        <v>1361523</v>
      </c>
      <c r="G46" s="36"/>
      <c r="H46" s="23" t="s">
        <v>72</v>
      </c>
      <c r="I46" s="24">
        <f>335562+10021</f>
        <v>345583</v>
      </c>
      <c r="J46" s="24">
        <v>334726</v>
      </c>
      <c r="K46" s="30">
        <v>55195</v>
      </c>
    </row>
    <row r="47" spans="1:11" ht="12.75" customHeight="1">
      <c r="A47" s="37"/>
      <c r="B47" s="23" t="s">
        <v>73</v>
      </c>
      <c r="C47" s="24"/>
      <c r="D47" s="24">
        <v>0</v>
      </c>
      <c r="E47" s="25">
        <v>263</v>
      </c>
      <c r="F47" s="24">
        <v>304</v>
      </c>
      <c r="G47" s="36"/>
      <c r="H47" s="23" t="s">
        <v>74</v>
      </c>
      <c r="I47" s="24">
        <v>12702</v>
      </c>
      <c r="J47" s="24">
        <v>9952</v>
      </c>
      <c r="K47" s="30">
        <v>9952</v>
      </c>
    </row>
    <row r="48" spans="1:11" ht="12.75" customHeight="1">
      <c r="A48" s="44"/>
      <c r="B48" s="43" t="s">
        <v>75</v>
      </c>
      <c r="C48" s="24"/>
      <c r="D48" s="24">
        <f>SUM(D49:D51)</f>
        <v>1351178</v>
      </c>
      <c r="E48" s="25">
        <v>1362380</v>
      </c>
      <c r="F48" s="24">
        <f>SUM(F49:F51)</f>
        <v>1361219</v>
      </c>
      <c r="G48" s="36"/>
      <c r="H48" s="67"/>
      <c r="I48" s="23"/>
      <c r="J48" s="23"/>
      <c r="K48" s="68"/>
    </row>
    <row r="49" spans="1:11" ht="12.75" customHeight="1">
      <c r="A49" s="44"/>
      <c r="B49" s="69" t="s">
        <v>76</v>
      </c>
      <c r="C49" s="27"/>
      <c r="D49" s="24">
        <v>1346313</v>
      </c>
      <c r="E49" s="25">
        <v>1357515</v>
      </c>
      <c r="F49" s="24">
        <v>301686</v>
      </c>
      <c r="G49" s="36"/>
      <c r="H49" s="60"/>
      <c r="I49" s="23"/>
      <c r="J49" s="29"/>
      <c r="K49" s="30"/>
    </row>
    <row r="50" spans="1:11" ht="12.75" customHeight="1">
      <c r="A50" s="44"/>
      <c r="B50" s="69" t="s">
        <v>77</v>
      </c>
      <c r="C50" s="27"/>
      <c r="D50" s="24"/>
      <c r="E50" s="25"/>
      <c r="F50" s="24">
        <v>1056832</v>
      </c>
      <c r="G50" s="36"/>
      <c r="H50" s="60"/>
      <c r="I50" s="23"/>
      <c r="J50" s="29"/>
      <c r="K50" s="30"/>
    </row>
    <row r="51" spans="1:11" ht="12.75" customHeight="1">
      <c r="A51" s="44"/>
      <c r="B51" s="69" t="s">
        <v>78</v>
      </c>
      <c r="C51" s="23"/>
      <c r="D51" s="24">
        <v>4865</v>
      </c>
      <c r="E51" s="25">
        <v>4865</v>
      </c>
      <c r="F51" s="24">
        <v>2701</v>
      </c>
      <c r="G51" s="26" t="s">
        <v>79</v>
      </c>
      <c r="H51" s="23"/>
      <c r="I51" s="38">
        <v>1963</v>
      </c>
      <c r="J51" s="38">
        <v>1963</v>
      </c>
      <c r="K51" s="34">
        <v>21963</v>
      </c>
    </row>
    <row r="52" spans="1:11" ht="12.75" customHeight="1">
      <c r="A52" s="44"/>
      <c r="B52" s="43"/>
      <c r="C52" s="57"/>
      <c r="D52" s="24"/>
      <c r="E52" s="25"/>
      <c r="F52" s="24"/>
      <c r="G52" s="36"/>
      <c r="H52" s="23"/>
      <c r="I52" s="23"/>
      <c r="J52" s="29"/>
      <c r="K52" s="30"/>
    </row>
    <row r="53" spans="1:11" ht="12.75" customHeight="1">
      <c r="A53" s="42" t="s">
        <v>80</v>
      </c>
      <c r="B53" s="43"/>
      <c r="C53" s="57"/>
      <c r="D53" s="38">
        <f>100633+7500</f>
        <v>108133</v>
      </c>
      <c r="E53" s="39">
        <v>49033</v>
      </c>
      <c r="F53" s="38">
        <v>75013</v>
      </c>
      <c r="G53" s="26" t="s">
        <v>81</v>
      </c>
      <c r="H53" s="23"/>
      <c r="I53" s="32">
        <f>SUM(I54,I56,I55,I57)</f>
        <v>103333</v>
      </c>
      <c r="J53" s="32">
        <f>SUM(J54,J56,J55,J57)</f>
        <v>51933</v>
      </c>
      <c r="K53" s="35">
        <f>SUM(K54,K56,K55,K57)</f>
        <v>155784</v>
      </c>
    </row>
    <row r="54" spans="1:11" ht="12.75" customHeight="1">
      <c r="A54" s="22"/>
      <c r="B54" s="23"/>
      <c r="C54" s="23"/>
      <c r="D54" s="23"/>
      <c r="E54" s="60"/>
      <c r="F54" s="23"/>
      <c r="G54" s="36"/>
      <c r="H54" s="23" t="s">
        <v>82</v>
      </c>
      <c r="I54" s="24">
        <v>6800</v>
      </c>
      <c r="J54" s="29">
        <v>4800</v>
      </c>
      <c r="K54" s="30">
        <v>4800</v>
      </c>
    </row>
    <row r="55" spans="1:11" ht="12.75" customHeight="1">
      <c r="A55" s="37" t="s">
        <v>83</v>
      </c>
      <c r="B55" s="23"/>
      <c r="C55" s="23"/>
      <c r="D55" s="23"/>
      <c r="E55" s="60"/>
      <c r="F55" s="38"/>
      <c r="G55" s="36"/>
      <c r="H55" s="23" t="s">
        <v>84</v>
      </c>
      <c r="I55" s="24">
        <v>74600</v>
      </c>
      <c r="J55" s="29">
        <v>42700</v>
      </c>
      <c r="K55" s="30">
        <v>146551</v>
      </c>
    </row>
    <row r="56" spans="1:11" ht="12.75" customHeight="1">
      <c r="A56" s="22"/>
      <c r="B56" s="23"/>
      <c r="C56" s="23"/>
      <c r="D56" s="23"/>
      <c r="E56" s="60"/>
      <c r="F56" s="23"/>
      <c r="G56" s="26"/>
      <c r="H56" s="23" t="s">
        <v>85</v>
      </c>
      <c r="I56" s="24">
        <v>14433</v>
      </c>
      <c r="J56" s="29">
        <v>4433</v>
      </c>
      <c r="K56" s="30">
        <v>4433</v>
      </c>
    </row>
    <row r="57" spans="1:11" ht="12.75" customHeight="1">
      <c r="A57" s="22"/>
      <c r="B57" s="23"/>
      <c r="C57" s="23"/>
      <c r="D57" s="23"/>
      <c r="E57" s="60"/>
      <c r="F57" s="23"/>
      <c r="G57" s="36"/>
      <c r="H57" s="23" t="s">
        <v>86</v>
      </c>
      <c r="I57" s="24">
        <v>7500</v>
      </c>
      <c r="J57" s="29">
        <v>0</v>
      </c>
      <c r="K57" s="30">
        <v>0</v>
      </c>
    </row>
    <row r="58" spans="1:11" ht="12.75" customHeight="1">
      <c r="A58" s="22"/>
      <c r="B58" s="23"/>
      <c r="C58" s="23"/>
      <c r="D58" s="23"/>
      <c r="E58" s="60"/>
      <c r="F58" s="23"/>
      <c r="G58" s="26"/>
      <c r="H58" s="27"/>
      <c r="I58" s="38"/>
      <c r="J58" s="29"/>
      <c r="K58" s="30"/>
    </row>
    <row r="59" spans="1:11" ht="12.75" customHeight="1">
      <c r="A59" s="70" t="s">
        <v>87</v>
      </c>
      <c r="B59" s="71"/>
      <c r="C59" s="72"/>
      <c r="D59" s="73">
        <f>SUM(D6,D12,D20,D28,D34,D46,D53)</f>
        <v>6065793</v>
      </c>
      <c r="E59" s="74">
        <f>SUM(E6,E12,E20,E28,E34,E46,E53)</f>
        <v>6034137</v>
      </c>
      <c r="F59" s="74">
        <f>SUM(F6,F12,F20,F28,F34,F46,F53+F55)</f>
        <v>6065609</v>
      </c>
      <c r="G59" s="75" t="s">
        <v>88</v>
      </c>
      <c r="H59" s="76"/>
      <c r="I59" s="32">
        <f>SUM(I6,I8,I10,I14,I20,I22,I26,I28,I41,I51,I53)</f>
        <v>7647348</v>
      </c>
      <c r="J59" s="32">
        <f>SUM(J6,J8,J10,J14,J20,J22,J26,J28,J41,J51,J53)</f>
        <v>7939802</v>
      </c>
      <c r="K59" s="35">
        <f>SUM(K6+K8+K10+K14+K20+K22+K26+K28+K39+K41+K51+K53)</f>
        <v>7971274</v>
      </c>
    </row>
    <row r="60" spans="1:11" ht="12.75" customHeight="1">
      <c r="A60" s="70"/>
      <c r="B60" s="71"/>
      <c r="C60" s="72"/>
      <c r="D60" s="73"/>
      <c r="E60" s="74"/>
      <c r="F60" s="74"/>
      <c r="G60" s="75"/>
      <c r="H60" s="76"/>
      <c r="I60" s="77"/>
      <c r="J60" s="77"/>
      <c r="K60" s="78"/>
    </row>
    <row r="61" spans="1:11" ht="12.75" customHeight="1">
      <c r="A61" s="79"/>
      <c r="B61" s="79"/>
      <c r="C61" s="23"/>
      <c r="D61" s="24"/>
      <c r="E61" s="25"/>
      <c r="F61" s="24"/>
      <c r="G61" s="36" t="s">
        <v>89</v>
      </c>
      <c r="H61" s="76"/>
      <c r="I61" s="77"/>
      <c r="J61" s="29"/>
      <c r="K61" s="56"/>
    </row>
    <row r="62" spans="1:11" ht="12.75" customHeight="1">
      <c r="A62" s="53" t="s">
        <v>90</v>
      </c>
      <c r="B62" s="53"/>
      <c r="C62" s="27"/>
      <c r="D62" s="38"/>
      <c r="E62" s="39"/>
      <c r="F62" s="38"/>
      <c r="G62" s="36" t="s">
        <v>91</v>
      </c>
      <c r="H62" s="23"/>
      <c r="I62" s="24">
        <v>20377</v>
      </c>
      <c r="J62" s="29">
        <v>20377</v>
      </c>
      <c r="K62" s="30">
        <v>20377</v>
      </c>
    </row>
    <row r="63" spans="1:11" ht="12.75" customHeight="1">
      <c r="A63" s="51" t="s">
        <v>92</v>
      </c>
      <c r="B63" s="51"/>
      <c r="C63" s="23"/>
      <c r="D63" s="24"/>
      <c r="E63" s="25"/>
      <c r="F63" s="24"/>
      <c r="G63" s="26" t="s">
        <v>93</v>
      </c>
      <c r="H63" s="27"/>
      <c r="I63" s="32">
        <f>SUM(I61:I62)</f>
        <v>20377</v>
      </c>
      <c r="J63" s="32">
        <f>SUM(J61:J62)</f>
        <v>20377</v>
      </c>
      <c r="K63" s="35">
        <f>SUM(K61:K62)</f>
        <v>20377</v>
      </c>
    </row>
    <row r="64" spans="1:11" ht="12.75" customHeight="1">
      <c r="A64" s="22" t="s">
        <v>94</v>
      </c>
      <c r="B64" s="23"/>
      <c r="C64" s="23"/>
      <c r="D64" s="24">
        <v>601932</v>
      </c>
      <c r="E64" s="25">
        <v>926042</v>
      </c>
      <c r="F64" s="24">
        <v>926042</v>
      </c>
      <c r="G64" s="36"/>
      <c r="H64" s="23"/>
      <c r="I64" s="24"/>
      <c r="J64" s="29"/>
      <c r="K64" s="30"/>
    </row>
    <row r="65" spans="1:11" ht="12.75" customHeight="1">
      <c r="A65" s="80" t="s">
        <v>95</v>
      </c>
      <c r="B65" s="80"/>
      <c r="C65" s="24"/>
      <c r="D65" s="24">
        <v>1000000</v>
      </c>
      <c r="E65" s="25">
        <v>1000000</v>
      </c>
      <c r="F65" s="24">
        <v>1000000</v>
      </c>
      <c r="G65" s="81" t="s">
        <v>96</v>
      </c>
      <c r="H65" s="82"/>
      <c r="I65" s="32">
        <f>SUM(I59+I63)</f>
        <v>7667725</v>
      </c>
      <c r="J65" s="32">
        <f>SUM(J59+J63)</f>
        <v>7960179</v>
      </c>
      <c r="K65" s="35">
        <f>SUM(K59+K63)</f>
        <v>7991651</v>
      </c>
    </row>
    <row r="66" spans="1:11" ht="12.75" customHeight="1">
      <c r="A66" s="42" t="s">
        <v>97</v>
      </c>
      <c r="B66" s="42"/>
      <c r="C66" s="24"/>
      <c r="D66" s="38">
        <f>SUM(D64:D65)</f>
        <v>1601932</v>
      </c>
      <c r="E66" s="39">
        <f>SUM(E64:E65)</f>
        <v>1926042</v>
      </c>
      <c r="F66" s="39">
        <f>SUM(F64+F65+F67)</f>
        <v>1926042</v>
      </c>
      <c r="G66" s="18"/>
      <c r="H66" s="15"/>
      <c r="I66" s="20"/>
      <c r="J66" s="83"/>
      <c r="K66" s="84"/>
    </row>
    <row r="67" spans="1:11" ht="12.75" customHeight="1">
      <c r="A67" s="44" t="s">
        <v>98</v>
      </c>
      <c r="B67" s="85"/>
      <c r="C67" s="24"/>
      <c r="D67" s="38"/>
      <c r="E67" s="39"/>
      <c r="F67" s="39"/>
      <c r="G67" s="86"/>
      <c r="H67" s="87"/>
      <c r="I67" s="88"/>
      <c r="J67" s="89"/>
      <c r="K67" s="90"/>
    </row>
    <row r="68" spans="1:11" ht="12.75" customHeight="1">
      <c r="A68" s="79"/>
      <c r="B68" s="79"/>
      <c r="C68" s="24"/>
      <c r="D68" s="24"/>
      <c r="E68" s="25"/>
      <c r="F68" s="24"/>
      <c r="G68" s="91"/>
      <c r="H68" s="92"/>
      <c r="I68" s="93"/>
      <c r="J68" s="94"/>
      <c r="K68" s="95"/>
    </row>
    <row r="69" spans="1:11" ht="12.75" customHeight="1">
      <c r="A69" s="42" t="s">
        <v>99</v>
      </c>
      <c r="B69" s="32"/>
      <c r="C69" s="43"/>
      <c r="D69" s="32">
        <f>SUM(D59+D66)</f>
        <v>7667725</v>
      </c>
      <c r="E69" s="32">
        <f>SUM(E59+E66)</f>
        <v>7960179</v>
      </c>
      <c r="F69" s="32">
        <f>SUM(F59+F66)</f>
        <v>7991651</v>
      </c>
      <c r="G69" s="96"/>
      <c r="H69" s="97"/>
      <c r="I69" s="98"/>
      <c r="J69" s="67"/>
      <c r="K69" s="99"/>
    </row>
    <row r="70" spans="1:11" ht="12.75">
      <c r="A70" s="37"/>
      <c r="B70" s="27"/>
      <c r="C70" s="27"/>
      <c r="D70" s="38"/>
      <c r="E70" s="38"/>
      <c r="F70" s="38"/>
      <c r="G70" s="100"/>
      <c r="H70" s="67"/>
      <c r="I70" s="98"/>
      <c r="J70" s="67"/>
      <c r="K70" s="99"/>
    </row>
    <row r="71" spans="1:11" ht="12.75">
      <c r="A71" s="22"/>
      <c r="B71" s="23"/>
      <c r="C71" s="23"/>
      <c r="D71" s="23"/>
      <c r="E71" s="23"/>
      <c r="F71" s="23"/>
      <c r="G71" s="100"/>
      <c r="H71" s="67"/>
      <c r="I71" s="98"/>
      <c r="J71" s="67"/>
      <c r="K71" s="99"/>
    </row>
    <row r="72" spans="1:11" ht="13.5">
      <c r="A72" s="101"/>
      <c r="B72" s="102"/>
      <c r="C72" s="102"/>
      <c r="D72" s="102"/>
      <c r="E72" s="102"/>
      <c r="F72" s="102"/>
      <c r="G72" s="103"/>
      <c r="H72" s="104"/>
      <c r="I72" s="105"/>
      <c r="J72" s="104"/>
      <c r="K72" s="106"/>
    </row>
  </sheetData>
  <sheetProtection selectLockedCells="1" selectUnlockedCells="1"/>
  <mergeCells count="11">
    <mergeCell ref="A2:I2"/>
    <mergeCell ref="A4:F4"/>
    <mergeCell ref="G4:K4"/>
    <mergeCell ref="G26:H26"/>
    <mergeCell ref="G39:H39"/>
    <mergeCell ref="A61:B61"/>
    <mergeCell ref="A62:B62"/>
    <mergeCell ref="A63:B63"/>
    <mergeCell ref="A65:B65"/>
    <mergeCell ref="A66:B66"/>
    <mergeCell ref="A68:B68"/>
  </mergeCells>
  <printOptions horizontalCentered="1"/>
  <pageMargins left="0" right="0" top="0.5694444444444444" bottom="0.3902777777777778" header="0.4597222222222222" footer="0.5118055555555555"/>
  <pageSetup horizontalDpi="300" verticalDpi="300" orientation="landscape" paperSize="9" scale="54"/>
  <headerFooter alignWithMargins="0">
    <oddHeader>&amp;L&amp;8 1. melléklet a 30/2011.(X.28.)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SheetLayoutView="100" workbookViewId="0" topLeftCell="A48">
      <selection activeCell="A83" sqref="A83"/>
    </sheetView>
  </sheetViews>
  <sheetFormatPr defaultColWidth="9.00390625" defaultRowHeight="12.75"/>
  <cols>
    <col min="1" max="1" width="76.375" style="376" customWidth="1"/>
    <col min="2" max="2" width="13.75390625" style="377" customWidth="1"/>
    <col min="3" max="3" width="13.75390625" style="376" customWidth="1"/>
    <col min="4" max="7" width="13.75390625" style="378" customWidth="1"/>
    <col min="8" max="16384" width="9.125" style="376" customWidth="1"/>
  </cols>
  <sheetData>
    <row r="1" spans="1:7" ht="32.25" customHeight="1">
      <c r="A1" s="435" t="s">
        <v>518</v>
      </c>
      <c r="B1" s="435"/>
      <c r="C1" s="435"/>
      <c r="D1" s="435"/>
      <c r="E1" s="435"/>
      <c r="F1" s="435"/>
      <c r="G1" s="435"/>
    </row>
    <row r="2" spans="1:2" ht="16.5">
      <c r="A2" s="436"/>
      <c r="B2" s="437"/>
    </row>
    <row r="3" spans="1:7" ht="12.75" customHeight="1">
      <c r="A3" s="438" t="s">
        <v>519</v>
      </c>
      <c r="B3" s="439" t="s">
        <v>6</v>
      </c>
      <c r="C3" s="385" t="s">
        <v>384</v>
      </c>
      <c r="D3" s="384" t="s">
        <v>102</v>
      </c>
      <c r="E3" s="384" t="s">
        <v>385</v>
      </c>
      <c r="F3" s="384" t="s">
        <v>386</v>
      </c>
      <c r="G3" s="440" t="s">
        <v>385</v>
      </c>
    </row>
    <row r="4" spans="1:7" ht="12.75">
      <c r="A4" s="387" t="s">
        <v>520</v>
      </c>
      <c r="B4" s="388">
        <v>71200</v>
      </c>
      <c r="C4" s="406"/>
      <c r="D4" s="388">
        <v>71200</v>
      </c>
      <c r="E4" s="388"/>
      <c r="F4" s="388">
        <v>71200</v>
      </c>
      <c r="G4" s="400">
        <v>0</v>
      </c>
    </row>
    <row r="5" spans="1:7" ht="25.5">
      <c r="A5" s="397" t="s">
        <v>521</v>
      </c>
      <c r="B5" s="388">
        <v>73550</v>
      </c>
      <c r="C5" s="406"/>
      <c r="D5" s="388">
        <v>73550</v>
      </c>
      <c r="E5" s="388"/>
      <c r="F5" s="388">
        <f>73550+1800</f>
        <v>75350</v>
      </c>
      <c r="G5" s="400">
        <v>0</v>
      </c>
    </row>
    <row r="6" spans="1:7" ht="12.75">
      <c r="A6" s="387" t="s">
        <v>522</v>
      </c>
      <c r="B6" s="388">
        <v>60500</v>
      </c>
      <c r="C6" s="406"/>
      <c r="D6" s="388">
        <v>60500</v>
      </c>
      <c r="E6" s="388"/>
      <c r="F6" s="388">
        <v>60500</v>
      </c>
      <c r="G6" s="400">
        <v>0</v>
      </c>
    </row>
    <row r="7" spans="1:7" ht="12.75">
      <c r="A7" s="387" t="s">
        <v>523</v>
      </c>
      <c r="B7" s="388">
        <v>15000</v>
      </c>
      <c r="C7" s="406"/>
      <c r="D7" s="388">
        <v>15000</v>
      </c>
      <c r="E7" s="388"/>
      <c r="F7" s="388">
        <v>15000</v>
      </c>
      <c r="G7" s="400">
        <v>0</v>
      </c>
    </row>
    <row r="8" spans="1:7" ht="12.75">
      <c r="A8" s="387" t="s">
        <v>524</v>
      </c>
      <c r="B8" s="388">
        <v>9600</v>
      </c>
      <c r="C8" s="406"/>
      <c r="D8" s="388">
        <v>9600</v>
      </c>
      <c r="E8" s="388"/>
      <c r="F8" s="388">
        <v>9600</v>
      </c>
      <c r="G8" s="400">
        <v>0</v>
      </c>
    </row>
    <row r="9" spans="1:7" ht="12.75">
      <c r="A9" s="387" t="s">
        <v>525</v>
      </c>
      <c r="B9" s="388">
        <v>7000</v>
      </c>
      <c r="C9" s="406"/>
      <c r="D9" s="388">
        <v>7000</v>
      </c>
      <c r="E9" s="388"/>
      <c r="F9" s="388">
        <v>7000</v>
      </c>
      <c r="G9" s="400">
        <v>0</v>
      </c>
    </row>
    <row r="10" spans="1:7" ht="12.75">
      <c r="A10" s="387" t="s">
        <v>526</v>
      </c>
      <c r="B10" s="388">
        <v>5500</v>
      </c>
      <c r="C10" s="406"/>
      <c r="D10" s="388">
        <v>5500</v>
      </c>
      <c r="E10" s="388"/>
      <c r="F10" s="388">
        <f>5500-1000</f>
        <v>4500</v>
      </c>
      <c r="G10" s="400">
        <v>0</v>
      </c>
    </row>
    <row r="11" spans="1:7" ht="12.75">
      <c r="A11" s="387" t="s">
        <v>527</v>
      </c>
      <c r="B11" s="388">
        <v>1000</v>
      </c>
      <c r="C11" s="406"/>
      <c r="D11" s="388">
        <v>1000</v>
      </c>
      <c r="E11" s="388"/>
      <c r="F11" s="388">
        <v>1000</v>
      </c>
      <c r="G11" s="400">
        <v>0</v>
      </c>
    </row>
    <row r="12" spans="1:7" ht="12.75">
      <c r="A12" s="387" t="s">
        <v>528</v>
      </c>
      <c r="B12" s="388">
        <v>1000</v>
      </c>
      <c r="C12" s="406"/>
      <c r="D12" s="388">
        <v>1000</v>
      </c>
      <c r="E12" s="388"/>
      <c r="F12" s="388">
        <v>700</v>
      </c>
      <c r="G12" s="400">
        <v>0</v>
      </c>
    </row>
    <row r="13" spans="1:7" ht="12.75">
      <c r="A13" s="387" t="s">
        <v>529</v>
      </c>
      <c r="B13" s="388">
        <v>3000</v>
      </c>
      <c r="C13" s="406"/>
      <c r="D13" s="388">
        <f>4000-600</f>
        <v>3400</v>
      </c>
      <c r="E13" s="388"/>
      <c r="F13" s="388">
        <v>3400</v>
      </c>
      <c r="G13" s="400">
        <v>0</v>
      </c>
    </row>
    <row r="14" spans="1:7" ht="12.75">
      <c r="A14" s="387" t="s">
        <v>530</v>
      </c>
      <c r="B14" s="388">
        <v>5000</v>
      </c>
      <c r="C14" s="406"/>
      <c r="D14" s="388">
        <f>5000-800</f>
        <v>4200</v>
      </c>
      <c r="E14" s="388"/>
      <c r="F14" s="388">
        <f>4200-150</f>
        <v>4050</v>
      </c>
      <c r="G14" s="400">
        <v>0</v>
      </c>
    </row>
    <row r="15" spans="1:7" ht="12.75">
      <c r="A15" s="387" t="s">
        <v>531</v>
      </c>
      <c r="B15" s="388">
        <v>2000</v>
      </c>
      <c r="C15" s="406"/>
      <c r="D15" s="388">
        <v>2000</v>
      </c>
      <c r="E15" s="388"/>
      <c r="F15" s="388">
        <f>2000-320</f>
        <v>1680</v>
      </c>
      <c r="G15" s="400">
        <v>0</v>
      </c>
    </row>
    <row r="16" spans="1:7" ht="12.75">
      <c r="A16" s="387" t="s">
        <v>532</v>
      </c>
      <c r="B16" s="388">
        <v>4000</v>
      </c>
      <c r="C16" s="406"/>
      <c r="D16" s="388">
        <v>4000</v>
      </c>
      <c r="E16" s="388"/>
      <c r="F16" s="388">
        <v>4000</v>
      </c>
      <c r="G16" s="400">
        <v>0</v>
      </c>
    </row>
    <row r="17" spans="1:7" ht="12.75">
      <c r="A17" s="387" t="s">
        <v>533</v>
      </c>
      <c r="B17" s="388">
        <v>5000</v>
      </c>
      <c r="C17" s="406"/>
      <c r="D17" s="388">
        <v>5000</v>
      </c>
      <c r="E17" s="388"/>
      <c r="F17" s="388">
        <v>5000</v>
      </c>
      <c r="G17" s="400">
        <v>0</v>
      </c>
    </row>
    <row r="18" spans="1:7" ht="12.75">
      <c r="A18" s="387" t="s">
        <v>534</v>
      </c>
      <c r="B18" s="388">
        <v>800</v>
      </c>
      <c r="C18" s="406"/>
      <c r="D18" s="388">
        <v>800</v>
      </c>
      <c r="E18" s="388"/>
      <c r="F18" s="388">
        <v>800</v>
      </c>
      <c r="G18" s="400">
        <v>0</v>
      </c>
    </row>
    <row r="19" spans="1:7" ht="12.75">
      <c r="A19" s="387" t="s">
        <v>535</v>
      </c>
      <c r="B19" s="388">
        <v>4000</v>
      </c>
      <c r="C19" s="406"/>
      <c r="D19" s="388">
        <v>4000</v>
      </c>
      <c r="E19" s="388"/>
      <c r="F19" s="388">
        <v>4000</v>
      </c>
      <c r="G19" s="400">
        <v>0</v>
      </c>
    </row>
    <row r="20" spans="1:7" ht="12.75">
      <c r="A20" s="387" t="s">
        <v>536</v>
      </c>
      <c r="B20" s="388">
        <v>1000</v>
      </c>
      <c r="C20" s="406"/>
      <c r="D20" s="388">
        <v>1000</v>
      </c>
      <c r="E20" s="388"/>
      <c r="F20" s="388">
        <v>1000</v>
      </c>
      <c r="G20" s="400">
        <v>0</v>
      </c>
    </row>
    <row r="21" spans="1:7" ht="12.75">
      <c r="A21" s="387" t="s">
        <v>537</v>
      </c>
      <c r="B21" s="388">
        <v>25000</v>
      </c>
      <c r="C21" s="406"/>
      <c r="D21" s="388">
        <v>0</v>
      </c>
      <c r="E21" s="388"/>
      <c r="F21" s="388">
        <v>0</v>
      </c>
      <c r="G21" s="400">
        <v>0</v>
      </c>
    </row>
    <row r="22" spans="1:7" ht="12.75">
      <c r="A22" s="387" t="s">
        <v>538</v>
      </c>
      <c r="B22" s="388">
        <v>5250</v>
      </c>
      <c r="C22" s="406"/>
      <c r="D22" s="388">
        <v>5250</v>
      </c>
      <c r="E22" s="388"/>
      <c r="F22" s="388">
        <v>5250</v>
      </c>
      <c r="G22" s="400">
        <v>0</v>
      </c>
    </row>
    <row r="23" spans="1:7" ht="12.75">
      <c r="A23" s="387" t="s">
        <v>539</v>
      </c>
      <c r="B23" s="388">
        <v>131</v>
      </c>
      <c r="C23" s="406"/>
      <c r="D23" s="388">
        <v>131</v>
      </c>
      <c r="E23" s="388"/>
      <c r="F23" s="388">
        <v>131</v>
      </c>
      <c r="G23" s="400">
        <v>0</v>
      </c>
    </row>
    <row r="24" spans="1:7" ht="12.75">
      <c r="A24" s="387" t="s">
        <v>540</v>
      </c>
      <c r="B24" s="388">
        <v>3000</v>
      </c>
      <c r="C24" s="406"/>
      <c r="D24" s="388">
        <v>3000</v>
      </c>
      <c r="E24" s="388"/>
      <c r="F24" s="388">
        <v>3000</v>
      </c>
      <c r="G24" s="400">
        <v>0</v>
      </c>
    </row>
    <row r="25" spans="1:7" ht="12.75">
      <c r="A25" s="387" t="s">
        <v>541</v>
      </c>
      <c r="B25" s="388">
        <v>4800</v>
      </c>
      <c r="C25" s="406"/>
      <c r="D25" s="388">
        <v>4800</v>
      </c>
      <c r="E25" s="388"/>
      <c r="F25" s="388">
        <f>4800+20000+10000-5200-4800</f>
        <v>24800</v>
      </c>
      <c r="G25" s="400">
        <v>0</v>
      </c>
    </row>
    <row r="26" spans="1:7" ht="12.75">
      <c r="A26" s="387" t="s">
        <v>542</v>
      </c>
      <c r="B26" s="388">
        <v>800</v>
      </c>
      <c r="C26" s="406"/>
      <c r="D26" s="388">
        <v>800</v>
      </c>
      <c r="E26" s="388"/>
      <c r="F26" s="388">
        <v>800</v>
      </c>
      <c r="G26" s="400">
        <v>0</v>
      </c>
    </row>
    <row r="27" spans="1:7" ht="12.75">
      <c r="A27" s="387" t="s">
        <v>543</v>
      </c>
      <c r="B27" s="388">
        <v>750</v>
      </c>
      <c r="C27" s="406"/>
      <c r="D27" s="388">
        <v>750</v>
      </c>
      <c r="E27" s="388"/>
      <c r="F27" s="388">
        <v>750</v>
      </c>
      <c r="G27" s="400">
        <v>0</v>
      </c>
    </row>
    <row r="28" spans="1:7" ht="12.75">
      <c r="A28" s="387" t="s">
        <v>544</v>
      </c>
      <c r="B28" s="388">
        <v>7000</v>
      </c>
      <c r="C28" s="406"/>
      <c r="D28" s="388">
        <v>7000</v>
      </c>
      <c r="E28" s="388"/>
      <c r="F28" s="388">
        <v>7000</v>
      </c>
      <c r="G28" s="400">
        <v>0</v>
      </c>
    </row>
    <row r="29" spans="1:7" ht="12.75">
      <c r="A29" s="387" t="s">
        <v>545</v>
      </c>
      <c r="B29" s="388">
        <v>800</v>
      </c>
      <c r="C29" s="406"/>
      <c r="D29" s="388">
        <v>800</v>
      </c>
      <c r="E29" s="388"/>
      <c r="F29" s="388">
        <v>800</v>
      </c>
      <c r="G29" s="400">
        <v>0</v>
      </c>
    </row>
    <row r="30" spans="1:7" ht="12.75">
      <c r="A30" s="387" t="s">
        <v>546</v>
      </c>
      <c r="B30" s="388">
        <v>3000</v>
      </c>
      <c r="C30" s="406"/>
      <c r="D30" s="388">
        <v>3000</v>
      </c>
      <c r="E30" s="388"/>
      <c r="F30" s="388">
        <v>3000</v>
      </c>
      <c r="G30" s="400">
        <v>0</v>
      </c>
    </row>
    <row r="31" spans="1:7" ht="12.75">
      <c r="A31" s="387" t="s">
        <v>547</v>
      </c>
      <c r="B31" s="388">
        <v>1500</v>
      </c>
      <c r="C31" s="406"/>
      <c r="D31" s="388">
        <v>1500</v>
      </c>
      <c r="E31" s="388"/>
      <c r="F31" s="388">
        <v>1500</v>
      </c>
      <c r="G31" s="400">
        <v>0</v>
      </c>
    </row>
    <row r="32" spans="1:7" ht="12.75">
      <c r="A32" s="387" t="s">
        <v>548</v>
      </c>
      <c r="B32" s="388">
        <v>500</v>
      </c>
      <c r="C32" s="406"/>
      <c r="D32" s="388">
        <v>500</v>
      </c>
      <c r="E32" s="388"/>
      <c r="F32" s="388">
        <v>500</v>
      </c>
      <c r="G32" s="400">
        <v>0</v>
      </c>
    </row>
    <row r="33" spans="1:7" ht="12.75">
      <c r="A33" s="387" t="s">
        <v>549</v>
      </c>
      <c r="B33" s="388">
        <v>3000</v>
      </c>
      <c r="C33" s="406"/>
      <c r="D33" s="388">
        <v>3000</v>
      </c>
      <c r="E33" s="388"/>
      <c r="F33" s="388">
        <v>3000</v>
      </c>
      <c r="G33" s="400">
        <v>0</v>
      </c>
    </row>
    <row r="34" spans="1:7" ht="12.75">
      <c r="A34" s="387" t="s">
        <v>550</v>
      </c>
      <c r="B34" s="388">
        <v>700</v>
      </c>
      <c r="C34" s="406"/>
      <c r="D34" s="388">
        <v>700</v>
      </c>
      <c r="E34" s="388"/>
      <c r="F34" s="388">
        <v>700</v>
      </c>
      <c r="G34" s="400">
        <v>0</v>
      </c>
    </row>
    <row r="35" spans="1:7" ht="12.75">
      <c r="A35" s="387" t="s">
        <v>551</v>
      </c>
      <c r="B35" s="388"/>
      <c r="C35" s="406"/>
      <c r="D35" s="388">
        <f>2300+2500</f>
        <v>4800</v>
      </c>
      <c r="E35" s="388"/>
      <c r="F35" s="388">
        <v>4800</v>
      </c>
      <c r="G35" s="400">
        <v>0</v>
      </c>
    </row>
    <row r="36" spans="1:7" ht="12.75">
      <c r="A36" s="387" t="s">
        <v>552</v>
      </c>
      <c r="B36" s="388"/>
      <c r="C36" s="406"/>
      <c r="D36" s="388">
        <v>5000</v>
      </c>
      <c r="E36" s="388"/>
      <c r="F36" s="388">
        <v>5000</v>
      </c>
      <c r="G36" s="400">
        <v>0</v>
      </c>
    </row>
    <row r="37" spans="1:7" ht="12.75">
      <c r="A37" s="387" t="s">
        <v>553</v>
      </c>
      <c r="B37" s="388"/>
      <c r="C37" s="406"/>
      <c r="D37" s="388">
        <v>500</v>
      </c>
      <c r="E37" s="388"/>
      <c r="F37" s="388">
        <v>500</v>
      </c>
      <c r="G37" s="400">
        <v>0</v>
      </c>
    </row>
    <row r="38" spans="1:7" ht="12.75">
      <c r="A38" s="387" t="s">
        <v>554</v>
      </c>
      <c r="B38" s="388"/>
      <c r="C38" s="406"/>
      <c r="D38" s="388"/>
      <c r="E38" s="388"/>
      <c r="F38" s="388"/>
      <c r="G38" s="400">
        <v>0</v>
      </c>
    </row>
    <row r="39" spans="1:7" ht="12.75">
      <c r="A39" s="387" t="s">
        <v>555</v>
      </c>
      <c r="B39" s="388"/>
      <c r="C39" s="406"/>
      <c r="D39" s="388">
        <v>100</v>
      </c>
      <c r="E39" s="388"/>
      <c r="F39" s="388">
        <v>100</v>
      </c>
      <c r="G39" s="400">
        <v>0</v>
      </c>
    </row>
    <row r="40" spans="1:7" ht="12.75">
      <c r="A40" s="387" t="s">
        <v>556</v>
      </c>
      <c r="B40" s="388"/>
      <c r="C40" s="406"/>
      <c r="D40" s="388">
        <v>100</v>
      </c>
      <c r="E40" s="388"/>
      <c r="F40" s="388">
        <v>100</v>
      </c>
      <c r="G40" s="400">
        <v>0</v>
      </c>
    </row>
    <row r="41" spans="1:7" ht="12.75">
      <c r="A41" s="387" t="s">
        <v>557</v>
      </c>
      <c r="B41" s="388"/>
      <c r="C41" s="406"/>
      <c r="D41" s="388">
        <v>375</v>
      </c>
      <c r="E41" s="388"/>
      <c r="F41" s="388">
        <v>0</v>
      </c>
      <c r="G41" s="400">
        <v>0</v>
      </c>
    </row>
    <row r="42" spans="1:7" ht="12.75">
      <c r="A42" s="387" t="s">
        <v>558</v>
      </c>
      <c r="B42" s="388"/>
      <c r="C42" s="406"/>
      <c r="D42" s="388">
        <v>350</v>
      </c>
      <c r="E42" s="388"/>
      <c r="F42" s="388">
        <v>350</v>
      </c>
      <c r="G42" s="400">
        <v>0</v>
      </c>
    </row>
    <row r="43" spans="1:7" ht="26.25">
      <c r="A43" s="441" t="s">
        <v>559</v>
      </c>
      <c r="B43" s="442"/>
      <c r="C43" s="443"/>
      <c r="D43" s="442">
        <v>150</v>
      </c>
      <c r="E43" s="442"/>
      <c r="F43" s="442">
        <v>150</v>
      </c>
      <c r="G43" s="444">
        <v>0</v>
      </c>
    </row>
    <row r="44" spans="1:7" ht="13.5">
      <c r="A44" s="445" t="s">
        <v>560</v>
      </c>
      <c r="B44" s="446"/>
      <c r="C44" s="447"/>
      <c r="D44" s="446">
        <v>508</v>
      </c>
      <c r="E44" s="446"/>
      <c r="F44" s="446">
        <v>0</v>
      </c>
      <c r="G44" s="448">
        <v>0</v>
      </c>
    </row>
    <row r="45" spans="1:7" ht="12.75">
      <c r="A45" s="387" t="s">
        <v>561</v>
      </c>
      <c r="B45" s="388"/>
      <c r="C45" s="406"/>
      <c r="D45" s="388">
        <v>200</v>
      </c>
      <c r="E45" s="388"/>
      <c r="F45" s="388">
        <v>200</v>
      </c>
      <c r="G45" s="400">
        <v>0</v>
      </c>
    </row>
    <row r="46" spans="1:7" ht="12.75">
      <c r="A46" s="387" t="s">
        <v>562</v>
      </c>
      <c r="B46" s="388"/>
      <c r="C46" s="406"/>
      <c r="D46" s="388">
        <v>200</v>
      </c>
      <c r="E46" s="388"/>
      <c r="F46" s="388">
        <v>200</v>
      </c>
      <c r="G46" s="400">
        <v>0</v>
      </c>
    </row>
    <row r="47" spans="1:7" ht="12.75">
      <c r="A47" s="387" t="s">
        <v>563</v>
      </c>
      <c r="B47" s="388"/>
      <c r="C47" s="406"/>
      <c r="D47" s="388">
        <v>300</v>
      </c>
      <c r="E47" s="388"/>
      <c r="F47" s="388">
        <v>300</v>
      </c>
      <c r="G47" s="400">
        <v>0</v>
      </c>
    </row>
    <row r="48" spans="1:7" ht="12.75">
      <c r="A48" s="387" t="s">
        <v>564</v>
      </c>
      <c r="B48" s="388"/>
      <c r="C48" s="406"/>
      <c r="D48" s="388"/>
      <c r="E48" s="388"/>
      <c r="F48" s="388">
        <v>50</v>
      </c>
      <c r="G48" s="400">
        <v>0</v>
      </c>
    </row>
    <row r="49" spans="1:7" ht="12.75">
      <c r="A49" s="387" t="s">
        <v>565</v>
      </c>
      <c r="B49" s="388"/>
      <c r="C49" s="406"/>
      <c r="D49" s="388"/>
      <c r="E49" s="388"/>
      <c r="F49" s="388">
        <v>210</v>
      </c>
      <c r="G49" s="400">
        <v>0</v>
      </c>
    </row>
    <row r="50" spans="1:7" ht="12.75">
      <c r="A50" s="387" t="s">
        <v>566</v>
      </c>
      <c r="B50" s="388"/>
      <c r="C50" s="406"/>
      <c r="D50" s="388"/>
      <c r="E50" s="388"/>
      <c r="F50" s="388">
        <v>50</v>
      </c>
      <c r="G50" s="400">
        <v>0</v>
      </c>
    </row>
    <row r="51" spans="1:7" ht="12.75">
      <c r="A51" s="387" t="s">
        <v>567</v>
      </c>
      <c r="B51" s="388"/>
      <c r="C51" s="406"/>
      <c r="D51" s="388"/>
      <c r="E51" s="388"/>
      <c r="F51" s="388">
        <v>1111</v>
      </c>
      <c r="G51" s="400">
        <v>0</v>
      </c>
    </row>
    <row r="52" spans="1:7" ht="12.75">
      <c r="A52" s="387" t="s">
        <v>568</v>
      </c>
      <c r="B52" s="388"/>
      <c r="C52" s="406"/>
      <c r="D52" s="388"/>
      <c r="E52" s="388"/>
      <c r="F52" s="388">
        <v>120</v>
      </c>
      <c r="G52" s="400">
        <v>0</v>
      </c>
    </row>
    <row r="53" spans="1:7" ht="12.75">
      <c r="A53" s="387" t="s">
        <v>569</v>
      </c>
      <c r="B53" s="388"/>
      <c r="C53" s="406"/>
      <c r="D53" s="388"/>
      <c r="E53" s="388"/>
      <c r="F53" s="388">
        <v>100</v>
      </c>
      <c r="G53" s="400">
        <v>0</v>
      </c>
    </row>
    <row r="54" spans="1:7" ht="12.75">
      <c r="A54" s="387" t="s">
        <v>570</v>
      </c>
      <c r="B54" s="388"/>
      <c r="C54" s="406"/>
      <c r="D54" s="388"/>
      <c r="E54" s="388"/>
      <c r="F54" s="388">
        <v>500</v>
      </c>
      <c r="G54" s="400">
        <v>0</v>
      </c>
    </row>
    <row r="55" spans="1:7" ht="12.75">
      <c r="A55" s="387" t="s">
        <v>571</v>
      </c>
      <c r="B55" s="388"/>
      <c r="C55" s="406"/>
      <c r="D55" s="388"/>
      <c r="E55" s="388"/>
      <c r="F55" s="388">
        <v>280</v>
      </c>
      <c r="G55" s="400">
        <v>0</v>
      </c>
    </row>
    <row r="56" spans="1:7" ht="12.75">
      <c r="A56" s="387" t="s">
        <v>572</v>
      </c>
      <c r="B56" s="388"/>
      <c r="C56" s="406"/>
      <c r="D56" s="388"/>
      <c r="E56" s="388"/>
      <c r="F56" s="388">
        <v>1000</v>
      </c>
      <c r="G56" s="400">
        <v>0</v>
      </c>
    </row>
    <row r="57" spans="1:7" ht="12.75">
      <c r="A57" s="387" t="s">
        <v>573</v>
      </c>
      <c r="B57" s="388"/>
      <c r="C57" s="406"/>
      <c r="D57" s="388"/>
      <c r="E57" s="388"/>
      <c r="F57" s="388">
        <v>100</v>
      </c>
      <c r="G57" s="400">
        <v>0</v>
      </c>
    </row>
    <row r="58" spans="1:7" ht="12.75">
      <c r="A58" s="387" t="s">
        <v>574</v>
      </c>
      <c r="B58" s="388"/>
      <c r="C58" s="406"/>
      <c r="D58" s="388"/>
      <c r="E58" s="388"/>
      <c r="F58" s="388">
        <v>1867</v>
      </c>
      <c r="G58" s="400">
        <v>0</v>
      </c>
    </row>
    <row r="59" spans="1:7" ht="12.75">
      <c r="A59" s="387" t="s">
        <v>575</v>
      </c>
      <c r="B59" s="388"/>
      <c r="C59" s="406"/>
      <c r="D59" s="388"/>
      <c r="E59" s="388"/>
      <c r="F59" s="388">
        <v>3325</v>
      </c>
      <c r="G59" s="400">
        <v>0</v>
      </c>
    </row>
    <row r="60" spans="1:7" ht="25.5">
      <c r="A60" s="397" t="s">
        <v>576</v>
      </c>
      <c r="B60" s="388"/>
      <c r="C60" s="406"/>
      <c r="D60" s="388"/>
      <c r="E60" s="388"/>
      <c r="F60" s="388">
        <v>533</v>
      </c>
      <c r="G60" s="400">
        <v>0</v>
      </c>
    </row>
    <row r="61" spans="1:7" ht="25.5">
      <c r="A61" s="397" t="s">
        <v>577</v>
      </c>
      <c r="B61" s="388"/>
      <c r="C61" s="406"/>
      <c r="D61" s="388"/>
      <c r="E61" s="388"/>
      <c r="F61" s="388">
        <v>1500</v>
      </c>
      <c r="G61" s="400">
        <v>0</v>
      </c>
    </row>
    <row r="62" spans="1:7" ht="25.5">
      <c r="A62" s="397" t="s">
        <v>578</v>
      </c>
      <c r="B62" s="388"/>
      <c r="C62" s="406"/>
      <c r="D62" s="388"/>
      <c r="E62" s="388"/>
      <c r="F62" s="388">
        <v>170</v>
      </c>
      <c r="G62" s="400">
        <v>0</v>
      </c>
    </row>
    <row r="63" spans="1:7" ht="12.75">
      <c r="A63" s="397" t="s">
        <v>579</v>
      </c>
      <c r="B63" s="388"/>
      <c r="C63" s="406"/>
      <c r="D63" s="388"/>
      <c r="E63" s="388"/>
      <c r="F63" s="388">
        <v>300</v>
      </c>
      <c r="G63" s="400">
        <v>0</v>
      </c>
    </row>
    <row r="64" spans="1:7" s="409" customFormat="1" ht="13.5">
      <c r="A64" s="394" t="s">
        <v>580</v>
      </c>
      <c r="B64" s="395">
        <f>SUM(B4:B35)</f>
        <v>325381</v>
      </c>
      <c r="C64" s="395">
        <f>SUM(C4:C35)</f>
        <v>0</v>
      </c>
      <c r="D64" s="395">
        <f>SUM(D4:D47)</f>
        <v>312564</v>
      </c>
      <c r="E64" s="395">
        <f>SUM(E4:E47)</f>
        <v>0</v>
      </c>
      <c r="F64" s="395">
        <f>SUM(F4:F63)</f>
        <v>342927</v>
      </c>
      <c r="G64" s="396">
        <f>SUM(G4:G63)</f>
        <v>0</v>
      </c>
    </row>
    <row r="65" spans="1:7" ht="12.75">
      <c r="A65" s="387"/>
      <c r="B65" s="388"/>
      <c r="C65" s="406"/>
      <c r="D65" s="388"/>
      <c r="E65" s="388"/>
      <c r="F65" s="388"/>
      <c r="G65" s="400"/>
    </row>
    <row r="66" spans="1:7" ht="12.75" customHeight="1">
      <c r="A66" s="449" t="s">
        <v>581</v>
      </c>
      <c r="B66" s="450"/>
      <c r="C66" s="406"/>
      <c r="D66" s="388"/>
      <c r="E66" s="388"/>
      <c r="F66" s="388"/>
      <c r="G66" s="400"/>
    </row>
    <row r="67" spans="1:7" ht="12.75">
      <c r="A67" s="387" t="s">
        <v>582</v>
      </c>
      <c r="B67" s="388">
        <v>1000</v>
      </c>
      <c r="C67" s="388"/>
      <c r="D67" s="388">
        <v>1000</v>
      </c>
      <c r="E67" s="388"/>
      <c r="F67" s="388">
        <v>1000</v>
      </c>
      <c r="G67" s="400">
        <v>0</v>
      </c>
    </row>
    <row r="68" spans="1:7" ht="12.75">
      <c r="A68" s="387" t="s">
        <v>583</v>
      </c>
      <c r="B68" s="388">
        <v>4500</v>
      </c>
      <c r="C68" s="388"/>
      <c r="D68" s="388">
        <v>4500</v>
      </c>
      <c r="E68" s="388"/>
      <c r="F68" s="388">
        <v>4500</v>
      </c>
      <c r="G68" s="400">
        <v>0</v>
      </c>
    </row>
    <row r="69" spans="1:7" ht="12.75">
      <c r="A69" s="387" t="s">
        <v>584</v>
      </c>
      <c r="B69" s="388">
        <v>2468</v>
      </c>
      <c r="C69" s="388"/>
      <c r="D69" s="388">
        <v>2468</v>
      </c>
      <c r="E69" s="388"/>
      <c r="F69" s="388">
        <v>0</v>
      </c>
      <c r="G69" s="400">
        <v>0</v>
      </c>
    </row>
    <row r="70" spans="1:7" ht="12.75">
      <c r="A70" s="387" t="s">
        <v>585</v>
      </c>
      <c r="B70" s="388">
        <v>2500</v>
      </c>
      <c r="C70" s="388"/>
      <c r="D70" s="388">
        <v>0</v>
      </c>
      <c r="E70" s="388"/>
      <c r="F70" s="388">
        <v>0</v>
      </c>
      <c r="G70" s="400">
        <v>0</v>
      </c>
    </row>
    <row r="71" spans="1:7" ht="12.75">
      <c r="A71" s="387" t="s">
        <v>586</v>
      </c>
      <c r="B71" s="388"/>
      <c r="C71" s="388"/>
      <c r="D71" s="388">
        <v>263</v>
      </c>
      <c r="E71" s="388"/>
      <c r="F71" s="388">
        <v>263</v>
      </c>
      <c r="G71" s="400">
        <v>0</v>
      </c>
    </row>
    <row r="72" spans="1:7" ht="12.75">
      <c r="A72" s="387" t="s">
        <v>575</v>
      </c>
      <c r="B72" s="388"/>
      <c r="C72" s="388"/>
      <c r="D72" s="388">
        <v>3325</v>
      </c>
      <c r="E72" s="388"/>
      <c r="F72" s="388">
        <v>3325</v>
      </c>
      <c r="G72" s="400">
        <v>0</v>
      </c>
    </row>
    <row r="73" spans="1:7" s="379" customFormat="1" ht="12.75">
      <c r="A73" s="387" t="s">
        <v>587</v>
      </c>
      <c r="B73" s="388"/>
      <c r="C73" s="388"/>
      <c r="D73" s="388"/>
      <c r="E73" s="388"/>
      <c r="F73" s="388">
        <v>41</v>
      </c>
      <c r="G73" s="400">
        <v>0</v>
      </c>
    </row>
    <row r="74" spans="1:7" s="379" customFormat="1" ht="12.75">
      <c r="A74" s="387" t="s">
        <v>588</v>
      </c>
      <c r="B74" s="388"/>
      <c r="C74" s="388"/>
      <c r="D74" s="388"/>
      <c r="E74" s="388"/>
      <c r="F74" s="388">
        <v>30000</v>
      </c>
      <c r="G74" s="400">
        <v>0</v>
      </c>
    </row>
    <row r="75" spans="1:7" s="379" customFormat="1" ht="12.75">
      <c r="A75" s="387" t="s">
        <v>589</v>
      </c>
      <c r="B75" s="388"/>
      <c r="C75" s="388"/>
      <c r="D75" s="388"/>
      <c r="E75" s="388"/>
      <c r="F75" s="388">
        <v>1900</v>
      </c>
      <c r="G75" s="400">
        <v>0</v>
      </c>
    </row>
    <row r="76" spans="1:7" s="409" customFormat="1" ht="13.5">
      <c r="A76" s="394" t="s">
        <v>580</v>
      </c>
      <c r="B76" s="395">
        <f>SUM(B67:B72)</f>
        <v>10468</v>
      </c>
      <c r="C76" s="395">
        <f>SUM(C67:C72)</f>
        <v>0</v>
      </c>
      <c r="D76" s="395">
        <f>SUM(D67:D72)</f>
        <v>11556</v>
      </c>
      <c r="E76" s="395">
        <f>SUM(E67:E72)</f>
        <v>0</v>
      </c>
      <c r="F76" s="395">
        <f>SUM(F67:F75)</f>
        <v>41029</v>
      </c>
      <c r="G76" s="396">
        <f>SUM(G67:G75)</f>
        <v>0</v>
      </c>
    </row>
    <row r="77" spans="1:7" s="409" customFormat="1" ht="13.5">
      <c r="A77" s="394"/>
      <c r="B77" s="395"/>
      <c r="C77" s="395"/>
      <c r="D77" s="395"/>
      <c r="E77" s="395"/>
      <c r="F77" s="395"/>
      <c r="G77" s="396"/>
    </row>
    <row r="78" spans="1:7" s="401" customFormat="1" ht="12.75">
      <c r="A78" s="391" t="s">
        <v>590</v>
      </c>
      <c r="B78" s="392"/>
      <c r="C78" s="392"/>
      <c r="D78" s="392"/>
      <c r="E78" s="392"/>
      <c r="F78" s="392"/>
      <c r="G78" s="393"/>
    </row>
    <row r="79" spans="1:7" ht="12.75">
      <c r="A79" s="387" t="s">
        <v>591</v>
      </c>
      <c r="B79" s="388">
        <v>10000</v>
      </c>
      <c r="C79" s="388">
        <v>10000</v>
      </c>
      <c r="D79" s="388">
        <v>10000</v>
      </c>
      <c r="E79" s="388">
        <v>10000</v>
      </c>
      <c r="F79" s="388">
        <v>0</v>
      </c>
      <c r="G79" s="400">
        <v>0</v>
      </c>
    </row>
    <row r="80" spans="1:7" ht="12.75">
      <c r="A80" s="387" t="s">
        <v>592</v>
      </c>
      <c r="B80" s="388">
        <v>28000</v>
      </c>
      <c r="C80" s="388"/>
      <c r="D80" s="388">
        <v>28000</v>
      </c>
      <c r="E80" s="388"/>
      <c r="F80" s="388">
        <v>28000</v>
      </c>
      <c r="G80" s="400">
        <v>0</v>
      </c>
    </row>
    <row r="81" spans="1:7" ht="12.75">
      <c r="A81" s="387" t="s">
        <v>593</v>
      </c>
      <c r="B81" s="388">
        <v>21183</v>
      </c>
      <c r="C81" s="388"/>
      <c r="D81" s="388">
        <f>B81-16000</f>
        <v>5183</v>
      </c>
      <c r="E81" s="388"/>
      <c r="F81" s="388">
        <f>5183+15000</f>
        <v>20183</v>
      </c>
      <c r="G81" s="400">
        <v>0</v>
      </c>
    </row>
    <row r="82" spans="1:7" ht="12.75">
      <c r="A82" s="387" t="s">
        <v>594</v>
      </c>
      <c r="B82" s="388">
        <v>84363</v>
      </c>
      <c r="C82" s="388">
        <v>48363</v>
      </c>
      <c r="D82" s="388">
        <v>84363</v>
      </c>
      <c r="E82" s="388">
        <v>48363</v>
      </c>
      <c r="F82" s="388">
        <f>84363-48363</f>
        <v>36000</v>
      </c>
      <c r="G82" s="400">
        <v>0</v>
      </c>
    </row>
    <row r="83" spans="1:7" ht="12.75">
      <c r="A83" s="387" t="s">
        <v>595</v>
      </c>
      <c r="B83" s="388">
        <v>4129</v>
      </c>
      <c r="C83" s="388">
        <v>1929</v>
      </c>
      <c r="D83" s="388">
        <v>4129</v>
      </c>
      <c r="E83" s="388">
        <v>1929</v>
      </c>
      <c r="F83" s="388">
        <f>4129-1929</f>
        <v>2200</v>
      </c>
      <c r="G83" s="400">
        <v>0</v>
      </c>
    </row>
    <row r="84" spans="1:7" ht="12.75">
      <c r="A84" s="387" t="s">
        <v>596</v>
      </c>
      <c r="B84" s="388">
        <v>3536</v>
      </c>
      <c r="C84" s="388">
        <v>3536</v>
      </c>
      <c r="D84" s="388">
        <v>3536</v>
      </c>
      <c r="E84" s="388">
        <v>0</v>
      </c>
      <c r="F84" s="388">
        <v>3536</v>
      </c>
      <c r="G84" s="400">
        <v>0</v>
      </c>
    </row>
    <row r="85" spans="1:7" ht="12.75">
      <c r="A85" s="387" t="s">
        <v>597</v>
      </c>
      <c r="B85" s="388">
        <v>4500</v>
      </c>
      <c r="C85" s="388">
        <v>4500</v>
      </c>
      <c r="D85" s="388">
        <v>4500</v>
      </c>
      <c r="E85" s="388">
        <v>4500</v>
      </c>
      <c r="F85" s="388">
        <v>4500</v>
      </c>
      <c r="G85" s="400">
        <v>0</v>
      </c>
    </row>
    <row r="86" spans="1:7" ht="25.5">
      <c r="A86" s="397" t="s">
        <v>598</v>
      </c>
      <c r="B86" s="388">
        <v>65875</v>
      </c>
      <c r="C86" s="388">
        <v>10000</v>
      </c>
      <c r="D86" s="388">
        <v>65875</v>
      </c>
      <c r="E86" s="388">
        <v>10000</v>
      </c>
      <c r="F86" s="388">
        <f>65875-28669</f>
        <v>37206</v>
      </c>
      <c r="G86" s="400">
        <v>0</v>
      </c>
    </row>
    <row r="87" spans="1:7" ht="12.75">
      <c r="A87" s="387" t="s">
        <v>599</v>
      </c>
      <c r="B87" s="388">
        <v>60000</v>
      </c>
      <c r="C87" s="388">
        <v>30000</v>
      </c>
      <c r="D87" s="388">
        <v>60000</v>
      </c>
      <c r="E87" s="388">
        <v>30000</v>
      </c>
      <c r="F87" s="388">
        <v>60000</v>
      </c>
      <c r="G87" s="400">
        <v>0</v>
      </c>
    </row>
    <row r="88" spans="1:7" ht="12.75">
      <c r="A88" s="387" t="s">
        <v>600</v>
      </c>
      <c r="B88" s="388">
        <v>1575</v>
      </c>
      <c r="C88" s="388"/>
      <c r="D88" s="388">
        <v>1575</v>
      </c>
      <c r="E88" s="388"/>
      <c r="F88" s="388">
        <v>1575</v>
      </c>
      <c r="G88" s="400"/>
    </row>
    <row r="89" spans="1:7" ht="12.75">
      <c r="A89" s="387" t="s">
        <v>601</v>
      </c>
      <c r="B89" s="388">
        <v>3975</v>
      </c>
      <c r="C89" s="388">
        <v>3975</v>
      </c>
      <c r="D89" s="388">
        <v>3975</v>
      </c>
      <c r="E89" s="388">
        <v>3975</v>
      </c>
      <c r="F89" s="388">
        <v>0</v>
      </c>
      <c r="G89" s="400">
        <v>0</v>
      </c>
    </row>
    <row r="90" spans="1:7" ht="12.75">
      <c r="A90" s="387" t="s">
        <v>602</v>
      </c>
      <c r="B90" s="388">
        <v>6267</v>
      </c>
      <c r="C90" s="388">
        <v>6267</v>
      </c>
      <c r="D90" s="388">
        <v>6267</v>
      </c>
      <c r="E90" s="388">
        <v>6267</v>
      </c>
      <c r="F90" s="388">
        <v>0</v>
      </c>
      <c r="G90" s="400">
        <v>0</v>
      </c>
    </row>
    <row r="91" spans="1:11" s="409" customFormat="1" ht="13.5">
      <c r="A91" s="394" t="s">
        <v>580</v>
      </c>
      <c r="B91" s="395">
        <f aca="true" t="shared" si="0" ref="B91:G91">SUM(B79:B90)</f>
        <v>293403</v>
      </c>
      <c r="C91" s="395">
        <f t="shared" si="0"/>
        <v>118570</v>
      </c>
      <c r="D91" s="395">
        <f t="shared" si="0"/>
        <v>277403</v>
      </c>
      <c r="E91" s="395">
        <f t="shared" si="0"/>
        <v>115034</v>
      </c>
      <c r="F91" s="395">
        <f t="shared" si="0"/>
        <v>193200</v>
      </c>
      <c r="G91" s="396">
        <f t="shared" si="0"/>
        <v>0</v>
      </c>
      <c r="K91" s="451"/>
    </row>
    <row r="92" spans="1:7" ht="12.75">
      <c r="A92" s="387"/>
      <c r="B92" s="388"/>
      <c r="C92" s="406"/>
      <c r="D92" s="388"/>
      <c r="E92" s="388"/>
      <c r="F92" s="388"/>
      <c r="G92" s="400"/>
    </row>
    <row r="93" spans="1:7" s="401" customFormat="1" ht="13.5">
      <c r="A93" s="452" t="s">
        <v>143</v>
      </c>
      <c r="B93" s="453">
        <f aca="true" t="shared" si="1" ref="B93:G93">SUM(B64,B76,B91)</f>
        <v>629252</v>
      </c>
      <c r="C93" s="453">
        <f t="shared" si="1"/>
        <v>118570</v>
      </c>
      <c r="D93" s="453">
        <f t="shared" si="1"/>
        <v>601523</v>
      </c>
      <c r="E93" s="453">
        <f t="shared" si="1"/>
        <v>115034</v>
      </c>
      <c r="F93" s="453">
        <f t="shared" si="1"/>
        <v>577156</v>
      </c>
      <c r="G93" s="454">
        <f t="shared" si="1"/>
        <v>0</v>
      </c>
    </row>
  </sheetData>
  <sheetProtection selectLockedCells="1" selectUnlockedCells="1"/>
  <mergeCells count="1">
    <mergeCell ref="A1:G1"/>
  </mergeCells>
  <printOptions horizontalCentered="1"/>
  <pageMargins left="0.27569444444444446" right="0.2361111111111111" top="0.7805555555555554" bottom="0.3541666666666667" header="0.6402777777777777" footer="0.5118055555555555"/>
  <pageSetup horizontalDpi="300" verticalDpi="300" orientation="landscape" paperSize="9" scale="67"/>
  <headerFooter alignWithMargins="0">
    <oddHeader>&amp;L&amp;8 9. melléklet a 30/2011.(X.28.) önkormányzati rendelethez</oddHeader>
  </headerFooter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67.75390625" style="376" customWidth="1"/>
    <col min="2" max="2" width="9.125" style="377" customWidth="1"/>
    <col min="3" max="3" width="9.125" style="455" customWidth="1"/>
    <col min="4" max="4" width="9.125" style="378" customWidth="1"/>
    <col min="5" max="5" width="12.125" style="377" customWidth="1"/>
    <col min="6" max="16384" width="9.125" style="376" customWidth="1"/>
  </cols>
  <sheetData>
    <row r="1" spans="1:2" ht="15.75">
      <c r="A1" s="456"/>
      <c r="B1" s="457"/>
    </row>
    <row r="2" spans="1:4" ht="15.75">
      <c r="A2" s="458" t="s">
        <v>603</v>
      </c>
      <c r="B2" s="458"/>
      <c r="C2" s="458"/>
      <c r="D2" s="458"/>
    </row>
    <row r="3" spans="1:4" ht="15.75">
      <c r="A3" s="458" t="s">
        <v>604</v>
      </c>
      <c r="B3" s="458"/>
      <c r="C3" s="458"/>
      <c r="D3" s="458"/>
    </row>
    <row r="4" spans="1:4" ht="15.75" customHeight="1">
      <c r="A4" s="436" t="s">
        <v>605</v>
      </c>
      <c r="B4" s="436"/>
      <c r="C4" s="436"/>
      <c r="D4" s="436"/>
    </row>
    <row r="5" spans="1:2" ht="13.5">
      <c r="A5" s="459"/>
      <c r="B5" s="460"/>
    </row>
    <row r="6" spans="1:5" ht="13.5">
      <c r="A6" s="461" t="s">
        <v>242</v>
      </c>
      <c r="B6" s="385" t="s">
        <v>3</v>
      </c>
      <c r="C6" s="462" t="s">
        <v>606</v>
      </c>
      <c r="D6" s="463" t="s">
        <v>5</v>
      </c>
      <c r="E6" s="464" t="s">
        <v>385</v>
      </c>
    </row>
    <row r="7" spans="1:5" ht="12.75">
      <c r="A7" s="465"/>
      <c r="B7" s="450"/>
      <c r="C7" s="466"/>
      <c r="D7" s="388"/>
      <c r="E7" s="467"/>
    </row>
    <row r="8" spans="1:5" ht="12.75">
      <c r="A8" s="391" t="s">
        <v>42</v>
      </c>
      <c r="B8" s="388"/>
      <c r="C8" s="466"/>
      <c r="D8" s="388"/>
      <c r="E8" s="467"/>
    </row>
    <row r="9" spans="1:5" ht="12.75">
      <c r="A9" s="387" t="s">
        <v>607</v>
      </c>
      <c r="B9" s="388">
        <v>40302</v>
      </c>
      <c r="C9" s="466">
        <v>40302</v>
      </c>
      <c r="D9" s="388">
        <v>40302</v>
      </c>
      <c r="E9" s="467"/>
    </row>
    <row r="10" spans="1:5" ht="12.75">
      <c r="A10" s="387" t="s">
        <v>608</v>
      </c>
      <c r="B10" s="388">
        <v>14162</v>
      </c>
      <c r="C10" s="466">
        <v>14162</v>
      </c>
      <c r="D10" s="388">
        <v>14162</v>
      </c>
      <c r="E10" s="467"/>
    </row>
    <row r="11" spans="1:5" ht="12.75">
      <c r="A11" s="387" t="s">
        <v>609</v>
      </c>
      <c r="B11" s="388">
        <v>2450</v>
      </c>
      <c r="C11" s="466">
        <f>2950+388</f>
        <v>3338</v>
      </c>
      <c r="D11" s="388">
        <v>2950</v>
      </c>
      <c r="E11" s="467"/>
    </row>
    <row r="12" spans="1:5" ht="12.75">
      <c r="A12" s="387" t="s">
        <v>610</v>
      </c>
      <c r="B12" s="388">
        <v>17002</v>
      </c>
      <c r="C12" s="466">
        <f>16800+400</f>
        <v>17200</v>
      </c>
      <c r="D12" s="388">
        <v>16800</v>
      </c>
      <c r="E12" s="467"/>
    </row>
    <row r="13" spans="1:5" ht="12.75">
      <c r="A13" s="387" t="s">
        <v>611</v>
      </c>
      <c r="B13" s="388">
        <v>8000</v>
      </c>
      <c r="C13" s="466">
        <f>8000+215</f>
        <v>8215</v>
      </c>
      <c r="D13" s="388">
        <v>8000</v>
      </c>
      <c r="E13" s="467"/>
    </row>
    <row r="14" spans="1:5" ht="12.75">
      <c r="A14" s="387" t="s">
        <v>324</v>
      </c>
      <c r="B14" s="388">
        <v>1500</v>
      </c>
      <c r="C14" s="466">
        <v>1500</v>
      </c>
      <c r="D14" s="388">
        <v>1500</v>
      </c>
      <c r="E14" s="467"/>
    </row>
    <row r="15" spans="1:5" ht="12.75">
      <c r="A15" s="387" t="s">
        <v>612</v>
      </c>
      <c r="B15" s="388">
        <v>32317</v>
      </c>
      <c r="C15" s="466">
        <v>32317</v>
      </c>
      <c r="D15" s="388">
        <v>33586</v>
      </c>
      <c r="E15" s="467"/>
    </row>
    <row r="16" spans="1:5" ht="12.75">
      <c r="A16" s="387" t="s">
        <v>613</v>
      </c>
      <c r="B16" s="388">
        <v>1698</v>
      </c>
      <c r="C16" s="466">
        <f>B16-627</f>
        <v>1071</v>
      </c>
      <c r="D16" s="388">
        <v>1225</v>
      </c>
      <c r="E16" s="467"/>
    </row>
    <row r="17" spans="1:5" ht="12.75">
      <c r="A17" s="387" t="s">
        <v>614</v>
      </c>
      <c r="B17" s="388">
        <v>3</v>
      </c>
      <c r="C17" s="466">
        <v>3</v>
      </c>
      <c r="D17" s="388">
        <v>3</v>
      </c>
      <c r="E17" s="467"/>
    </row>
    <row r="18" spans="1:5" ht="12.75">
      <c r="A18" s="387" t="s">
        <v>615</v>
      </c>
      <c r="B18" s="388">
        <v>750</v>
      </c>
      <c r="C18" s="466">
        <v>750</v>
      </c>
      <c r="D18" s="388">
        <v>750</v>
      </c>
      <c r="E18" s="467"/>
    </row>
    <row r="19" spans="1:5" ht="12.75">
      <c r="A19" s="387" t="s">
        <v>335</v>
      </c>
      <c r="B19" s="388">
        <v>1710</v>
      </c>
      <c r="C19" s="466">
        <v>1710</v>
      </c>
      <c r="D19" s="388">
        <v>1710</v>
      </c>
      <c r="E19" s="467"/>
    </row>
    <row r="20" spans="1:5" ht="12.75">
      <c r="A20" s="387" t="s">
        <v>616</v>
      </c>
      <c r="B20" s="388">
        <v>20509</v>
      </c>
      <c r="C20" s="466">
        <v>20509</v>
      </c>
      <c r="D20" s="388">
        <v>20509</v>
      </c>
      <c r="E20" s="467"/>
    </row>
    <row r="21" spans="1:5" ht="12.75">
      <c r="A21" s="387" t="s">
        <v>617</v>
      </c>
      <c r="B21" s="388"/>
      <c r="C21" s="466">
        <v>7500</v>
      </c>
      <c r="D21" s="388">
        <v>7500</v>
      </c>
      <c r="E21" s="467"/>
    </row>
    <row r="22" spans="1:5" ht="12.75">
      <c r="A22" s="387" t="s">
        <v>618</v>
      </c>
      <c r="B22" s="388"/>
      <c r="C22" s="466">
        <v>120</v>
      </c>
      <c r="D22" s="388">
        <v>120</v>
      </c>
      <c r="E22" s="467"/>
    </row>
    <row r="23" spans="1:5" ht="12.75">
      <c r="A23" s="387" t="s">
        <v>619</v>
      </c>
      <c r="B23" s="388"/>
      <c r="C23" s="466"/>
      <c r="D23" s="388">
        <v>10678</v>
      </c>
      <c r="E23" s="467"/>
    </row>
    <row r="24" spans="1:5" ht="12.75">
      <c r="A24" s="387" t="s">
        <v>620</v>
      </c>
      <c r="B24" s="388"/>
      <c r="C24" s="466"/>
      <c r="D24" s="388">
        <v>350</v>
      </c>
      <c r="E24" s="467"/>
    </row>
    <row r="25" spans="1:5" ht="12.75">
      <c r="A25" s="387" t="s">
        <v>621</v>
      </c>
      <c r="B25" s="388"/>
      <c r="C25" s="466"/>
      <c r="D25" s="388">
        <v>1000</v>
      </c>
      <c r="E25" s="467"/>
    </row>
    <row r="26" spans="1:5" ht="12.75">
      <c r="A26" s="387" t="s">
        <v>622</v>
      </c>
      <c r="B26" s="388"/>
      <c r="C26" s="466"/>
      <c r="D26" s="388">
        <v>559</v>
      </c>
      <c r="E26" s="467"/>
    </row>
    <row r="27" spans="1:5" ht="12.75">
      <c r="A27" s="387" t="s">
        <v>623</v>
      </c>
      <c r="B27" s="388"/>
      <c r="C27" s="466"/>
      <c r="D27" s="388">
        <v>150</v>
      </c>
      <c r="E27" s="467"/>
    </row>
    <row r="28" spans="1:5" s="401" customFormat="1" ht="12.75">
      <c r="A28" s="391" t="s">
        <v>580</v>
      </c>
      <c r="B28" s="392">
        <f>SUM(B9:B20)</f>
        <v>140403</v>
      </c>
      <c r="C28" s="468">
        <f>SUM(C9:C22)</f>
        <v>148697</v>
      </c>
      <c r="D28" s="468">
        <f>SUM(D9:D27)</f>
        <v>161854</v>
      </c>
      <c r="E28" s="469">
        <f>SUM(E9:E27)</f>
        <v>0</v>
      </c>
    </row>
    <row r="29" spans="1:5" ht="12.75">
      <c r="A29" s="387"/>
      <c r="B29" s="388"/>
      <c r="C29" s="466"/>
      <c r="D29" s="388"/>
      <c r="E29" s="467"/>
    </row>
    <row r="30" spans="1:5" ht="12.75">
      <c r="A30" s="391" t="s">
        <v>624</v>
      </c>
      <c r="B30" s="388"/>
      <c r="C30" s="466"/>
      <c r="D30" s="388"/>
      <c r="E30" s="467"/>
    </row>
    <row r="31" spans="1:5" ht="12.75">
      <c r="A31" s="387" t="s">
        <v>625</v>
      </c>
      <c r="B31" s="388">
        <v>3035</v>
      </c>
      <c r="C31" s="466">
        <v>3035</v>
      </c>
      <c r="D31" s="388">
        <v>3035</v>
      </c>
      <c r="E31" s="467"/>
    </row>
    <row r="32" spans="1:5" ht="12.75">
      <c r="A32" s="387" t="s">
        <v>626</v>
      </c>
      <c r="B32" s="388">
        <v>46933</v>
      </c>
      <c r="C32" s="466">
        <v>46933</v>
      </c>
      <c r="D32" s="388">
        <v>46933</v>
      </c>
      <c r="E32" s="467"/>
    </row>
    <row r="33" spans="1:5" ht="12.75">
      <c r="A33" s="387" t="s">
        <v>426</v>
      </c>
      <c r="B33" s="388">
        <v>320773</v>
      </c>
      <c r="C33" s="466">
        <v>320773</v>
      </c>
      <c r="D33" s="388">
        <v>320773</v>
      </c>
      <c r="E33" s="467">
        <v>301568</v>
      </c>
    </row>
    <row r="34" spans="1:5" ht="12.75">
      <c r="A34" s="387" t="s">
        <v>627</v>
      </c>
      <c r="B34" s="388">
        <v>699000</v>
      </c>
      <c r="C34" s="466">
        <v>699000</v>
      </c>
      <c r="D34" s="388">
        <v>699000</v>
      </c>
      <c r="E34" s="467">
        <v>699000</v>
      </c>
    </row>
    <row r="35" spans="1:5" ht="12.75">
      <c r="A35" s="387" t="s">
        <v>628</v>
      </c>
      <c r="B35" s="388">
        <v>43445</v>
      </c>
      <c r="C35" s="466">
        <v>43445</v>
      </c>
      <c r="D35" s="388">
        <v>43445</v>
      </c>
      <c r="E35" s="467"/>
    </row>
    <row r="36" spans="1:5" ht="12.75">
      <c r="A36" s="387" t="s">
        <v>629</v>
      </c>
      <c r="B36" s="388">
        <v>125177</v>
      </c>
      <c r="C36" s="466">
        <v>125177</v>
      </c>
      <c r="D36" s="388">
        <v>125177</v>
      </c>
      <c r="E36" s="467"/>
    </row>
    <row r="37" spans="1:5" ht="12.75">
      <c r="A37" s="387" t="s">
        <v>630</v>
      </c>
      <c r="B37" s="388">
        <v>39686</v>
      </c>
      <c r="C37" s="466">
        <v>39686</v>
      </c>
      <c r="D37" s="388">
        <v>39686</v>
      </c>
      <c r="E37" s="467"/>
    </row>
    <row r="38" spans="1:5" ht="12.75">
      <c r="A38" s="387" t="s">
        <v>631</v>
      </c>
      <c r="B38" s="388">
        <v>56264</v>
      </c>
      <c r="C38" s="466">
        <v>56264</v>
      </c>
      <c r="D38" s="388">
        <v>56264</v>
      </c>
      <c r="E38" s="467">
        <v>56264</v>
      </c>
    </row>
    <row r="39" spans="1:5" ht="12.75">
      <c r="A39" s="387" t="s">
        <v>632</v>
      </c>
      <c r="B39" s="388">
        <v>12000</v>
      </c>
      <c r="C39" s="466">
        <v>12000</v>
      </c>
      <c r="D39" s="388">
        <v>12000</v>
      </c>
      <c r="E39" s="467"/>
    </row>
    <row r="40" spans="1:5" ht="12.75">
      <c r="A40" s="387" t="s">
        <v>633</v>
      </c>
      <c r="B40" s="388"/>
      <c r="C40" s="466">
        <f>1010+9595+597</f>
        <v>11202</v>
      </c>
      <c r="D40" s="388">
        <v>11202</v>
      </c>
      <c r="E40" s="467"/>
    </row>
    <row r="41" spans="1:5" ht="12.75">
      <c r="A41" s="387" t="s">
        <v>634</v>
      </c>
      <c r="B41" s="388"/>
      <c r="C41" s="466"/>
      <c r="D41" s="388"/>
      <c r="E41" s="467"/>
    </row>
    <row r="42" spans="1:5" ht="12.75">
      <c r="A42" s="387" t="s">
        <v>635</v>
      </c>
      <c r="B42" s="388"/>
      <c r="C42" s="466"/>
      <c r="D42" s="388"/>
      <c r="E42" s="467"/>
    </row>
    <row r="43" spans="1:5" ht="12.75">
      <c r="A43" s="387" t="s">
        <v>636</v>
      </c>
      <c r="B43" s="388"/>
      <c r="C43" s="466"/>
      <c r="D43" s="388"/>
      <c r="E43" s="467"/>
    </row>
    <row r="44" spans="1:5" ht="12.75">
      <c r="A44" s="387" t="s">
        <v>609</v>
      </c>
      <c r="B44" s="388"/>
      <c r="C44" s="466"/>
      <c r="D44" s="388">
        <v>388</v>
      </c>
      <c r="E44" s="467"/>
    </row>
    <row r="45" spans="1:5" ht="12.75">
      <c r="A45" s="387" t="s">
        <v>611</v>
      </c>
      <c r="B45" s="388"/>
      <c r="C45" s="466"/>
      <c r="D45" s="388">
        <v>215</v>
      </c>
      <c r="E45" s="467"/>
    </row>
    <row r="46" spans="1:5" ht="12.75">
      <c r="A46" s="387" t="s">
        <v>333</v>
      </c>
      <c r="B46" s="388"/>
      <c r="C46" s="466"/>
      <c r="D46" s="388">
        <v>400</v>
      </c>
      <c r="E46" s="467"/>
    </row>
    <row r="47" spans="1:5" s="401" customFormat="1" ht="12.75">
      <c r="A47" s="391" t="s">
        <v>580</v>
      </c>
      <c r="B47" s="468">
        <f>SUM(B31:B46)</f>
        <v>1346313</v>
      </c>
      <c r="C47" s="468">
        <f>SUM(C31:C46)</f>
        <v>1357515</v>
      </c>
      <c r="D47" s="468">
        <f>SUM(D31:D46)</f>
        <v>1358518</v>
      </c>
      <c r="E47" s="469">
        <f>SUM(E31:E46)</f>
        <v>1056832</v>
      </c>
    </row>
    <row r="48" spans="1:5" ht="12.75">
      <c r="A48" s="387"/>
      <c r="B48" s="388"/>
      <c r="C48" s="466"/>
      <c r="D48" s="388"/>
      <c r="E48" s="467"/>
    </row>
    <row r="49" spans="1:5" ht="12.75">
      <c r="A49" s="391" t="s">
        <v>637</v>
      </c>
      <c r="B49" s="388"/>
      <c r="C49" s="466"/>
      <c r="D49" s="388"/>
      <c r="E49" s="467"/>
    </row>
    <row r="50" spans="1:5" ht="12.75">
      <c r="A50" s="387" t="s">
        <v>621</v>
      </c>
      <c r="B50" s="388">
        <v>1000</v>
      </c>
      <c r="C50" s="466">
        <v>1000</v>
      </c>
      <c r="D50" s="388">
        <v>0</v>
      </c>
      <c r="E50" s="467"/>
    </row>
    <row r="51" spans="1:5" ht="12.75">
      <c r="A51" s="387" t="s">
        <v>638</v>
      </c>
      <c r="B51" s="388">
        <v>1378</v>
      </c>
      <c r="C51" s="466">
        <v>1378</v>
      </c>
      <c r="D51" s="388">
        <v>1378</v>
      </c>
      <c r="E51" s="467"/>
    </row>
    <row r="52" spans="1:5" ht="12.75">
      <c r="A52" s="387" t="s">
        <v>639</v>
      </c>
      <c r="B52" s="388">
        <v>8692</v>
      </c>
      <c r="C52" s="466">
        <v>8692</v>
      </c>
      <c r="D52" s="388">
        <v>8692</v>
      </c>
      <c r="E52" s="467"/>
    </row>
    <row r="53" spans="1:5" ht="12.75">
      <c r="A53" s="387" t="s">
        <v>640</v>
      </c>
      <c r="B53" s="388">
        <v>9777</v>
      </c>
      <c r="C53" s="466">
        <v>9777</v>
      </c>
      <c r="D53" s="388">
        <v>9777</v>
      </c>
      <c r="E53" s="467"/>
    </row>
    <row r="54" spans="1:5" ht="12.75">
      <c r="A54" s="387" t="s">
        <v>641</v>
      </c>
      <c r="B54" s="388"/>
      <c r="C54" s="466"/>
      <c r="D54" s="388">
        <v>4764</v>
      </c>
      <c r="E54" s="467"/>
    </row>
    <row r="55" spans="1:5" s="401" customFormat="1" ht="12.75">
      <c r="A55" s="391" t="s">
        <v>580</v>
      </c>
      <c r="B55" s="392">
        <f>SUM(B50:B53)</f>
        <v>20847</v>
      </c>
      <c r="C55" s="468">
        <f>SUM(C50:C53)</f>
        <v>20847</v>
      </c>
      <c r="D55" s="468">
        <f>SUM(D50:D54)</f>
        <v>24611</v>
      </c>
      <c r="E55" s="469">
        <f>SUM(E50:E54)</f>
        <v>0</v>
      </c>
    </row>
    <row r="56" spans="1:5" ht="12.75">
      <c r="A56" s="387"/>
      <c r="B56" s="388"/>
      <c r="C56" s="466"/>
      <c r="D56" s="388"/>
      <c r="E56" s="467"/>
    </row>
    <row r="57" spans="1:5" ht="12.75">
      <c r="A57" s="391" t="s">
        <v>642</v>
      </c>
      <c r="B57" s="388"/>
      <c r="C57" s="466"/>
      <c r="D57" s="388"/>
      <c r="E57" s="467"/>
    </row>
    <row r="58" spans="1:5" ht="12.75">
      <c r="A58" s="387" t="s">
        <v>643</v>
      </c>
      <c r="B58" s="388">
        <v>1000</v>
      </c>
      <c r="C58" s="466">
        <v>1000</v>
      </c>
      <c r="D58" s="388">
        <v>1000</v>
      </c>
      <c r="E58" s="467"/>
    </row>
    <row r="59" spans="1:5" ht="12.75">
      <c r="A59" s="387" t="s">
        <v>644</v>
      </c>
      <c r="B59" s="388">
        <v>2468</v>
      </c>
      <c r="C59" s="466">
        <v>2468</v>
      </c>
      <c r="D59" s="388"/>
      <c r="E59" s="467"/>
    </row>
    <row r="60" spans="1:5" ht="12.75">
      <c r="A60" s="387" t="s">
        <v>645</v>
      </c>
      <c r="B60" s="388">
        <v>1000</v>
      </c>
      <c r="C60" s="466">
        <v>1000</v>
      </c>
      <c r="D60" s="388">
        <v>1000</v>
      </c>
      <c r="E60" s="467"/>
    </row>
    <row r="61" spans="1:5" ht="12.75">
      <c r="A61" s="387" t="s">
        <v>646</v>
      </c>
      <c r="B61" s="388">
        <v>397</v>
      </c>
      <c r="C61" s="466">
        <v>397</v>
      </c>
      <c r="D61" s="388">
        <v>397</v>
      </c>
      <c r="E61" s="467"/>
    </row>
    <row r="62" spans="1:5" s="401" customFormat="1" ht="12.75">
      <c r="A62" s="391" t="s">
        <v>580</v>
      </c>
      <c r="B62" s="392">
        <f>SUM(B58:B61)</f>
        <v>4865</v>
      </c>
      <c r="C62" s="468">
        <f>SUM(C58:C61)</f>
        <v>4865</v>
      </c>
      <c r="D62" s="468">
        <f>SUM(D58:D61)</f>
        <v>2397</v>
      </c>
      <c r="E62" s="469">
        <f>SUM(E58:E61)</f>
        <v>0</v>
      </c>
    </row>
    <row r="63" spans="1:5" ht="12.75">
      <c r="A63" s="387"/>
      <c r="B63" s="388"/>
      <c r="C63" s="466"/>
      <c r="D63" s="388"/>
      <c r="E63" s="467"/>
    </row>
    <row r="64" spans="1:5" ht="13.5">
      <c r="A64" s="402" t="s">
        <v>143</v>
      </c>
      <c r="B64" s="403">
        <f>SUM(B28,B47,B55,B62)</f>
        <v>1512428</v>
      </c>
      <c r="C64" s="470">
        <f>SUM(C28,C47,C55,C62)</f>
        <v>1531924</v>
      </c>
      <c r="D64" s="470">
        <f>SUM(D28,D47,D55,D62)</f>
        <v>1547380</v>
      </c>
      <c r="E64" s="471">
        <f>SUM(E28,E47,E55,E62)</f>
        <v>1056832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0972222222222223" right="0.2361111111111111" top="0.8659722222222223" bottom="0.9840277777777777" header="0.7479166666666667" footer="0.5118055555555555"/>
  <pageSetup horizontalDpi="300" verticalDpi="300" orientation="portrait" paperSize="9" scale="86"/>
  <headerFooter alignWithMargins="0">
    <oddHeader>&amp;L&amp;8 10. melléklet a 30/2011.(X.28.)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workbookViewId="0" topLeftCell="A1">
      <selection activeCell="D42" sqref="D42"/>
    </sheetView>
  </sheetViews>
  <sheetFormatPr defaultColWidth="9.00390625" defaultRowHeight="12.75"/>
  <cols>
    <col min="1" max="1" width="54.375" style="472" customWidth="1"/>
    <col min="2" max="3" width="16.75390625" style="472" customWidth="1"/>
    <col min="4" max="4" width="16.75390625" style="473" customWidth="1"/>
    <col min="5" max="16384" width="9.125" style="472" customWidth="1"/>
  </cols>
  <sheetData>
    <row r="1" ht="15.75">
      <c r="A1" s="474"/>
    </row>
    <row r="2" spans="1:4" ht="15" customHeight="1">
      <c r="A2" s="475" t="s">
        <v>647</v>
      </c>
      <c r="B2" s="475"/>
      <c r="C2" s="475"/>
      <c r="D2" s="475"/>
    </row>
    <row r="3" spans="1:2" ht="14.25" customHeight="1">
      <c r="A3" s="476"/>
      <c r="B3" s="477"/>
    </row>
    <row r="4" spans="1:4" ht="22.5" customHeight="1">
      <c r="A4" s="478" t="s">
        <v>648</v>
      </c>
      <c r="B4" s="186" t="s">
        <v>649</v>
      </c>
      <c r="C4" s="186"/>
      <c r="D4" s="479"/>
    </row>
    <row r="5" spans="1:4" ht="15" customHeight="1">
      <c r="A5" s="478"/>
      <c r="B5" s="367" t="s">
        <v>3</v>
      </c>
      <c r="C5" s="480" t="s">
        <v>102</v>
      </c>
      <c r="D5" s="481" t="s">
        <v>5</v>
      </c>
    </row>
    <row r="6" spans="1:4" ht="15" customHeight="1">
      <c r="A6" s="482" t="s">
        <v>650</v>
      </c>
      <c r="B6" s="483">
        <v>20</v>
      </c>
      <c r="C6" s="484">
        <v>20</v>
      </c>
      <c r="D6" s="485">
        <v>20</v>
      </c>
    </row>
    <row r="7" spans="1:4" ht="15" customHeight="1">
      <c r="A7" s="482" t="s">
        <v>651</v>
      </c>
      <c r="B7" s="483">
        <v>14</v>
      </c>
      <c r="C7" s="484">
        <v>14</v>
      </c>
      <c r="D7" s="485">
        <v>0</v>
      </c>
    </row>
    <row r="8" spans="1:4" ht="15" customHeight="1">
      <c r="A8" s="482" t="s">
        <v>652</v>
      </c>
      <c r="B8" s="483">
        <v>7</v>
      </c>
      <c r="C8" s="484">
        <v>7</v>
      </c>
      <c r="D8" s="485">
        <v>7</v>
      </c>
    </row>
    <row r="9" spans="1:4" ht="15" customHeight="1">
      <c r="A9" s="482" t="s">
        <v>653</v>
      </c>
      <c r="B9" s="483">
        <v>16.25</v>
      </c>
      <c r="C9" s="484">
        <v>16.25</v>
      </c>
      <c r="D9" s="485">
        <v>16.25</v>
      </c>
    </row>
    <row r="10" spans="1:4" ht="15" customHeight="1">
      <c r="A10" s="482" t="s">
        <v>654</v>
      </c>
      <c r="B10" s="483">
        <v>21</v>
      </c>
      <c r="C10" s="484">
        <v>21</v>
      </c>
      <c r="D10" s="485">
        <v>21</v>
      </c>
    </row>
    <row r="11" spans="1:4" ht="15" customHeight="1">
      <c r="A11" s="482" t="s">
        <v>655</v>
      </c>
      <c r="B11" s="483">
        <v>15.5</v>
      </c>
      <c r="C11" s="484">
        <v>15.5</v>
      </c>
      <c r="D11" s="485">
        <v>15.5</v>
      </c>
    </row>
    <row r="12" spans="1:4" ht="15" customHeight="1">
      <c r="A12" s="482" t="s">
        <v>656</v>
      </c>
      <c r="B12" s="483">
        <v>14</v>
      </c>
      <c r="C12" s="484">
        <v>14</v>
      </c>
      <c r="D12" s="485">
        <v>14</v>
      </c>
    </row>
    <row r="13" spans="1:4" ht="15" customHeight="1">
      <c r="A13" s="482" t="s">
        <v>657</v>
      </c>
      <c r="B13" s="483">
        <v>3.5</v>
      </c>
      <c r="C13" s="484">
        <v>3.5</v>
      </c>
      <c r="D13" s="485">
        <v>3.5</v>
      </c>
    </row>
    <row r="14" spans="1:4" ht="15" customHeight="1">
      <c r="A14" s="482" t="s">
        <v>487</v>
      </c>
      <c r="B14" s="483">
        <v>27</v>
      </c>
      <c r="C14" s="484">
        <v>32</v>
      </c>
      <c r="D14" s="485">
        <v>32</v>
      </c>
    </row>
    <row r="15" spans="1:4" ht="15" customHeight="1">
      <c r="A15" s="482" t="s">
        <v>658</v>
      </c>
      <c r="B15" s="483">
        <v>60.5</v>
      </c>
      <c r="C15" s="484">
        <v>60.5</v>
      </c>
      <c r="D15" s="485">
        <v>60.5</v>
      </c>
    </row>
    <row r="16" spans="1:4" ht="15" customHeight="1">
      <c r="A16" s="482" t="s">
        <v>659</v>
      </c>
      <c r="B16" s="483">
        <v>22</v>
      </c>
      <c r="C16" s="484">
        <v>22</v>
      </c>
      <c r="D16" s="485">
        <v>22</v>
      </c>
    </row>
    <row r="17" spans="1:4" ht="15" customHeight="1">
      <c r="A17" s="482" t="s">
        <v>660</v>
      </c>
      <c r="B17" s="483">
        <v>77.5</v>
      </c>
      <c r="C17" s="484">
        <v>77.5</v>
      </c>
      <c r="D17" s="485">
        <v>77.5</v>
      </c>
    </row>
    <row r="18" spans="1:4" ht="15" customHeight="1">
      <c r="A18" s="482" t="s">
        <v>661</v>
      </c>
      <c r="B18" s="483">
        <v>20</v>
      </c>
      <c r="C18" s="484">
        <v>20</v>
      </c>
      <c r="D18" s="485">
        <v>20</v>
      </c>
    </row>
    <row r="19" spans="1:4" ht="15" customHeight="1">
      <c r="A19" s="482" t="s">
        <v>662</v>
      </c>
      <c r="B19" s="483">
        <v>13</v>
      </c>
      <c r="C19" s="484">
        <v>13</v>
      </c>
      <c r="D19" s="485">
        <v>13</v>
      </c>
    </row>
    <row r="20" spans="1:4" ht="15" customHeight="1">
      <c r="A20" s="482" t="s">
        <v>663</v>
      </c>
      <c r="B20" s="483">
        <v>23</v>
      </c>
      <c r="C20" s="484">
        <v>23</v>
      </c>
      <c r="D20" s="485">
        <v>23</v>
      </c>
    </row>
    <row r="21" spans="1:4" ht="15.75" customHeight="1">
      <c r="A21" s="482" t="s">
        <v>664</v>
      </c>
      <c r="B21" s="483">
        <v>9.5</v>
      </c>
      <c r="C21" s="484">
        <v>9.5</v>
      </c>
      <c r="D21" s="485">
        <v>9.5</v>
      </c>
    </row>
    <row r="22" spans="1:4" ht="15" customHeight="1">
      <c r="A22" s="482" t="s">
        <v>665</v>
      </c>
      <c r="B22" s="483">
        <v>53.5</v>
      </c>
      <c r="C22" s="484">
        <v>53.5</v>
      </c>
      <c r="D22" s="485">
        <v>53.5</v>
      </c>
    </row>
    <row r="23" spans="1:4" ht="15" customHeight="1">
      <c r="A23" s="482" t="s">
        <v>666</v>
      </c>
      <c r="B23" s="483">
        <v>10</v>
      </c>
      <c r="C23" s="484">
        <v>10</v>
      </c>
      <c r="D23" s="485">
        <v>10</v>
      </c>
    </row>
    <row r="24" spans="1:4" ht="15" customHeight="1">
      <c r="A24" s="486" t="s">
        <v>667</v>
      </c>
      <c r="B24" s="487">
        <f>SUM(B6:B23)</f>
        <v>427.25</v>
      </c>
      <c r="C24" s="487">
        <f>SUM(C6:C23)</f>
        <v>432.25</v>
      </c>
      <c r="D24" s="488">
        <f>SUM(D6:D23)</f>
        <v>418.25</v>
      </c>
    </row>
    <row r="25" spans="1:4" ht="15" customHeight="1">
      <c r="A25" s="489" t="s">
        <v>12</v>
      </c>
      <c r="B25" s="487">
        <v>196</v>
      </c>
      <c r="C25" s="484">
        <v>196</v>
      </c>
      <c r="D25" s="485">
        <v>200</v>
      </c>
    </row>
    <row r="26" spans="1:4" ht="15" customHeight="1">
      <c r="A26" s="490" t="s">
        <v>668</v>
      </c>
      <c r="B26" s="491">
        <f>SUM(B24:B25)</f>
        <v>623.25</v>
      </c>
      <c r="C26" s="491">
        <f>SUM(C24:C25)</f>
        <v>628.25</v>
      </c>
      <c r="D26" s="492">
        <f>SUM(D24:D25)</f>
        <v>618.25</v>
      </c>
    </row>
    <row r="27" spans="1:4" ht="15" customHeight="1">
      <c r="A27" s="482"/>
      <c r="B27" s="483"/>
      <c r="C27" s="484"/>
      <c r="D27" s="485"/>
    </row>
    <row r="28" spans="1:4" ht="15" customHeight="1">
      <c r="A28" s="482" t="s">
        <v>669</v>
      </c>
      <c r="B28" s="483"/>
      <c r="C28" s="484"/>
      <c r="D28" s="485"/>
    </row>
    <row r="29" spans="1:4" ht="15" customHeight="1">
      <c r="A29" s="482" t="s">
        <v>670</v>
      </c>
      <c r="B29" s="483">
        <v>82</v>
      </c>
      <c r="C29" s="484">
        <v>82</v>
      </c>
      <c r="D29" s="485">
        <v>82</v>
      </c>
    </row>
    <row r="30" spans="1:4" ht="15" customHeight="1">
      <c r="A30" s="482" t="s">
        <v>671</v>
      </c>
      <c r="B30" s="483">
        <v>3</v>
      </c>
      <c r="C30" s="484">
        <v>3</v>
      </c>
      <c r="D30" s="485">
        <v>3</v>
      </c>
    </row>
    <row r="31" spans="1:4" ht="15" customHeight="1">
      <c r="A31" s="482" t="s">
        <v>672</v>
      </c>
      <c r="B31" s="483">
        <v>3</v>
      </c>
      <c r="C31" s="484">
        <v>3</v>
      </c>
      <c r="D31" s="485">
        <v>3</v>
      </c>
    </row>
    <row r="32" spans="1:4" s="496" customFormat="1" ht="15" customHeight="1">
      <c r="A32" s="493" t="s">
        <v>580</v>
      </c>
      <c r="B32" s="494">
        <f>SUM(B28:B31)</f>
        <v>88</v>
      </c>
      <c r="C32" s="494">
        <f>SUM(C28:C31)</f>
        <v>88</v>
      </c>
      <c r="D32" s="495">
        <f>SUM(D28:D31)</f>
        <v>88</v>
      </c>
    </row>
    <row r="33" spans="1:4" ht="15" customHeight="1">
      <c r="A33" s="482"/>
      <c r="B33" s="483"/>
      <c r="C33" s="484"/>
      <c r="D33" s="485"/>
    </row>
    <row r="34" spans="1:4" ht="15" customHeight="1">
      <c r="A34" s="497" t="s">
        <v>143</v>
      </c>
      <c r="B34" s="498">
        <f>SUM(B26+B32)</f>
        <v>711.25</v>
      </c>
      <c r="C34" s="498">
        <f>SUM(C26+C32)</f>
        <v>716.25</v>
      </c>
      <c r="D34" s="499">
        <f>SUM(D26+D32)</f>
        <v>706.25</v>
      </c>
    </row>
    <row r="35" spans="1:2" ht="19.5">
      <c r="A35" s="500"/>
      <c r="B35" s="501"/>
    </row>
    <row r="36" ht="15.75">
      <c r="A36" s="502"/>
    </row>
    <row r="37" spans="1:4" ht="14.25">
      <c r="A37" s="503" t="s">
        <v>673</v>
      </c>
      <c r="B37" s="503"/>
      <c r="C37" s="503"/>
      <c r="D37" s="503"/>
    </row>
    <row r="39" spans="1:4" ht="13.5">
      <c r="A39" s="504" t="s">
        <v>242</v>
      </c>
      <c r="B39" s="505" t="s">
        <v>674</v>
      </c>
      <c r="C39" s="505"/>
      <c r="D39" s="506" t="s">
        <v>5</v>
      </c>
    </row>
    <row r="40" spans="1:4" ht="12.75">
      <c r="A40" s="410" t="s">
        <v>675</v>
      </c>
      <c r="B40" s="507">
        <v>18</v>
      </c>
      <c r="C40" s="507">
        <v>18</v>
      </c>
      <c r="D40" s="485">
        <v>18</v>
      </c>
    </row>
    <row r="41" spans="1:4" ht="12.75">
      <c r="A41" s="410" t="s">
        <v>676</v>
      </c>
      <c r="B41" s="507">
        <v>57</v>
      </c>
      <c r="C41" s="507">
        <v>57</v>
      </c>
      <c r="D41" s="485">
        <v>57</v>
      </c>
    </row>
    <row r="42" spans="1:4" s="511" customFormat="1" ht="13.5">
      <c r="A42" s="508" t="s">
        <v>580</v>
      </c>
      <c r="B42" s="509">
        <f>SUM(B40:B41)</f>
        <v>75</v>
      </c>
      <c r="C42" s="509">
        <f>SUM(C40:C41)</f>
        <v>75</v>
      </c>
      <c r="D42" s="510">
        <f>SUM(D40:D41)</f>
        <v>75</v>
      </c>
    </row>
  </sheetData>
  <sheetProtection selectLockedCells="1" selectUnlockedCells="1"/>
  <mergeCells count="5">
    <mergeCell ref="A2:D2"/>
    <mergeCell ref="A4:A5"/>
    <mergeCell ref="B4:C4"/>
    <mergeCell ref="A37:D37"/>
    <mergeCell ref="B39:C39"/>
  </mergeCells>
  <printOptions horizontalCentered="1"/>
  <pageMargins left="0.5513888888888889" right="0.4722222222222222" top="0.9847222222222222" bottom="0.9840277777777777" header="0.7902777777777777" footer="0.5118055555555555"/>
  <pageSetup horizontalDpi="300" verticalDpi="300" orientation="portrait" paperSize="9" scale="88"/>
  <headerFooter alignWithMargins="0">
    <oddHeader>&amp;L&amp;8 11. melléklet a 30/2011.(X.28.)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7"/>
  <sheetViews>
    <sheetView view="pageBreakPreview" zoomScaleSheetLayoutView="100" workbookViewId="0" topLeftCell="A47">
      <pane xSplit="14159" topLeftCell="E47" activePane="topLeft" state="split"/>
      <selection pane="topLeft" activeCell="I105" sqref="I105"/>
      <selection pane="topRight" activeCell="E47" sqref="E47"/>
    </sheetView>
  </sheetViews>
  <sheetFormatPr defaultColWidth="9.00390625" defaultRowHeight="12.75"/>
  <cols>
    <col min="1" max="1" width="88.625" style="472" customWidth="1"/>
    <col min="2" max="5" width="13.25390625" style="512" customWidth="1"/>
    <col min="6" max="16384" width="9.125" style="472" customWidth="1"/>
  </cols>
  <sheetData>
    <row r="1" spans="1:2" ht="11.25" customHeight="1">
      <c r="A1" s="513"/>
      <c r="B1" s="513"/>
    </row>
    <row r="2" spans="1:4" ht="12.75">
      <c r="A2" s="513" t="s">
        <v>677</v>
      </c>
      <c r="B2" s="513"/>
      <c r="C2" s="513"/>
      <c r="D2" s="513"/>
    </row>
    <row r="3" spans="1:4" ht="12.75">
      <c r="A3" s="513"/>
      <c r="B3" s="513"/>
      <c r="C3" s="513"/>
      <c r="D3" s="513"/>
    </row>
    <row r="4" spans="1:2" ht="10.5" customHeight="1">
      <c r="A4" s="513"/>
      <c r="B4" s="514"/>
    </row>
    <row r="5" spans="1:4" ht="12.75">
      <c r="A5" s="513" t="s">
        <v>678</v>
      </c>
      <c r="B5" s="513"/>
      <c r="C5" s="513"/>
      <c r="D5" s="513"/>
    </row>
    <row r="6" spans="1:2" ht="12" customHeight="1">
      <c r="A6" s="515"/>
      <c r="B6" s="516"/>
    </row>
    <row r="7" spans="1:4" ht="13.5">
      <c r="A7" s="517" t="s">
        <v>679</v>
      </c>
      <c r="B7" s="518" t="s">
        <v>3</v>
      </c>
      <c r="C7" s="519" t="s">
        <v>680</v>
      </c>
      <c r="D7" s="520" t="s">
        <v>5</v>
      </c>
    </row>
    <row r="8" spans="1:4" ht="12.75">
      <c r="A8" s="410" t="s">
        <v>681</v>
      </c>
      <c r="B8" s="521">
        <v>410000</v>
      </c>
      <c r="C8" s="521">
        <v>414568</v>
      </c>
      <c r="D8" s="522">
        <v>414568</v>
      </c>
    </row>
    <row r="9" spans="1:4" ht="12.75">
      <c r="A9" s="410" t="s">
        <v>682</v>
      </c>
      <c r="B9" s="521">
        <v>6468</v>
      </c>
      <c r="C9" s="521">
        <v>6468</v>
      </c>
      <c r="D9" s="522">
        <v>6468</v>
      </c>
    </row>
    <row r="10" spans="1:4" ht="12.75">
      <c r="A10" s="410" t="s">
        <v>683</v>
      </c>
      <c r="B10" s="521">
        <v>3129</v>
      </c>
      <c r="C10" s="521">
        <v>3129</v>
      </c>
      <c r="D10" s="522">
        <v>3129</v>
      </c>
    </row>
    <row r="11" spans="1:4" ht="12.75">
      <c r="A11" s="410" t="s">
        <v>684</v>
      </c>
      <c r="B11" s="521">
        <v>28000</v>
      </c>
      <c r="C11" s="521">
        <v>28000</v>
      </c>
      <c r="D11" s="522">
        <v>28000</v>
      </c>
    </row>
    <row r="12" spans="1:4" ht="12.75">
      <c r="A12" s="410"/>
      <c r="B12" s="521"/>
      <c r="C12" s="521"/>
      <c r="D12" s="522"/>
    </row>
    <row r="13" spans="1:4" ht="12.75">
      <c r="A13" s="410" t="s">
        <v>685</v>
      </c>
      <c r="B13" s="521"/>
      <c r="C13" s="521"/>
      <c r="D13" s="522"/>
    </row>
    <row r="14" spans="1:4" ht="13.5">
      <c r="A14" s="523" t="s">
        <v>686</v>
      </c>
      <c r="B14" s="524">
        <f>SUM(B15:B19)</f>
        <v>256498</v>
      </c>
      <c r="C14" s="524">
        <f>SUM(C15:C19)</f>
        <v>256498</v>
      </c>
      <c r="D14" s="525">
        <f>SUM(D15:D20)</f>
        <v>256498</v>
      </c>
    </row>
    <row r="15" spans="1:4" ht="12.75">
      <c r="A15" s="410" t="s">
        <v>626</v>
      </c>
      <c r="B15" s="521">
        <v>46933</v>
      </c>
      <c r="C15" s="521">
        <v>46933</v>
      </c>
      <c r="D15" s="522">
        <v>46933</v>
      </c>
    </row>
    <row r="16" spans="1:4" ht="12.75">
      <c r="A16" s="410" t="s">
        <v>628</v>
      </c>
      <c r="B16" s="521">
        <v>43445</v>
      </c>
      <c r="C16" s="521">
        <v>43445</v>
      </c>
      <c r="D16" s="522">
        <v>43445</v>
      </c>
    </row>
    <row r="17" spans="1:4" ht="12.75">
      <c r="A17" s="410" t="s">
        <v>629</v>
      </c>
      <c r="B17" s="521">
        <v>125177</v>
      </c>
      <c r="C17" s="521">
        <v>125177</v>
      </c>
      <c r="D17" s="522">
        <v>125177</v>
      </c>
    </row>
    <row r="18" spans="1:4" ht="12.75">
      <c r="A18" s="410" t="s">
        <v>630</v>
      </c>
      <c r="B18" s="521">
        <v>39686</v>
      </c>
      <c r="C18" s="521">
        <v>39686</v>
      </c>
      <c r="D18" s="522">
        <v>39686</v>
      </c>
    </row>
    <row r="19" spans="1:4" ht="12.75">
      <c r="A19" s="410" t="s">
        <v>687</v>
      </c>
      <c r="B19" s="521">
        <v>1257</v>
      </c>
      <c r="C19" s="521">
        <v>1257</v>
      </c>
      <c r="D19" s="522">
        <v>1257</v>
      </c>
    </row>
    <row r="20" spans="1:4" ht="12.75">
      <c r="A20" s="526"/>
      <c r="B20" s="527"/>
      <c r="C20" s="527"/>
      <c r="D20" s="528"/>
    </row>
    <row r="21" spans="1:4" ht="13.5">
      <c r="A21" s="529" t="s">
        <v>580</v>
      </c>
      <c r="B21" s="530">
        <f>SUM(B8:B11)+B14</f>
        <v>704095</v>
      </c>
      <c r="C21" s="530">
        <f>SUM(C8:C11)+C14</f>
        <v>708663</v>
      </c>
      <c r="D21" s="531">
        <f>SUM(D8:D13)+D14</f>
        <v>708663</v>
      </c>
    </row>
    <row r="22" spans="1:4" ht="21" customHeight="1">
      <c r="A22" s="532" t="s">
        <v>688</v>
      </c>
      <c r="B22" s="533" t="s">
        <v>3</v>
      </c>
      <c r="C22" s="534" t="s">
        <v>680</v>
      </c>
      <c r="D22" s="535" t="s">
        <v>5</v>
      </c>
    </row>
    <row r="23" spans="1:4" ht="12.75" customHeight="1">
      <c r="A23" s="536"/>
      <c r="B23" s="537"/>
      <c r="C23" s="538"/>
      <c r="D23" s="539"/>
    </row>
    <row r="24" spans="1:5" s="543" customFormat="1" ht="15" customHeight="1">
      <c r="A24" s="540" t="s">
        <v>689</v>
      </c>
      <c r="B24" s="541">
        <v>62072</v>
      </c>
      <c r="C24" s="541">
        <v>62072</v>
      </c>
      <c r="D24" s="525">
        <v>62072</v>
      </c>
      <c r="E24" s="542"/>
    </row>
    <row r="25" spans="1:4" ht="12.75" customHeight="1">
      <c r="A25" s="544"/>
      <c r="B25" s="545"/>
      <c r="C25" s="521"/>
      <c r="D25" s="522"/>
    </row>
    <row r="26" spans="1:5" s="543" customFormat="1" ht="15" customHeight="1">
      <c r="A26" s="540" t="s">
        <v>690</v>
      </c>
      <c r="B26" s="541">
        <v>12000</v>
      </c>
      <c r="C26" s="541">
        <v>12000</v>
      </c>
      <c r="D26" s="525">
        <v>12000</v>
      </c>
      <c r="E26" s="542"/>
    </row>
    <row r="27" spans="1:4" ht="12.75" customHeight="1">
      <c r="A27" s="544"/>
      <c r="B27" s="545"/>
      <c r="C27" s="521"/>
      <c r="D27" s="522"/>
    </row>
    <row r="28" spans="1:4" ht="12.75">
      <c r="A28" s="546" t="s">
        <v>691</v>
      </c>
      <c r="B28" s="547">
        <f>SUM(B29:B43)</f>
        <v>364563</v>
      </c>
      <c r="C28" s="547">
        <f>SUM(C29:C44)</f>
        <v>380563</v>
      </c>
      <c r="D28" s="548">
        <f>SUM(D29:D45)</f>
        <v>390457</v>
      </c>
    </row>
    <row r="29" spans="1:4" ht="12.75">
      <c r="A29" s="410" t="s">
        <v>692</v>
      </c>
      <c r="B29" s="521">
        <v>10500</v>
      </c>
      <c r="C29" s="521">
        <v>10500</v>
      </c>
      <c r="D29" s="522">
        <v>10500</v>
      </c>
    </row>
    <row r="30" spans="1:4" ht="12.75">
      <c r="A30" s="410" t="s">
        <v>693</v>
      </c>
      <c r="B30" s="521">
        <v>80000</v>
      </c>
      <c r="C30" s="521">
        <v>80000</v>
      </c>
      <c r="D30" s="522">
        <v>65000</v>
      </c>
    </row>
    <row r="31" spans="1:4" ht="12.75">
      <c r="A31" s="410" t="s">
        <v>430</v>
      </c>
      <c r="B31" s="521">
        <v>146343</v>
      </c>
      <c r="C31" s="521">
        <v>146343</v>
      </c>
      <c r="D31" s="522">
        <v>143534</v>
      </c>
    </row>
    <row r="32" spans="1:4" ht="12.75">
      <c r="A32" s="399" t="s">
        <v>431</v>
      </c>
      <c r="B32" s="521">
        <v>59352</v>
      </c>
      <c r="C32" s="521">
        <v>59352</v>
      </c>
      <c r="D32" s="522">
        <v>58386</v>
      </c>
    </row>
    <row r="33" spans="1:4" ht="12.75">
      <c r="A33" s="397" t="s">
        <v>694</v>
      </c>
      <c r="B33" s="388">
        <v>3000</v>
      </c>
      <c r="C33" s="388">
        <v>3000</v>
      </c>
      <c r="D33" s="522">
        <v>3000</v>
      </c>
    </row>
    <row r="34" spans="1:4" ht="12.75">
      <c r="A34" s="397" t="s">
        <v>425</v>
      </c>
      <c r="B34" s="388">
        <v>20000</v>
      </c>
      <c r="C34" s="388">
        <v>20000</v>
      </c>
      <c r="D34" s="522">
        <v>20000</v>
      </c>
    </row>
    <row r="35" spans="1:4" ht="12.75">
      <c r="A35" s="397" t="s">
        <v>695</v>
      </c>
      <c r="B35" s="388">
        <v>5813</v>
      </c>
      <c r="C35" s="388">
        <v>5813</v>
      </c>
      <c r="D35" s="522">
        <v>5813</v>
      </c>
    </row>
    <row r="36" spans="1:4" ht="12.75">
      <c r="A36" s="397" t="s">
        <v>696</v>
      </c>
      <c r="B36" s="388">
        <v>1250</v>
      </c>
      <c r="C36" s="388">
        <v>1250</v>
      </c>
      <c r="D36" s="522">
        <v>1250</v>
      </c>
    </row>
    <row r="37" spans="1:4" ht="12.75">
      <c r="A37" s="397" t="s">
        <v>697</v>
      </c>
      <c r="B37" s="388">
        <v>18750</v>
      </c>
      <c r="C37" s="388">
        <v>18750</v>
      </c>
      <c r="D37" s="522">
        <v>18750</v>
      </c>
    </row>
    <row r="38" spans="1:4" ht="12.75">
      <c r="A38" s="397" t="s">
        <v>698</v>
      </c>
      <c r="B38" s="388">
        <v>8750</v>
      </c>
      <c r="C38" s="388">
        <v>8750</v>
      </c>
      <c r="D38" s="522">
        <v>8750</v>
      </c>
    </row>
    <row r="39" spans="1:4" ht="12.75">
      <c r="A39" s="387" t="s">
        <v>699</v>
      </c>
      <c r="B39" s="388">
        <v>1000</v>
      </c>
      <c r="C39" s="388">
        <v>1000</v>
      </c>
      <c r="D39" s="522">
        <v>1000</v>
      </c>
    </row>
    <row r="40" spans="1:4" ht="12.75">
      <c r="A40" s="397" t="s">
        <v>700</v>
      </c>
      <c r="B40" s="521">
        <v>3865</v>
      </c>
      <c r="C40" s="521">
        <v>3865</v>
      </c>
      <c r="D40" s="522">
        <v>3865</v>
      </c>
    </row>
    <row r="41" spans="1:4" ht="12.75">
      <c r="A41" s="387" t="s">
        <v>433</v>
      </c>
      <c r="B41" s="521">
        <v>1240</v>
      </c>
      <c r="C41" s="521">
        <v>1240</v>
      </c>
      <c r="D41" s="522">
        <v>1240</v>
      </c>
    </row>
    <row r="42" spans="1:4" ht="12.75">
      <c r="A42" s="410" t="s">
        <v>426</v>
      </c>
      <c r="B42" s="521">
        <v>3331</v>
      </c>
      <c r="C42" s="521">
        <v>3331</v>
      </c>
      <c r="D42" s="522">
        <v>3331</v>
      </c>
    </row>
    <row r="43" spans="1:4" ht="12.75">
      <c r="A43" s="410" t="s">
        <v>701</v>
      </c>
      <c r="B43" s="521">
        <v>1369</v>
      </c>
      <c r="C43" s="521">
        <v>1369</v>
      </c>
      <c r="D43" s="522">
        <v>1369</v>
      </c>
    </row>
    <row r="44" spans="1:4" ht="12.75">
      <c r="A44" s="410" t="s">
        <v>702</v>
      </c>
      <c r="B44" s="521"/>
      <c r="C44" s="521">
        <v>16000</v>
      </c>
      <c r="D44" s="522">
        <v>16000</v>
      </c>
    </row>
    <row r="45" spans="1:4" ht="12.75">
      <c r="A45" s="410" t="s">
        <v>703</v>
      </c>
      <c r="B45" s="521"/>
      <c r="C45" s="521"/>
      <c r="D45" s="522">
        <v>28669</v>
      </c>
    </row>
    <row r="46" spans="1:4" ht="12.75">
      <c r="A46" s="397"/>
      <c r="B46" s="388"/>
      <c r="C46" s="521"/>
      <c r="D46" s="522"/>
    </row>
    <row r="47" spans="1:4" ht="12.75">
      <c r="A47" s="549" t="s">
        <v>704</v>
      </c>
      <c r="B47" s="392">
        <f>SUM(B48:B54)</f>
        <v>39841</v>
      </c>
      <c r="C47" s="392">
        <f>SUM(C48:C54)</f>
        <v>39841</v>
      </c>
      <c r="D47" s="393">
        <f>SUM(D48:D54)</f>
        <v>39841</v>
      </c>
    </row>
    <row r="48" spans="1:4" ht="12.75">
      <c r="A48" s="397" t="s">
        <v>705</v>
      </c>
      <c r="B48" s="388">
        <v>3500</v>
      </c>
      <c r="C48" s="388">
        <v>3500</v>
      </c>
      <c r="D48" s="522">
        <v>3500</v>
      </c>
    </row>
    <row r="49" spans="1:4" ht="12.75">
      <c r="A49" s="397" t="s">
        <v>706</v>
      </c>
      <c r="B49" s="388">
        <v>7000</v>
      </c>
      <c r="C49" s="388">
        <v>7000</v>
      </c>
      <c r="D49" s="522">
        <v>7000</v>
      </c>
    </row>
    <row r="50" spans="1:4" ht="12.75">
      <c r="A50" s="397" t="s">
        <v>707</v>
      </c>
      <c r="B50" s="388">
        <v>1000</v>
      </c>
      <c r="C50" s="388">
        <v>1000</v>
      </c>
      <c r="D50" s="522">
        <v>1000</v>
      </c>
    </row>
    <row r="51" spans="1:4" ht="12.75">
      <c r="A51" s="397" t="s">
        <v>708</v>
      </c>
      <c r="B51" s="388">
        <v>1000</v>
      </c>
      <c r="C51" s="388">
        <v>1000</v>
      </c>
      <c r="D51" s="522">
        <v>1000</v>
      </c>
    </row>
    <row r="52" spans="1:4" ht="12.75">
      <c r="A52" s="397" t="s">
        <v>709</v>
      </c>
      <c r="B52" s="388">
        <v>13760</v>
      </c>
      <c r="C52" s="388">
        <v>13760</v>
      </c>
      <c r="D52" s="522">
        <v>13760</v>
      </c>
    </row>
    <row r="53" spans="1:4" ht="12.75">
      <c r="A53" s="397" t="s">
        <v>395</v>
      </c>
      <c r="B53" s="388">
        <v>10000</v>
      </c>
      <c r="C53" s="388">
        <v>10000</v>
      </c>
      <c r="D53" s="522">
        <v>10000</v>
      </c>
    </row>
    <row r="54" spans="1:4" ht="12.75">
      <c r="A54" s="397" t="s">
        <v>710</v>
      </c>
      <c r="B54" s="388">
        <v>3581</v>
      </c>
      <c r="C54" s="388">
        <v>3581</v>
      </c>
      <c r="D54" s="522">
        <v>3581</v>
      </c>
    </row>
    <row r="55" spans="1:4" ht="12.75">
      <c r="A55" s="397"/>
      <c r="B55" s="388"/>
      <c r="C55" s="521"/>
      <c r="D55" s="522"/>
    </row>
    <row r="56" spans="1:4" ht="12.75">
      <c r="A56" s="549" t="s">
        <v>711</v>
      </c>
      <c r="B56" s="392">
        <f>SUM(B57:B65)</f>
        <v>222869</v>
      </c>
      <c r="C56" s="392">
        <f>SUM(C57:C65)</f>
        <v>206869</v>
      </c>
      <c r="D56" s="393">
        <f>SUM(D57:D65)</f>
        <v>193200</v>
      </c>
    </row>
    <row r="57" spans="1:4" ht="12.75">
      <c r="A57" s="397" t="s">
        <v>592</v>
      </c>
      <c r="B57" s="388">
        <v>28000</v>
      </c>
      <c r="C57" s="388">
        <v>28000</v>
      </c>
      <c r="D57" s="522">
        <v>28000</v>
      </c>
    </row>
    <row r="58" spans="1:4" ht="12.75">
      <c r="A58" s="397" t="s">
        <v>712</v>
      </c>
      <c r="B58" s="388">
        <v>36000</v>
      </c>
      <c r="C58" s="388">
        <v>36000</v>
      </c>
      <c r="D58" s="522">
        <v>36000</v>
      </c>
    </row>
    <row r="59" spans="1:4" ht="12.75">
      <c r="A59" s="397" t="s">
        <v>595</v>
      </c>
      <c r="B59" s="388">
        <v>2200</v>
      </c>
      <c r="C59" s="388">
        <v>2200</v>
      </c>
      <c r="D59" s="522">
        <v>2200</v>
      </c>
    </row>
    <row r="60" spans="1:4" ht="12.75">
      <c r="A60" s="397" t="s">
        <v>596</v>
      </c>
      <c r="B60" s="388">
        <v>3536</v>
      </c>
      <c r="C60" s="388">
        <v>3536</v>
      </c>
      <c r="D60" s="522">
        <v>3536</v>
      </c>
    </row>
    <row r="61" spans="1:4" ht="12.75">
      <c r="A61" s="397" t="s">
        <v>597</v>
      </c>
      <c r="B61" s="388">
        <v>4500</v>
      </c>
      <c r="C61" s="388">
        <v>4500</v>
      </c>
      <c r="D61" s="522">
        <v>4500</v>
      </c>
    </row>
    <row r="62" spans="1:4" ht="12.75">
      <c r="A62" s="397" t="s">
        <v>713</v>
      </c>
      <c r="B62" s="388">
        <v>21183</v>
      </c>
      <c r="C62" s="521">
        <v>5183</v>
      </c>
      <c r="D62" s="522">
        <v>20183</v>
      </c>
    </row>
    <row r="63" spans="1:4" ht="12.75">
      <c r="A63" s="397" t="s">
        <v>714</v>
      </c>
      <c r="B63" s="388">
        <v>65875</v>
      </c>
      <c r="C63" s="388">
        <v>65875</v>
      </c>
      <c r="D63" s="522">
        <v>37206</v>
      </c>
    </row>
    <row r="64" spans="1:4" ht="12.75">
      <c r="A64" s="397" t="s">
        <v>715</v>
      </c>
      <c r="B64" s="388">
        <v>60000</v>
      </c>
      <c r="C64" s="388">
        <v>60000</v>
      </c>
      <c r="D64" s="522">
        <v>60000</v>
      </c>
    </row>
    <row r="65" spans="1:4" ht="12.75">
      <c r="A65" s="397" t="s">
        <v>716</v>
      </c>
      <c r="B65" s="388">
        <v>1575</v>
      </c>
      <c r="C65" s="388">
        <v>1575</v>
      </c>
      <c r="D65" s="522">
        <v>1575</v>
      </c>
    </row>
    <row r="66" spans="1:4" ht="12.75">
      <c r="A66" s="410"/>
      <c r="B66" s="521"/>
      <c r="C66" s="521"/>
      <c r="D66" s="522"/>
    </row>
    <row r="67" spans="1:4" ht="12.75">
      <c r="A67" s="546" t="s">
        <v>717</v>
      </c>
      <c r="B67" s="547"/>
      <c r="C67" s="547">
        <v>7318</v>
      </c>
      <c r="D67" s="548">
        <v>7318</v>
      </c>
    </row>
    <row r="68" spans="1:4" ht="12.75">
      <c r="A68" s="546" t="s">
        <v>718</v>
      </c>
      <c r="B68" s="547"/>
      <c r="C68" s="547"/>
      <c r="D68" s="548">
        <v>2809</v>
      </c>
    </row>
    <row r="69" spans="1:4" ht="12.75">
      <c r="A69" s="546" t="s">
        <v>719</v>
      </c>
      <c r="B69" s="547"/>
      <c r="C69" s="547"/>
      <c r="D69" s="548">
        <v>966</v>
      </c>
    </row>
    <row r="70" spans="1:4" ht="12.75">
      <c r="A70" s="410"/>
      <c r="B70" s="521"/>
      <c r="C70" s="521"/>
      <c r="D70" s="522"/>
    </row>
    <row r="71" spans="1:4" ht="12.75">
      <c r="A71" s="546" t="s">
        <v>720</v>
      </c>
      <c r="B71" s="547">
        <f>SUM(B24+B26+B28+B47+B56)</f>
        <v>701345</v>
      </c>
      <c r="C71" s="547">
        <f>SUM(C24+C26+C28+C47+C56+C67)</f>
        <v>708663</v>
      </c>
      <c r="D71" s="548">
        <f>SUM(D24+D26+D28+D47+D56+D67+D68+D69)</f>
        <v>708663</v>
      </c>
    </row>
    <row r="72" spans="1:4" ht="12.75">
      <c r="A72" s="410"/>
      <c r="B72" s="521"/>
      <c r="C72" s="521"/>
      <c r="D72" s="522"/>
    </row>
    <row r="73" spans="1:4" ht="13.5">
      <c r="A73" s="508" t="s">
        <v>721</v>
      </c>
      <c r="B73" s="550">
        <f>B21-B71</f>
        <v>2750</v>
      </c>
      <c r="C73" s="550">
        <f>C21-C71</f>
        <v>0</v>
      </c>
      <c r="D73" s="551">
        <f>D21-D71</f>
        <v>0</v>
      </c>
    </row>
    <row r="74" spans="1:2" ht="13.5">
      <c r="A74" s="552"/>
      <c r="B74" s="553"/>
    </row>
    <row r="75" s="472" customFormat="1" ht="12.75">
      <c r="E75" s="512"/>
    </row>
    <row r="76" spans="1:4" ht="12.75">
      <c r="A76" s="513" t="s">
        <v>722</v>
      </c>
      <c r="B76" s="513"/>
      <c r="C76" s="513"/>
      <c r="D76" s="513"/>
    </row>
    <row r="77" spans="1:5" ht="13.5">
      <c r="A77" s="554"/>
      <c r="B77" s="555"/>
      <c r="D77" s="556" t="s">
        <v>723</v>
      </c>
      <c r="E77" s="556" t="s">
        <v>724</v>
      </c>
    </row>
    <row r="78" spans="1:5" ht="13.5">
      <c r="A78" s="517" t="s">
        <v>725</v>
      </c>
      <c r="B78" s="518" t="s">
        <v>3</v>
      </c>
      <c r="C78" s="557" t="s">
        <v>680</v>
      </c>
      <c r="D78" s="518" t="s">
        <v>5</v>
      </c>
      <c r="E78" s="558" t="s">
        <v>5</v>
      </c>
    </row>
    <row r="79" spans="1:5" ht="12.75">
      <c r="A79" s="546" t="s">
        <v>679</v>
      </c>
      <c r="B79" s="559">
        <f>SUM(B80)</f>
        <v>1000000</v>
      </c>
      <c r="C79" s="560">
        <f>SUM(C80)</f>
        <v>1000000</v>
      </c>
      <c r="D79" s="560">
        <f>SUM(D80)</f>
        <v>1000000</v>
      </c>
      <c r="E79" s="539"/>
    </row>
    <row r="80" spans="1:5" ht="12.75">
      <c r="A80" s="410" t="s">
        <v>726</v>
      </c>
      <c r="B80" s="521">
        <v>1000000</v>
      </c>
      <c r="C80" s="561">
        <v>1000000</v>
      </c>
      <c r="D80" s="561">
        <v>1000000</v>
      </c>
      <c r="E80" s="522"/>
    </row>
    <row r="81" spans="1:5" ht="12.75">
      <c r="A81" s="546"/>
      <c r="B81" s="547"/>
      <c r="C81" s="561"/>
      <c r="D81" s="561"/>
      <c r="E81" s="522"/>
    </row>
    <row r="82" spans="1:5" ht="12.75">
      <c r="A82" s="546" t="s">
        <v>727</v>
      </c>
      <c r="B82" s="547">
        <f>SUM(B83:B86)</f>
        <v>1232286</v>
      </c>
      <c r="C82" s="562">
        <f>SUM(C83:C86)</f>
        <v>1232286</v>
      </c>
      <c r="D82" s="562">
        <f>SUM(D83:D86)</f>
        <v>1056832</v>
      </c>
      <c r="E82" s="548">
        <f>SUM(E83:E86)</f>
        <v>175454</v>
      </c>
    </row>
    <row r="83" spans="1:5" ht="12.75">
      <c r="A83" s="410" t="s">
        <v>728</v>
      </c>
      <c r="B83" s="521">
        <v>56264</v>
      </c>
      <c r="C83" s="561">
        <v>56264</v>
      </c>
      <c r="D83" s="561">
        <v>56264</v>
      </c>
      <c r="E83" s="522"/>
    </row>
    <row r="84" spans="1:5" ht="12.75">
      <c r="A84" s="410" t="s">
        <v>426</v>
      </c>
      <c r="B84" s="521">
        <v>319516</v>
      </c>
      <c r="C84" s="561">
        <v>319516</v>
      </c>
      <c r="D84" s="561">
        <v>301568</v>
      </c>
      <c r="E84" s="522">
        <v>17948</v>
      </c>
    </row>
    <row r="85" spans="1:5" ht="12.75">
      <c r="A85" s="410" t="s">
        <v>701</v>
      </c>
      <c r="B85" s="521">
        <v>699000</v>
      </c>
      <c r="C85" s="561">
        <v>699000</v>
      </c>
      <c r="D85" s="561">
        <v>699000</v>
      </c>
      <c r="E85" s="522"/>
    </row>
    <row r="86" spans="1:5" ht="12.75">
      <c r="A86" s="410" t="s">
        <v>729</v>
      </c>
      <c r="B86" s="521">
        <v>157506</v>
      </c>
      <c r="C86" s="561">
        <v>157506</v>
      </c>
      <c r="D86" s="561">
        <v>0</v>
      </c>
      <c r="E86" s="522">
        <v>157506</v>
      </c>
    </row>
    <row r="87" spans="1:5" ht="12.75">
      <c r="A87" s="410"/>
      <c r="B87" s="521"/>
      <c r="C87" s="561"/>
      <c r="D87" s="561"/>
      <c r="E87" s="522"/>
    </row>
    <row r="88" spans="1:5" ht="13.5">
      <c r="A88" s="546" t="s">
        <v>580</v>
      </c>
      <c r="B88" s="547">
        <f>SUM(B79+B82)</f>
        <v>2232286</v>
      </c>
      <c r="C88" s="562">
        <f>SUM(C79+C82)</f>
        <v>2232286</v>
      </c>
      <c r="D88" s="563">
        <f>SUM(D79+D82)</f>
        <v>2056832</v>
      </c>
      <c r="E88" s="531">
        <f>SUM(E79+E82)</f>
        <v>175454</v>
      </c>
    </row>
    <row r="89" spans="1:5" ht="12.75">
      <c r="A89" s="564" t="s">
        <v>730</v>
      </c>
      <c r="B89" s="565" t="s">
        <v>3</v>
      </c>
      <c r="C89" s="566" t="s">
        <v>680</v>
      </c>
      <c r="D89" s="567" t="s">
        <v>5</v>
      </c>
      <c r="E89" s="539"/>
    </row>
    <row r="90" spans="1:5" ht="12.75">
      <c r="A90" s="544"/>
      <c r="B90" s="545"/>
      <c r="C90" s="561"/>
      <c r="D90" s="561"/>
      <c r="E90" s="522"/>
    </row>
    <row r="91" spans="1:5" ht="12.75">
      <c r="A91" s="546" t="s">
        <v>691</v>
      </c>
      <c r="B91" s="547">
        <f>SUM(B92:B101)</f>
        <v>2120550</v>
      </c>
      <c r="C91" s="562">
        <f>SUM(C92:C101)</f>
        <v>2120550</v>
      </c>
      <c r="D91" s="562">
        <f>SUM(D92:D101)</f>
        <v>1955048</v>
      </c>
      <c r="E91" s="548">
        <f>SUM(E92:E101)</f>
        <v>165502</v>
      </c>
    </row>
    <row r="92" spans="1:5" ht="12.75">
      <c r="A92" s="410" t="s">
        <v>701</v>
      </c>
      <c r="B92" s="521">
        <v>1248631</v>
      </c>
      <c r="C92" s="561">
        <v>1248631</v>
      </c>
      <c r="D92" s="561">
        <v>1248631</v>
      </c>
      <c r="E92" s="522"/>
    </row>
    <row r="93" spans="1:5" ht="12.75">
      <c r="A93" s="410" t="s">
        <v>426</v>
      </c>
      <c r="B93" s="521">
        <v>714669</v>
      </c>
      <c r="C93" s="561">
        <v>714669</v>
      </c>
      <c r="D93" s="561">
        <v>569617</v>
      </c>
      <c r="E93" s="522">
        <v>145502</v>
      </c>
    </row>
    <row r="94" spans="1:5" ht="12.75">
      <c r="A94" s="387" t="s">
        <v>731</v>
      </c>
      <c r="B94" s="521">
        <v>130000</v>
      </c>
      <c r="C94" s="561">
        <v>130000</v>
      </c>
      <c r="D94" s="561">
        <v>110000</v>
      </c>
      <c r="E94" s="522">
        <v>20000</v>
      </c>
    </row>
    <row r="95" spans="1:5" ht="12.75">
      <c r="A95" s="387" t="s">
        <v>434</v>
      </c>
      <c r="B95" s="521">
        <v>450</v>
      </c>
      <c r="C95" s="561">
        <v>450</v>
      </c>
      <c r="D95" s="561"/>
      <c r="E95" s="522"/>
    </row>
    <row r="96" spans="1:5" ht="12.75">
      <c r="A96" s="387" t="s">
        <v>475</v>
      </c>
      <c r="B96" s="521">
        <v>4000</v>
      </c>
      <c r="C96" s="561">
        <v>4000</v>
      </c>
      <c r="D96" s="561">
        <v>4000</v>
      </c>
      <c r="E96" s="522"/>
    </row>
    <row r="97" spans="1:5" ht="12.75">
      <c r="A97" s="387" t="s">
        <v>476</v>
      </c>
      <c r="B97" s="521">
        <v>800</v>
      </c>
      <c r="C97" s="561">
        <v>800</v>
      </c>
      <c r="D97" s="561">
        <v>800</v>
      </c>
      <c r="E97" s="522"/>
    </row>
    <row r="98" spans="1:5" ht="12.75">
      <c r="A98" s="387" t="s">
        <v>478</v>
      </c>
      <c r="B98" s="521"/>
      <c r="C98" s="561"/>
      <c r="D98" s="561"/>
      <c r="E98" s="522"/>
    </row>
    <row r="99" spans="1:5" ht="12.75">
      <c r="A99" s="387" t="s">
        <v>479</v>
      </c>
      <c r="B99" s="521">
        <v>8000</v>
      </c>
      <c r="C99" s="561">
        <v>8000</v>
      </c>
      <c r="D99" s="561">
        <v>8000</v>
      </c>
      <c r="E99" s="522"/>
    </row>
    <row r="100" spans="1:5" ht="12.75">
      <c r="A100" s="387" t="s">
        <v>480</v>
      </c>
      <c r="B100" s="521">
        <v>10000</v>
      </c>
      <c r="C100" s="561">
        <v>10000</v>
      </c>
      <c r="D100" s="561">
        <v>10000</v>
      </c>
      <c r="E100" s="522"/>
    </row>
    <row r="101" spans="1:5" ht="12.75">
      <c r="A101" s="387" t="s">
        <v>481</v>
      </c>
      <c r="B101" s="521">
        <v>4000</v>
      </c>
      <c r="C101" s="561">
        <v>4000</v>
      </c>
      <c r="D101" s="561">
        <v>4000</v>
      </c>
      <c r="E101" s="522"/>
    </row>
    <row r="102" spans="1:5" ht="12.75">
      <c r="A102" s="387"/>
      <c r="B102" s="521"/>
      <c r="C102" s="561"/>
      <c r="D102" s="561"/>
      <c r="E102" s="522"/>
    </row>
    <row r="103" spans="1:5" ht="12.75">
      <c r="A103" s="391" t="s">
        <v>732</v>
      </c>
      <c r="B103" s="547">
        <f>SUM(B104:B106)</f>
        <v>31250</v>
      </c>
      <c r="C103" s="562">
        <f>SUM(C104:C106)</f>
        <v>31250</v>
      </c>
      <c r="D103" s="562">
        <f>SUM(D104:D106)</f>
        <v>31250</v>
      </c>
      <c r="E103" s="548">
        <f>SUM(E104:E106)</f>
        <v>0</v>
      </c>
    </row>
    <row r="104" spans="1:5" ht="12.75">
      <c r="A104" s="387" t="s">
        <v>408</v>
      </c>
      <c r="B104" s="521">
        <v>5000</v>
      </c>
      <c r="C104" s="561">
        <v>5000</v>
      </c>
      <c r="D104" s="561">
        <v>5000</v>
      </c>
      <c r="E104" s="522"/>
    </row>
    <row r="105" spans="1:5" ht="12.75">
      <c r="A105" s="387" t="s">
        <v>409</v>
      </c>
      <c r="B105" s="521">
        <v>20000</v>
      </c>
      <c r="C105" s="561">
        <v>20000</v>
      </c>
      <c r="D105" s="561">
        <v>20000</v>
      </c>
      <c r="E105" s="522"/>
    </row>
    <row r="106" spans="1:5" ht="12.75">
      <c r="A106" s="387" t="s">
        <v>410</v>
      </c>
      <c r="B106" s="521">
        <v>6250</v>
      </c>
      <c r="C106" s="561">
        <v>6250</v>
      </c>
      <c r="D106" s="561">
        <v>6250</v>
      </c>
      <c r="E106" s="522"/>
    </row>
    <row r="107" spans="1:5" ht="12.75">
      <c r="A107" s="387"/>
      <c r="B107" s="521"/>
      <c r="C107" s="561"/>
      <c r="D107" s="561"/>
      <c r="E107" s="522"/>
    </row>
    <row r="108" spans="1:5" ht="12.75">
      <c r="A108" s="391" t="s">
        <v>711</v>
      </c>
      <c r="B108" s="547">
        <f>SUM(B109:B113)</f>
        <v>70534</v>
      </c>
      <c r="C108" s="562">
        <f>SUM(C109:C113)</f>
        <v>70534</v>
      </c>
      <c r="D108" s="562">
        <f>SUM(D109:D113)</f>
        <v>70534</v>
      </c>
      <c r="E108" s="548">
        <f>SUM(E109:E113)</f>
        <v>0</v>
      </c>
    </row>
    <row r="109" spans="1:5" ht="12.75">
      <c r="A109" s="387" t="s">
        <v>733</v>
      </c>
      <c r="B109" s="521">
        <v>48363</v>
      </c>
      <c r="C109" s="561">
        <v>48363</v>
      </c>
      <c r="D109" s="561">
        <v>48363</v>
      </c>
      <c r="E109" s="522"/>
    </row>
    <row r="110" spans="1:5" ht="12.75">
      <c r="A110" s="387" t="s">
        <v>734</v>
      </c>
      <c r="B110" s="521">
        <v>1929</v>
      </c>
      <c r="C110" s="561">
        <v>1929</v>
      </c>
      <c r="D110" s="561">
        <v>1929</v>
      </c>
      <c r="E110" s="522"/>
    </row>
    <row r="111" spans="1:5" ht="12.75">
      <c r="A111" s="387" t="s">
        <v>591</v>
      </c>
      <c r="B111" s="521">
        <v>10000</v>
      </c>
      <c r="C111" s="561">
        <v>10000</v>
      </c>
      <c r="D111" s="561">
        <v>10000</v>
      </c>
      <c r="E111" s="522"/>
    </row>
    <row r="112" spans="1:5" ht="12.75">
      <c r="A112" s="387" t="s">
        <v>735</v>
      </c>
      <c r="B112" s="521">
        <v>3975</v>
      </c>
      <c r="C112" s="561">
        <v>3975</v>
      </c>
      <c r="D112" s="561">
        <v>3975</v>
      </c>
      <c r="E112" s="522"/>
    </row>
    <row r="113" spans="1:5" ht="12.75">
      <c r="A113" s="397" t="s">
        <v>736</v>
      </c>
      <c r="B113" s="388">
        <v>6267</v>
      </c>
      <c r="C113" s="568">
        <v>6267</v>
      </c>
      <c r="D113" s="561">
        <v>6267</v>
      </c>
      <c r="E113" s="522"/>
    </row>
    <row r="114" spans="1:5" ht="12.75">
      <c r="A114" s="387"/>
      <c r="B114" s="521"/>
      <c r="C114" s="561"/>
      <c r="D114" s="561"/>
      <c r="E114" s="522"/>
    </row>
    <row r="115" spans="1:5" ht="12.75">
      <c r="A115" s="546" t="s">
        <v>720</v>
      </c>
      <c r="B115" s="547">
        <f>SUM(B91+B103+B108)</f>
        <v>2222334</v>
      </c>
      <c r="C115" s="562">
        <f>SUM(C91+C103+C108)</f>
        <v>2222334</v>
      </c>
      <c r="D115" s="562">
        <f>SUM(D91+D103+D108)</f>
        <v>2056832</v>
      </c>
      <c r="E115" s="548">
        <f>SUM(E91+E103+E108)</f>
        <v>165502</v>
      </c>
    </row>
    <row r="116" spans="1:5" ht="12.75">
      <c r="A116" s="397"/>
      <c r="B116" s="388"/>
      <c r="C116" s="561"/>
      <c r="D116" s="561"/>
      <c r="E116" s="522"/>
    </row>
    <row r="117" spans="1:5" s="511" customFormat="1" ht="13.5">
      <c r="A117" s="508" t="s">
        <v>721</v>
      </c>
      <c r="B117" s="550">
        <f>SUM(B88-B115)</f>
        <v>9952</v>
      </c>
      <c r="C117" s="569">
        <f>SUM(C88-C115)</f>
        <v>9952</v>
      </c>
      <c r="D117" s="569">
        <f>SUM(D88-D115)</f>
        <v>0</v>
      </c>
      <c r="E117" s="551">
        <f>SUM(E88-E115)</f>
        <v>9952</v>
      </c>
    </row>
  </sheetData>
  <sheetProtection selectLockedCells="1" selectUnlockedCells="1"/>
  <mergeCells count="5">
    <mergeCell ref="A1:B1"/>
    <mergeCell ref="A2:D2"/>
    <mergeCell ref="A3:D3"/>
    <mergeCell ref="A5:D5"/>
    <mergeCell ref="A76:D76"/>
  </mergeCells>
  <printOptions horizontalCentered="1"/>
  <pageMargins left="0.39375" right="0.27569444444444446" top="1.023611111111111" bottom="0.2361111111111111" header="0.8270833333333333" footer="0.5118055555555555"/>
  <pageSetup horizontalDpi="300" verticalDpi="300" orientation="portrait" paperSize="9" scale="69"/>
  <headerFooter alignWithMargins="0">
    <oddHeader>&amp;L 12. melléklet a 30/2011.(X.28.) önkormányzati rendelethez</oddHeader>
  </headerFooter>
  <rowBreaks count="1" manualBreakCount="1">
    <brk id="7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10">
      <selection activeCell="A3" sqref="A3"/>
    </sheetView>
  </sheetViews>
  <sheetFormatPr defaultColWidth="9.00390625" defaultRowHeight="12.75"/>
  <cols>
    <col min="1" max="5" width="9.125" style="570" customWidth="1"/>
    <col min="6" max="6" width="15.625" style="570" customWidth="1"/>
    <col min="7" max="7" width="11.75390625" style="570" customWidth="1"/>
    <col min="8" max="9" width="11.75390625" style="571" customWidth="1"/>
    <col min="10" max="16384" width="9.125" style="570" customWidth="1"/>
  </cols>
  <sheetData>
    <row r="1" spans="1:9" ht="15.75">
      <c r="A1" s="572" t="s">
        <v>737</v>
      </c>
      <c r="B1" s="572"/>
      <c r="C1" s="572"/>
      <c r="D1" s="572"/>
      <c r="E1" s="572"/>
      <c r="F1" s="572"/>
      <c r="G1" s="572"/>
      <c r="H1" s="572"/>
      <c r="I1" s="572"/>
    </row>
    <row r="2" spans="1:9" ht="15.75">
      <c r="A2" s="572" t="s">
        <v>738</v>
      </c>
      <c r="B2" s="572"/>
      <c r="C2" s="572"/>
      <c r="D2" s="572"/>
      <c r="E2" s="572"/>
      <c r="F2" s="572"/>
      <c r="G2" s="572"/>
      <c r="H2" s="572"/>
      <c r="I2" s="572"/>
    </row>
    <row r="3" spans="1:9" ht="16.5">
      <c r="A3" s="573"/>
      <c r="B3" s="573"/>
      <c r="C3" s="573"/>
      <c r="D3" s="573"/>
      <c r="E3" s="574" t="s">
        <v>313</v>
      </c>
      <c r="F3" s="573"/>
      <c r="G3" s="573"/>
      <c r="I3" s="575"/>
    </row>
    <row r="4" spans="1:9" ht="19.5" customHeight="1">
      <c r="A4" s="576" t="s">
        <v>739</v>
      </c>
      <c r="B4" s="576"/>
      <c r="C4" s="576"/>
      <c r="D4" s="576"/>
      <c r="E4" s="576"/>
      <c r="F4" s="576"/>
      <c r="G4" s="577" t="s">
        <v>3</v>
      </c>
      <c r="H4" s="578" t="s">
        <v>102</v>
      </c>
      <c r="I4" s="579" t="s">
        <v>5</v>
      </c>
    </row>
    <row r="5" spans="1:9" s="584" customFormat="1" ht="15.75">
      <c r="A5" s="580" t="s">
        <v>740</v>
      </c>
      <c r="B5" s="580"/>
      <c r="C5" s="580"/>
      <c r="D5" s="580"/>
      <c r="E5" s="580"/>
      <c r="F5" s="580"/>
      <c r="G5" s="581">
        <v>816</v>
      </c>
      <c r="H5" s="582">
        <v>1142</v>
      </c>
      <c r="I5" s="583">
        <v>1187</v>
      </c>
    </row>
    <row r="6" spans="1:9" s="584" customFormat="1" ht="15.75">
      <c r="A6" s="580" t="s">
        <v>741</v>
      </c>
      <c r="B6" s="580"/>
      <c r="C6" s="580"/>
      <c r="D6" s="580"/>
      <c r="E6" s="580"/>
      <c r="F6" s="580"/>
      <c r="G6" s="581"/>
      <c r="H6" s="582"/>
      <c r="I6" s="583"/>
    </row>
    <row r="7" spans="1:9" s="584" customFormat="1" ht="15.75">
      <c r="A7" s="580" t="s">
        <v>742</v>
      </c>
      <c r="B7" s="580"/>
      <c r="C7" s="580"/>
      <c r="D7" s="580"/>
      <c r="E7" s="580"/>
      <c r="F7" s="580"/>
      <c r="G7" s="581"/>
      <c r="H7" s="582"/>
      <c r="I7" s="583"/>
    </row>
    <row r="8" spans="1:9" ht="15.75">
      <c r="A8" s="585" t="s">
        <v>743</v>
      </c>
      <c r="B8" s="585"/>
      <c r="C8" s="585"/>
      <c r="D8" s="585"/>
      <c r="E8" s="585"/>
      <c r="F8" s="585"/>
      <c r="G8" s="586">
        <f>SUM(G5:G5)</f>
        <v>816</v>
      </c>
      <c r="H8" s="587">
        <f>SUM(H5:H5)</f>
        <v>1142</v>
      </c>
      <c r="I8" s="588">
        <f>SUM(I5:I7)</f>
        <v>1187</v>
      </c>
    </row>
    <row r="9" spans="1:9" ht="15.75">
      <c r="A9" s="580" t="s">
        <v>744</v>
      </c>
      <c r="B9" s="580"/>
      <c r="C9" s="580"/>
      <c r="D9" s="580"/>
      <c r="E9" s="580"/>
      <c r="F9" s="580"/>
      <c r="G9" s="581">
        <v>566</v>
      </c>
      <c r="H9" s="589">
        <v>357</v>
      </c>
      <c r="I9" s="590">
        <v>252</v>
      </c>
    </row>
    <row r="10" spans="1:9" ht="15.75">
      <c r="A10" s="580" t="s">
        <v>745</v>
      </c>
      <c r="B10" s="580"/>
      <c r="C10" s="580"/>
      <c r="D10" s="580"/>
      <c r="E10" s="580"/>
      <c r="F10" s="580"/>
      <c r="G10" s="581">
        <v>250</v>
      </c>
      <c r="H10" s="589">
        <v>370</v>
      </c>
      <c r="I10" s="590">
        <v>370</v>
      </c>
    </row>
    <row r="11" spans="1:9" ht="15.75">
      <c r="A11" s="580" t="s">
        <v>746</v>
      </c>
      <c r="B11" s="580"/>
      <c r="C11" s="580"/>
      <c r="D11" s="580"/>
      <c r="E11" s="580"/>
      <c r="F11" s="580"/>
      <c r="G11" s="591"/>
      <c r="H11" s="592"/>
      <c r="I11" s="590">
        <v>150</v>
      </c>
    </row>
    <row r="12" spans="1:9" ht="15.75">
      <c r="A12" s="580" t="s">
        <v>110</v>
      </c>
      <c r="B12" s="580"/>
      <c r="C12" s="580"/>
      <c r="D12" s="580"/>
      <c r="E12" s="580"/>
      <c r="F12" s="580"/>
      <c r="G12" s="591"/>
      <c r="H12" s="592">
        <v>415</v>
      </c>
      <c r="I12" s="590">
        <v>415</v>
      </c>
    </row>
    <row r="13" spans="1:9" ht="16.5">
      <c r="A13" s="593" t="s">
        <v>747</v>
      </c>
      <c r="B13" s="593"/>
      <c r="C13" s="593"/>
      <c r="D13" s="593"/>
      <c r="E13" s="593"/>
      <c r="F13" s="593"/>
      <c r="G13" s="594">
        <f>SUM(G9:G12)</f>
        <v>816</v>
      </c>
      <c r="H13" s="595">
        <f>SUM(H9:H12)</f>
        <v>1142</v>
      </c>
      <c r="I13" s="596">
        <f>SUM(I9:I12)</f>
        <v>1187</v>
      </c>
    </row>
    <row r="14" spans="1:8" ht="16.5">
      <c r="A14" s="597"/>
      <c r="B14" s="597"/>
      <c r="C14" s="597"/>
      <c r="D14" s="597"/>
      <c r="E14" s="597"/>
      <c r="F14" s="597"/>
      <c r="G14" s="597"/>
      <c r="H14" s="598"/>
    </row>
    <row r="15" spans="1:7" ht="15.75">
      <c r="A15" s="573"/>
      <c r="B15" s="573"/>
      <c r="C15" s="573"/>
      <c r="D15" s="573"/>
      <c r="E15" s="573"/>
      <c r="F15" s="573"/>
      <c r="G15" s="573"/>
    </row>
    <row r="16" spans="1:9" ht="15.75">
      <c r="A16" s="572" t="s">
        <v>748</v>
      </c>
      <c r="B16" s="572"/>
      <c r="C16" s="572"/>
      <c r="D16" s="572"/>
      <c r="E16" s="572"/>
      <c r="F16" s="572"/>
      <c r="G16" s="572"/>
      <c r="H16" s="572"/>
      <c r="I16" s="572"/>
    </row>
    <row r="17" spans="1:9" ht="15.75">
      <c r="A17" s="572" t="s">
        <v>738</v>
      </c>
      <c r="B17" s="572"/>
      <c r="C17" s="572"/>
      <c r="D17" s="572"/>
      <c r="E17" s="572"/>
      <c r="F17" s="572"/>
      <c r="G17" s="572"/>
      <c r="H17" s="572"/>
      <c r="I17" s="572"/>
    </row>
    <row r="18" spans="1:9" ht="16.5">
      <c r="A18" s="573"/>
      <c r="B18" s="573"/>
      <c r="C18" s="573"/>
      <c r="D18" s="573"/>
      <c r="E18" s="574" t="s">
        <v>313</v>
      </c>
      <c r="F18" s="573"/>
      <c r="G18" s="573"/>
      <c r="I18" s="575"/>
    </row>
    <row r="19" spans="1:9" ht="19.5" customHeight="1">
      <c r="A19" s="576" t="s">
        <v>739</v>
      </c>
      <c r="B19" s="576"/>
      <c r="C19" s="576"/>
      <c r="D19" s="576"/>
      <c r="E19" s="576"/>
      <c r="F19" s="576"/>
      <c r="G19" s="577" t="s">
        <v>3</v>
      </c>
      <c r="H19" s="578" t="s">
        <v>102</v>
      </c>
      <c r="I19" s="579" t="s">
        <v>5</v>
      </c>
    </row>
    <row r="20" spans="1:9" s="584" customFormat="1" ht="15.75">
      <c r="A20" s="580" t="s">
        <v>740</v>
      </c>
      <c r="B20" s="580"/>
      <c r="C20" s="580"/>
      <c r="D20" s="580"/>
      <c r="E20" s="580"/>
      <c r="F20" s="580"/>
      <c r="G20" s="581">
        <v>816</v>
      </c>
      <c r="H20" s="582">
        <v>615</v>
      </c>
      <c r="I20" s="583">
        <v>552</v>
      </c>
    </row>
    <row r="21" spans="1:9" s="584" customFormat="1" ht="15.75">
      <c r="A21" s="580" t="s">
        <v>741</v>
      </c>
      <c r="B21" s="580"/>
      <c r="C21" s="580"/>
      <c r="D21" s="580"/>
      <c r="E21" s="580"/>
      <c r="F21" s="580"/>
      <c r="G21" s="581"/>
      <c r="H21" s="582"/>
      <c r="I21" s="583"/>
    </row>
    <row r="22" spans="1:9" ht="15.75">
      <c r="A22" s="585" t="s">
        <v>743</v>
      </c>
      <c r="B22" s="585"/>
      <c r="C22" s="585"/>
      <c r="D22" s="585"/>
      <c r="E22" s="585"/>
      <c r="F22" s="585"/>
      <c r="G22" s="586">
        <f>SUM(G20:G20)</f>
        <v>816</v>
      </c>
      <c r="H22" s="587">
        <f>SUM(H20:H20)</f>
        <v>615</v>
      </c>
      <c r="I22" s="588">
        <f>SUM(I20:I21)</f>
        <v>552</v>
      </c>
    </row>
    <row r="23" spans="1:9" ht="15.75">
      <c r="A23" s="580" t="s">
        <v>744</v>
      </c>
      <c r="B23" s="580"/>
      <c r="C23" s="580"/>
      <c r="D23" s="580"/>
      <c r="E23" s="580"/>
      <c r="F23" s="580"/>
      <c r="G23" s="581">
        <v>566</v>
      </c>
      <c r="H23" s="589">
        <v>357</v>
      </c>
      <c r="I23" s="590">
        <v>294</v>
      </c>
    </row>
    <row r="24" spans="1:9" ht="15.75">
      <c r="A24" s="580" t="s">
        <v>745</v>
      </c>
      <c r="B24" s="580"/>
      <c r="C24" s="580"/>
      <c r="D24" s="580"/>
      <c r="E24" s="580"/>
      <c r="F24" s="580"/>
      <c r="G24" s="581">
        <v>250</v>
      </c>
      <c r="H24" s="589">
        <v>250</v>
      </c>
      <c r="I24" s="590">
        <v>250</v>
      </c>
    </row>
    <row r="25" spans="1:9" ht="15.75">
      <c r="A25" s="580" t="s">
        <v>110</v>
      </c>
      <c r="B25" s="580"/>
      <c r="C25" s="580"/>
      <c r="D25" s="580"/>
      <c r="E25" s="580"/>
      <c r="F25" s="580"/>
      <c r="G25" s="591"/>
      <c r="H25" s="592">
        <v>8</v>
      </c>
      <c r="I25" s="590">
        <v>8</v>
      </c>
    </row>
    <row r="26" spans="1:9" ht="16.5">
      <c r="A26" s="593" t="s">
        <v>747</v>
      </c>
      <c r="B26" s="593"/>
      <c r="C26" s="593"/>
      <c r="D26" s="593"/>
      <c r="E26" s="593"/>
      <c r="F26" s="593"/>
      <c r="G26" s="594">
        <f>SUM(G23:G25)</f>
        <v>816</v>
      </c>
      <c r="H26" s="595">
        <f>SUM(H23:H25)</f>
        <v>615</v>
      </c>
      <c r="I26" s="596">
        <f>SUM(I23:I25)</f>
        <v>552</v>
      </c>
    </row>
    <row r="27" spans="1:7" ht="16.5">
      <c r="A27" s="573"/>
      <c r="B27" s="573"/>
      <c r="C27" s="573"/>
      <c r="D27" s="573"/>
      <c r="E27" s="573"/>
      <c r="F27" s="573"/>
      <c r="G27" s="573"/>
    </row>
    <row r="28" spans="1:7" ht="15.75">
      <c r="A28" s="573"/>
      <c r="B28" s="573"/>
      <c r="C28" s="573"/>
      <c r="D28" s="573"/>
      <c r="E28" s="573"/>
      <c r="F28" s="573"/>
      <c r="G28" s="573"/>
    </row>
    <row r="29" spans="1:9" ht="15.75">
      <c r="A29" s="572" t="s">
        <v>749</v>
      </c>
      <c r="B29" s="572"/>
      <c r="C29" s="572"/>
      <c r="D29" s="572"/>
      <c r="E29" s="572"/>
      <c r="F29" s="572"/>
      <c r="G29" s="572"/>
      <c r="H29" s="572"/>
      <c r="I29" s="572"/>
    </row>
    <row r="30" spans="1:9" ht="15.75">
      <c r="A30" s="572" t="s">
        <v>738</v>
      </c>
      <c r="B30" s="572"/>
      <c r="C30" s="572"/>
      <c r="D30" s="572"/>
      <c r="E30" s="572"/>
      <c r="F30" s="572"/>
      <c r="G30" s="572"/>
      <c r="H30" s="572"/>
      <c r="I30" s="572"/>
    </row>
    <row r="31" spans="1:9" ht="16.5">
      <c r="A31" s="573"/>
      <c r="B31" s="573"/>
      <c r="C31" s="573"/>
      <c r="D31" s="573"/>
      <c r="E31" s="574" t="s">
        <v>313</v>
      </c>
      <c r="F31" s="573"/>
      <c r="G31" s="573"/>
      <c r="I31" s="575"/>
    </row>
    <row r="32" spans="1:9" ht="19.5" customHeight="1">
      <c r="A32" s="576" t="s">
        <v>739</v>
      </c>
      <c r="B32" s="576"/>
      <c r="C32" s="576"/>
      <c r="D32" s="576"/>
      <c r="E32" s="576"/>
      <c r="F32" s="576"/>
      <c r="G32" s="577" t="s">
        <v>3</v>
      </c>
      <c r="H32" s="578" t="s">
        <v>102</v>
      </c>
      <c r="I32" s="579" t="s">
        <v>5</v>
      </c>
    </row>
    <row r="33" spans="1:9" s="584" customFormat="1" ht="15.75">
      <c r="A33" s="580" t="s">
        <v>740</v>
      </c>
      <c r="B33" s="580"/>
      <c r="C33" s="580"/>
      <c r="D33" s="580"/>
      <c r="E33" s="580"/>
      <c r="F33" s="580"/>
      <c r="G33" s="581">
        <v>816</v>
      </c>
      <c r="H33" s="582">
        <v>624</v>
      </c>
      <c r="I33" s="583">
        <v>946</v>
      </c>
    </row>
    <row r="34" spans="1:9" ht="15.75">
      <c r="A34" s="585" t="s">
        <v>743</v>
      </c>
      <c r="B34" s="585"/>
      <c r="C34" s="585"/>
      <c r="D34" s="585"/>
      <c r="E34" s="585"/>
      <c r="F34" s="585"/>
      <c r="G34" s="586">
        <f>SUM(G33:G33)</f>
        <v>816</v>
      </c>
      <c r="H34" s="587">
        <f>SUM(H33:H33)</f>
        <v>624</v>
      </c>
      <c r="I34" s="588">
        <f>SUM(I33:I33)</f>
        <v>946</v>
      </c>
    </row>
    <row r="35" spans="1:9" ht="15.75">
      <c r="A35" s="580" t="s">
        <v>744</v>
      </c>
      <c r="B35" s="580"/>
      <c r="C35" s="580"/>
      <c r="D35" s="580"/>
      <c r="E35" s="580"/>
      <c r="F35" s="580"/>
      <c r="G35" s="581">
        <v>566</v>
      </c>
      <c r="H35" s="589">
        <v>357</v>
      </c>
      <c r="I35" s="590">
        <v>679</v>
      </c>
    </row>
    <row r="36" spans="1:9" ht="15.75">
      <c r="A36" s="580" t="s">
        <v>745</v>
      </c>
      <c r="B36" s="580"/>
      <c r="C36" s="580"/>
      <c r="D36" s="580"/>
      <c r="E36" s="580"/>
      <c r="F36" s="580"/>
      <c r="G36" s="581">
        <v>250</v>
      </c>
      <c r="H36" s="589">
        <v>250</v>
      </c>
      <c r="I36" s="590">
        <v>250</v>
      </c>
    </row>
    <row r="37" spans="1:9" ht="15.75">
      <c r="A37" s="580" t="s">
        <v>110</v>
      </c>
      <c r="B37" s="580"/>
      <c r="C37" s="580"/>
      <c r="D37" s="580"/>
      <c r="E37" s="580"/>
      <c r="F37" s="580"/>
      <c r="G37" s="591"/>
      <c r="H37" s="592">
        <v>17</v>
      </c>
      <c r="I37" s="590">
        <v>17</v>
      </c>
    </row>
    <row r="38" spans="1:9" ht="16.5">
      <c r="A38" s="593" t="s">
        <v>747</v>
      </c>
      <c r="B38" s="593"/>
      <c r="C38" s="593"/>
      <c r="D38" s="593"/>
      <c r="E38" s="593"/>
      <c r="F38" s="593"/>
      <c r="G38" s="594">
        <f>SUM(G35:G37)</f>
        <v>816</v>
      </c>
      <c r="H38" s="595">
        <f>SUM(H35:H37)</f>
        <v>624</v>
      </c>
      <c r="I38" s="596">
        <f>SUM(I35:I37)</f>
        <v>946</v>
      </c>
    </row>
    <row r="39" spans="1:7" ht="16.5">
      <c r="A39" s="573"/>
      <c r="B39" s="573"/>
      <c r="C39" s="573"/>
      <c r="D39" s="573"/>
      <c r="E39" s="573"/>
      <c r="F39" s="573"/>
      <c r="G39" s="573"/>
    </row>
    <row r="40" spans="1:7" ht="15.75">
      <c r="A40" s="573"/>
      <c r="B40" s="573"/>
      <c r="C40" s="573"/>
      <c r="D40" s="573"/>
      <c r="E40" s="573"/>
      <c r="F40" s="573"/>
      <c r="G40" s="573"/>
    </row>
    <row r="41" spans="1:9" ht="15.75">
      <c r="A41" s="572" t="s">
        <v>355</v>
      </c>
      <c r="B41" s="572"/>
      <c r="C41" s="572"/>
      <c r="D41" s="572"/>
      <c r="E41" s="572"/>
      <c r="F41" s="572"/>
      <c r="G41" s="572"/>
      <c r="H41" s="572"/>
      <c r="I41" s="572"/>
    </row>
    <row r="42" spans="1:9" ht="15.75">
      <c r="A42" s="572" t="s">
        <v>738</v>
      </c>
      <c r="B42" s="572"/>
      <c r="C42" s="572"/>
      <c r="D42" s="572"/>
      <c r="E42" s="572"/>
      <c r="F42" s="572"/>
      <c r="G42" s="572"/>
      <c r="H42" s="572"/>
      <c r="I42" s="572"/>
    </row>
    <row r="43" spans="1:9" ht="16.5">
      <c r="A43" s="573"/>
      <c r="B43" s="573"/>
      <c r="C43" s="573"/>
      <c r="D43" s="573"/>
      <c r="E43" s="574" t="s">
        <v>313</v>
      </c>
      <c r="F43" s="573"/>
      <c r="G43" s="573"/>
      <c r="I43" s="575"/>
    </row>
    <row r="44" spans="1:9" ht="19.5" customHeight="1">
      <c r="A44" s="576" t="s">
        <v>739</v>
      </c>
      <c r="B44" s="576"/>
      <c r="C44" s="576"/>
      <c r="D44" s="576"/>
      <c r="E44" s="576"/>
      <c r="F44" s="576"/>
      <c r="G44" s="577" t="s">
        <v>3</v>
      </c>
      <c r="H44" s="578" t="s">
        <v>102</v>
      </c>
      <c r="I44" s="579" t="s">
        <v>5</v>
      </c>
    </row>
    <row r="45" spans="1:9" s="584" customFormat="1" ht="15.75">
      <c r="A45" s="580" t="s">
        <v>740</v>
      </c>
      <c r="B45" s="580"/>
      <c r="C45" s="580"/>
      <c r="D45" s="580"/>
      <c r="E45" s="580"/>
      <c r="F45" s="580"/>
      <c r="G45" s="599">
        <v>2448</v>
      </c>
      <c r="H45" s="582">
        <v>2381</v>
      </c>
      <c r="I45" s="583">
        <v>2685</v>
      </c>
    </row>
    <row r="46" spans="1:9" s="584" customFormat="1" ht="15.75">
      <c r="A46" s="580" t="s">
        <v>741</v>
      </c>
      <c r="B46" s="580"/>
      <c r="C46" s="580"/>
      <c r="D46" s="580"/>
      <c r="E46" s="580"/>
      <c r="F46" s="580"/>
      <c r="G46" s="599"/>
      <c r="H46" s="582"/>
      <c r="I46" s="583"/>
    </row>
    <row r="47" spans="1:9" s="584" customFormat="1" ht="15.75">
      <c r="A47" s="580" t="s">
        <v>742</v>
      </c>
      <c r="B47" s="580"/>
      <c r="C47" s="580"/>
      <c r="D47" s="580"/>
      <c r="E47" s="580"/>
      <c r="F47" s="580"/>
      <c r="G47" s="599"/>
      <c r="H47" s="582"/>
      <c r="I47" s="583"/>
    </row>
    <row r="48" spans="1:9" ht="15.75">
      <c r="A48" s="585" t="s">
        <v>743</v>
      </c>
      <c r="B48" s="585"/>
      <c r="C48" s="585"/>
      <c r="D48" s="585"/>
      <c r="E48" s="585"/>
      <c r="F48" s="585"/>
      <c r="G48" s="600">
        <f>SUM(G45:G45)</f>
        <v>2448</v>
      </c>
      <c r="H48" s="587">
        <f>SUM(H45:H45)</f>
        <v>2381</v>
      </c>
      <c r="I48" s="588">
        <f>SUM(I45:I47)</f>
        <v>2685</v>
      </c>
    </row>
    <row r="49" spans="1:9" ht="15.75">
      <c r="A49" s="580" t="s">
        <v>744</v>
      </c>
      <c r="B49" s="580"/>
      <c r="C49" s="580"/>
      <c r="D49" s="580"/>
      <c r="E49" s="580"/>
      <c r="F49" s="580"/>
      <c r="G49" s="599">
        <v>1698</v>
      </c>
      <c r="H49" s="589">
        <v>1071</v>
      </c>
      <c r="I49" s="590">
        <v>1225</v>
      </c>
    </row>
    <row r="50" spans="1:9" ht="15.75">
      <c r="A50" s="580" t="s">
        <v>745</v>
      </c>
      <c r="B50" s="580"/>
      <c r="C50" s="580"/>
      <c r="D50" s="580"/>
      <c r="E50" s="580"/>
      <c r="F50" s="580"/>
      <c r="G50" s="599">
        <v>750</v>
      </c>
      <c r="H50" s="589">
        <v>870</v>
      </c>
      <c r="I50" s="590">
        <v>870</v>
      </c>
    </row>
    <row r="51" spans="1:9" ht="15.75">
      <c r="A51" s="580" t="s">
        <v>746</v>
      </c>
      <c r="B51" s="580"/>
      <c r="C51" s="580"/>
      <c r="D51" s="580"/>
      <c r="E51" s="580"/>
      <c r="F51" s="580"/>
      <c r="G51" s="601"/>
      <c r="H51" s="592"/>
      <c r="I51" s="590">
        <v>150</v>
      </c>
    </row>
    <row r="52" spans="1:9" ht="15.75">
      <c r="A52" s="580" t="s">
        <v>110</v>
      </c>
      <c r="B52" s="580"/>
      <c r="C52" s="580"/>
      <c r="D52" s="580"/>
      <c r="E52" s="580"/>
      <c r="F52" s="580"/>
      <c r="G52" s="601"/>
      <c r="H52" s="592">
        <v>440</v>
      </c>
      <c r="I52" s="590">
        <v>440</v>
      </c>
    </row>
    <row r="53" spans="1:9" ht="16.5">
      <c r="A53" s="593" t="s">
        <v>747</v>
      </c>
      <c r="B53" s="593"/>
      <c r="C53" s="593"/>
      <c r="D53" s="593"/>
      <c r="E53" s="593"/>
      <c r="F53" s="593"/>
      <c r="G53" s="602">
        <f>SUM(G49:G52)</f>
        <v>2448</v>
      </c>
      <c r="H53" s="595">
        <f>SUM(H49:H52)</f>
        <v>2381</v>
      </c>
      <c r="I53" s="596">
        <f>SUM(I49:I52)</f>
        <v>2685</v>
      </c>
    </row>
  </sheetData>
  <sheetProtection selectLockedCells="1" selectUnlockedCells="1"/>
  <mergeCells count="43">
    <mergeCell ref="A1:I1"/>
    <mergeCell ref="A2:I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6:I16"/>
    <mergeCell ref="A17:I17"/>
    <mergeCell ref="A19:F19"/>
    <mergeCell ref="A20:F20"/>
    <mergeCell ref="A21:F21"/>
    <mergeCell ref="A22:F22"/>
    <mergeCell ref="A23:F23"/>
    <mergeCell ref="A24:F24"/>
    <mergeCell ref="A25:F25"/>
    <mergeCell ref="A26:F26"/>
    <mergeCell ref="A29:I29"/>
    <mergeCell ref="A30:I30"/>
    <mergeCell ref="A32:F32"/>
    <mergeCell ref="A33:F33"/>
    <mergeCell ref="A34:F34"/>
    <mergeCell ref="A35:F35"/>
    <mergeCell ref="A36:F36"/>
    <mergeCell ref="A37:F37"/>
    <mergeCell ref="A38:F38"/>
    <mergeCell ref="A41:I41"/>
    <mergeCell ref="A42:I42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</mergeCells>
  <printOptions horizontalCentered="1"/>
  <pageMargins left="0" right="0" top="0.9840277777777778" bottom="0" header="0.8" footer="0.5118055555555555"/>
  <pageSetup horizontalDpi="300" verticalDpi="300" orientation="portrait" paperSize="9" scale="83"/>
  <headerFooter alignWithMargins="0">
    <oddHeader>&amp;L&amp;"Times New Roman,Félkövér"&amp;8 13. melléklet a 30/2011.(X.28.)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66.125" style="603" customWidth="1"/>
    <col min="2" max="3" width="9.25390625" style="603" customWidth="1"/>
    <col min="4" max="4" width="11.875" style="603" customWidth="1"/>
    <col min="5" max="5" width="9.375" style="603" customWidth="1"/>
    <col min="6" max="6" width="9.25390625" style="603" customWidth="1"/>
    <col min="7" max="7" width="10.625" style="603" customWidth="1"/>
    <col min="8" max="8" width="10.00390625" style="603" customWidth="1"/>
    <col min="9" max="9" width="9.375" style="603" customWidth="1"/>
    <col min="10" max="16384" width="9.125" style="603" customWidth="1"/>
  </cols>
  <sheetData>
    <row r="1" spans="1:9" s="605" customFormat="1" ht="12.75">
      <c r="A1" s="604" t="s">
        <v>750</v>
      </c>
      <c r="B1" s="604"/>
      <c r="C1" s="604"/>
      <c r="D1" s="604"/>
      <c r="E1" s="604"/>
      <c r="F1" s="604"/>
      <c r="G1" s="604"/>
      <c r="H1" s="604"/>
      <c r="I1" s="604"/>
    </row>
    <row r="2" s="605" customFormat="1" ht="13.5"/>
    <row r="3" spans="1:9" s="605" customFormat="1" ht="13.5">
      <c r="A3" s="606" t="s">
        <v>242</v>
      </c>
      <c r="B3" s="607" t="s">
        <v>751</v>
      </c>
      <c r="C3" s="607"/>
      <c r="D3" s="607"/>
      <c r="E3" s="607"/>
      <c r="F3" s="608" t="s">
        <v>752</v>
      </c>
      <c r="G3" s="608"/>
      <c r="H3" s="608"/>
      <c r="I3" s="608"/>
    </row>
    <row r="4" spans="1:9" s="605" customFormat="1" ht="51">
      <c r="A4" s="606"/>
      <c r="B4" s="609" t="s">
        <v>148</v>
      </c>
      <c r="C4" s="609" t="s">
        <v>146</v>
      </c>
      <c r="D4" s="610" t="s">
        <v>753</v>
      </c>
      <c r="E4" s="611" t="s">
        <v>174</v>
      </c>
      <c r="F4" s="612" t="s">
        <v>754</v>
      </c>
      <c r="G4" s="610" t="s">
        <v>755</v>
      </c>
      <c r="H4" s="610" t="s">
        <v>198</v>
      </c>
      <c r="I4" s="613" t="s">
        <v>174</v>
      </c>
    </row>
    <row r="5" spans="1:9" s="605" customFormat="1" ht="13.5">
      <c r="A5" s="614" t="s">
        <v>397</v>
      </c>
      <c r="B5" s="615">
        <v>10000</v>
      </c>
      <c r="C5" s="615"/>
      <c r="D5" s="615"/>
      <c r="E5" s="616">
        <f aca="true" t="shared" si="0" ref="E5:E15">SUM(B5:D5)</f>
        <v>10000</v>
      </c>
      <c r="F5" s="617"/>
      <c r="G5" s="615"/>
      <c r="H5" s="615">
        <v>10000</v>
      </c>
      <c r="I5" s="618">
        <f aca="true" t="shared" si="1" ref="I5:I25">SUM(F5:H5)</f>
        <v>10000</v>
      </c>
    </row>
    <row r="6" spans="1:9" s="605" customFormat="1" ht="13.5">
      <c r="A6" s="614" t="s">
        <v>398</v>
      </c>
      <c r="B6" s="615">
        <v>2500</v>
      </c>
      <c r="C6" s="615"/>
      <c r="D6" s="615"/>
      <c r="E6" s="616">
        <f t="shared" si="0"/>
        <v>2500</v>
      </c>
      <c r="F6" s="617"/>
      <c r="G6" s="615"/>
      <c r="H6" s="615">
        <v>2500</v>
      </c>
      <c r="I6" s="618">
        <f t="shared" si="1"/>
        <v>2500</v>
      </c>
    </row>
    <row r="7" spans="1:9" s="605" customFormat="1" ht="13.5">
      <c r="A7" s="614" t="s">
        <v>408</v>
      </c>
      <c r="B7" s="615">
        <v>5000</v>
      </c>
      <c r="C7" s="615"/>
      <c r="D7" s="615"/>
      <c r="E7" s="616">
        <f t="shared" si="0"/>
        <v>5000</v>
      </c>
      <c r="F7" s="617">
        <v>5000</v>
      </c>
      <c r="G7" s="615"/>
      <c r="H7" s="615"/>
      <c r="I7" s="618">
        <f t="shared" si="1"/>
        <v>5000</v>
      </c>
    </row>
    <row r="8" spans="1:9" s="605" customFormat="1" ht="13.5">
      <c r="A8" s="614" t="s">
        <v>409</v>
      </c>
      <c r="B8" s="615">
        <v>20000</v>
      </c>
      <c r="C8" s="615"/>
      <c r="D8" s="615"/>
      <c r="E8" s="616">
        <f t="shared" si="0"/>
        <v>20000</v>
      </c>
      <c r="F8" s="617">
        <v>20000</v>
      </c>
      <c r="G8" s="615"/>
      <c r="H8" s="615"/>
      <c r="I8" s="618">
        <f t="shared" si="1"/>
        <v>20000</v>
      </c>
    </row>
    <row r="9" spans="1:9" s="605" customFormat="1" ht="13.5">
      <c r="A9" s="614" t="s">
        <v>410</v>
      </c>
      <c r="B9" s="615">
        <v>6250</v>
      </c>
      <c r="C9" s="615"/>
      <c r="D9" s="615"/>
      <c r="E9" s="616">
        <f t="shared" si="0"/>
        <v>6250</v>
      </c>
      <c r="F9" s="617">
        <v>6250</v>
      </c>
      <c r="G9" s="615"/>
      <c r="H9" s="615"/>
      <c r="I9" s="618">
        <f t="shared" si="1"/>
        <v>6250</v>
      </c>
    </row>
    <row r="10" spans="1:9" s="605" customFormat="1" ht="13.5">
      <c r="A10" s="614" t="s">
        <v>426</v>
      </c>
      <c r="B10" s="615"/>
      <c r="C10" s="615">
        <f>698795-129178-450</f>
        <v>569167</v>
      </c>
      <c r="D10" s="615"/>
      <c r="E10" s="616">
        <f t="shared" si="0"/>
        <v>569167</v>
      </c>
      <c r="F10" s="617">
        <f>397227-129178-450</f>
        <v>267599</v>
      </c>
      <c r="G10" s="615">
        <v>301568</v>
      </c>
      <c r="H10" s="615"/>
      <c r="I10" s="618">
        <f t="shared" si="1"/>
        <v>569167</v>
      </c>
    </row>
    <row r="11" spans="1:9" s="605" customFormat="1" ht="13.5">
      <c r="A11" s="614" t="s">
        <v>427</v>
      </c>
      <c r="B11" s="615"/>
      <c r="C11" s="615">
        <v>1248631</v>
      </c>
      <c r="D11" s="615"/>
      <c r="E11" s="616">
        <f t="shared" si="0"/>
        <v>1248631</v>
      </c>
      <c r="F11" s="617">
        <v>549631</v>
      </c>
      <c r="G11" s="615">
        <v>699000</v>
      </c>
      <c r="H11" s="615"/>
      <c r="I11" s="618">
        <f t="shared" si="1"/>
        <v>1248631</v>
      </c>
    </row>
    <row r="12" spans="1:9" s="605" customFormat="1" ht="13.5">
      <c r="A12" s="614" t="s">
        <v>432</v>
      </c>
      <c r="B12" s="615"/>
      <c r="C12" s="615">
        <v>110000</v>
      </c>
      <c r="D12" s="615"/>
      <c r="E12" s="616">
        <f t="shared" si="0"/>
        <v>110000</v>
      </c>
      <c r="F12" s="617">
        <v>53736</v>
      </c>
      <c r="G12" s="615">
        <v>56264</v>
      </c>
      <c r="H12" s="615"/>
      <c r="I12" s="618">
        <f t="shared" si="1"/>
        <v>110000</v>
      </c>
    </row>
    <row r="13" spans="1:9" s="605" customFormat="1" ht="13.5">
      <c r="A13" s="614" t="s">
        <v>434</v>
      </c>
      <c r="B13" s="615"/>
      <c r="C13" s="615">
        <v>450</v>
      </c>
      <c r="D13" s="615"/>
      <c r="E13" s="616"/>
      <c r="F13" s="617">
        <v>450</v>
      </c>
      <c r="G13" s="615"/>
      <c r="H13" s="615"/>
      <c r="I13" s="618"/>
    </row>
    <row r="14" spans="1:9" s="605" customFormat="1" ht="13.5">
      <c r="A14" s="614" t="s">
        <v>475</v>
      </c>
      <c r="B14" s="615"/>
      <c r="C14" s="615">
        <v>4000</v>
      </c>
      <c r="D14" s="615"/>
      <c r="E14" s="616">
        <f t="shared" si="0"/>
        <v>4000</v>
      </c>
      <c r="F14" s="617">
        <v>4000</v>
      </c>
      <c r="G14" s="615"/>
      <c r="H14" s="615"/>
      <c r="I14" s="618">
        <f t="shared" si="1"/>
        <v>4000</v>
      </c>
    </row>
    <row r="15" spans="1:9" s="605" customFormat="1" ht="13.5">
      <c r="A15" s="614" t="s">
        <v>476</v>
      </c>
      <c r="B15" s="615"/>
      <c r="C15" s="615">
        <v>800</v>
      </c>
      <c r="D15" s="615"/>
      <c r="E15" s="616">
        <f t="shared" si="0"/>
        <v>800</v>
      </c>
      <c r="F15" s="617">
        <v>800</v>
      </c>
      <c r="G15" s="615"/>
      <c r="H15" s="615"/>
      <c r="I15" s="618">
        <f t="shared" si="1"/>
        <v>800</v>
      </c>
    </row>
    <row r="16" spans="1:9" s="605" customFormat="1" ht="13.5">
      <c r="A16" s="614" t="s">
        <v>478</v>
      </c>
      <c r="B16" s="615"/>
      <c r="C16" s="615"/>
      <c r="D16" s="615"/>
      <c r="E16" s="616"/>
      <c r="F16" s="617"/>
      <c r="G16" s="615"/>
      <c r="H16" s="615"/>
      <c r="I16" s="618">
        <f t="shared" si="1"/>
        <v>0</v>
      </c>
    </row>
    <row r="17" spans="1:9" s="605" customFormat="1" ht="13.5">
      <c r="A17" s="614" t="s">
        <v>479</v>
      </c>
      <c r="B17" s="615"/>
      <c r="C17" s="615">
        <v>8000</v>
      </c>
      <c r="D17" s="615"/>
      <c r="E17" s="616">
        <f aca="true" t="shared" si="2" ref="E17:E25">SUM(B17:D17)</f>
        <v>8000</v>
      </c>
      <c r="F17" s="617">
        <v>8000</v>
      </c>
      <c r="G17" s="615"/>
      <c r="H17" s="615"/>
      <c r="I17" s="618">
        <f t="shared" si="1"/>
        <v>8000</v>
      </c>
    </row>
    <row r="18" spans="1:9" s="605" customFormat="1" ht="13.5">
      <c r="A18" s="614" t="s">
        <v>480</v>
      </c>
      <c r="B18" s="615"/>
      <c r="C18" s="615">
        <v>10000</v>
      </c>
      <c r="D18" s="615"/>
      <c r="E18" s="616">
        <f t="shared" si="2"/>
        <v>10000</v>
      </c>
      <c r="F18" s="617">
        <v>10000</v>
      </c>
      <c r="G18" s="615"/>
      <c r="H18" s="615"/>
      <c r="I18" s="618">
        <f t="shared" si="1"/>
        <v>10000</v>
      </c>
    </row>
    <row r="19" spans="1:9" s="605" customFormat="1" ht="13.5">
      <c r="A19" s="614" t="s">
        <v>481</v>
      </c>
      <c r="B19" s="615"/>
      <c r="C19" s="615">
        <v>4000</v>
      </c>
      <c r="D19" s="615"/>
      <c r="E19" s="616">
        <f t="shared" si="2"/>
        <v>4000</v>
      </c>
      <c r="F19" s="617">
        <v>4000</v>
      </c>
      <c r="G19" s="615"/>
      <c r="H19" s="615"/>
      <c r="I19" s="618">
        <f t="shared" si="1"/>
        <v>4000</v>
      </c>
    </row>
    <row r="20" spans="1:9" s="605" customFormat="1" ht="13.5">
      <c r="A20" s="614" t="s">
        <v>591</v>
      </c>
      <c r="B20" s="615"/>
      <c r="C20" s="615"/>
      <c r="D20" s="615">
        <v>10000</v>
      </c>
      <c r="E20" s="616">
        <f t="shared" si="2"/>
        <v>10000</v>
      </c>
      <c r="F20" s="617">
        <v>10000</v>
      </c>
      <c r="G20" s="615"/>
      <c r="H20" s="615"/>
      <c r="I20" s="618">
        <f t="shared" si="1"/>
        <v>10000</v>
      </c>
    </row>
    <row r="21" spans="1:9" s="605" customFormat="1" ht="13.5">
      <c r="A21" s="614" t="s">
        <v>594</v>
      </c>
      <c r="B21" s="615"/>
      <c r="C21" s="615"/>
      <c r="D21" s="615">
        <v>48363</v>
      </c>
      <c r="E21" s="616">
        <f t="shared" si="2"/>
        <v>48363</v>
      </c>
      <c r="F21" s="617">
        <v>48363</v>
      </c>
      <c r="G21" s="615"/>
      <c r="H21" s="615"/>
      <c r="I21" s="618">
        <f t="shared" si="1"/>
        <v>48363</v>
      </c>
    </row>
    <row r="22" spans="1:9" s="605" customFormat="1" ht="13.5">
      <c r="A22" s="614" t="s">
        <v>595</v>
      </c>
      <c r="B22" s="615"/>
      <c r="C22" s="615"/>
      <c r="D22" s="615">
        <v>1929</v>
      </c>
      <c r="E22" s="616">
        <f t="shared" si="2"/>
        <v>1929</v>
      </c>
      <c r="F22" s="617">
        <v>1929</v>
      </c>
      <c r="G22" s="615"/>
      <c r="H22" s="615"/>
      <c r="I22" s="618">
        <f t="shared" si="1"/>
        <v>1929</v>
      </c>
    </row>
    <row r="23" spans="1:9" s="605" customFormat="1" ht="13.5">
      <c r="A23" s="614" t="s">
        <v>601</v>
      </c>
      <c r="B23" s="615"/>
      <c r="C23" s="615"/>
      <c r="D23" s="615">
        <v>3975</v>
      </c>
      <c r="E23" s="616">
        <f t="shared" si="2"/>
        <v>3975</v>
      </c>
      <c r="F23" s="617">
        <v>3975</v>
      </c>
      <c r="G23" s="615"/>
      <c r="H23" s="615"/>
      <c r="I23" s="618">
        <f t="shared" si="1"/>
        <v>3975</v>
      </c>
    </row>
    <row r="24" spans="1:9" s="605" customFormat="1" ht="13.5">
      <c r="A24" s="614" t="s">
        <v>602</v>
      </c>
      <c r="B24" s="615"/>
      <c r="C24" s="615"/>
      <c r="D24" s="615">
        <v>6267</v>
      </c>
      <c r="E24" s="616">
        <f t="shared" si="2"/>
        <v>6267</v>
      </c>
      <c r="F24" s="617">
        <v>6267</v>
      </c>
      <c r="G24" s="615"/>
      <c r="H24" s="615"/>
      <c r="I24" s="618">
        <f t="shared" si="1"/>
        <v>6267</v>
      </c>
    </row>
    <row r="25" spans="1:9" s="624" customFormat="1" ht="13.5">
      <c r="A25" s="619" t="s">
        <v>580</v>
      </c>
      <c r="B25" s="620">
        <f>SUM(B5:B24)</f>
        <v>43750</v>
      </c>
      <c r="C25" s="620">
        <f>SUM(C5:C24)</f>
        <v>1955048</v>
      </c>
      <c r="D25" s="620">
        <f>SUM(D5:D24)</f>
        <v>70534</v>
      </c>
      <c r="E25" s="621">
        <f t="shared" si="2"/>
        <v>2069332</v>
      </c>
      <c r="F25" s="622">
        <f>SUM(F5:F24)</f>
        <v>1000000</v>
      </c>
      <c r="G25" s="620">
        <f>SUM(G5:G24)</f>
        <v>1056832</v>
      </c>
      <c r="H25" s="620">
        <f>SUM(H5:H24)</f>
        <v>12500</v>
      </c>
      <c r="I25" s="623">
        <f t="shared" si="1"/>
        <v>2069332</v>
      </c>
    </row>
  </sheetData>
  <sheetProtection selectLockedCells="1" selectUnlockedCells="1"/>
  <mergeCells count="4">
    <mergeCell ref="A1:I1"/>
    <mergeCell ref="A3:A4"/>
    <mergeCell ref="B3:E3"/>
    <mergeCell ref="F3:I3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89"/>
  <headerFooter alignWithMargins="0">
    <oddHeader>&amp;L 14. melléklet a 30/2011.(X.28.)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workbookViewId="0" topLeftCell="A16">
      <selection activeCell="A33" sqref="A33"/>
    </sheetView>
  </sheetViews>
  <sheetFormatPr defaultColWidth="9.00390625" defaultRowHeight="12" customHeight="1"/>
  <cols>
    <col min="1" max="1" width="52.375" style="107" customWidth="1"/>
    <col min="2" max="4" width="11.75390625" style="107" customWidth="1"/>
    <col min="5" max="5" width="50.25390625" style="107" customWidth="1"/>
    <col min="6" max="7" width="11.75390625" style="107" customWidth="1"/>
    <col min="8" max="8" width="11.75390625" style="108" customWidth="1"/>
    <col min="9" max="16384" width="9.125" style="107" customWidth="1"/>
  </cols>
  <sheetData>
    <row r="1" spans="1:5" ht="12.75">
      <c r="A1" s="109" t="s">
        <v>100</v>
      </c>
      <c r="B1" s="110"/>
      <c r="C1" s="110"/>
      <c r="D1" s="110"/>
      <c r="E1" s="111"/>
    </row>
    <row r="3" spans="1:8" s="114" customFormat="1" ht="12.75">
      <c r="A3" s="112" t="s">
        <v>101</v>
      </c>
      <c r="B3" s="112"/>
      <c r="C3" s="112"/>
      <c r="D3" s="112"/>
      <c r="E3" s="112"/>
      <c r="F3" s="112"/>
      <c r="G3" s="112"/>
      <c r="H3" s="113"/>
    </row>
    <row r="4" ht="13.5"/>
    <row r="5" spans="1:8" ht="12.75" customHeight="1">
      <c r="A5" s="115" t="s">
        <v>1</v>
      </c>
      <c r="B5" s="115"/>
      <c r="C5" s="115"/>
      <c r="D5" s="115"/>
      <c r="E5" s="115" t="s">
        <v>2</v>
      </c>
      <c r="F5" s="115"/>
      <c r="G5" s="115"/>
      <c r="H5" s="115"/>
    </row>
    <row r="6" spans="1:8" ht="13.5">
      <c r="A6" s="116"/>
      <c r="B6" s="116" t="s">
        <v>3</v>
      </c>
      <c r="C6" s="116" t="s">
        <v>102</v>
      </c>
      <c r="D6" s="116" t="s">
        <v>5</v>
      </c>
      <c r="E6" s="117"/>
      <c r="F6" s="117" t="s">
        <v>3</v>
      </c>
      <c r="G6" s="117" t="s">
        <v>102</v>
      </c>
      <c r="H6" s="118" t="s">
        <v>5</v>
      </c>
    </row>
    <row r="7" spans="1:8" ht="12.75">
      <c r="A7" s="119" t="s">
        <v>7</v>
      </c>
      <c r="B7" s="120">
        <f>228452-20480</f>
        <v>207972</v>
      </c>
      <c r="C7" s="120">
        <v>208622</v>
      </c>
      <c r="D7" s="120">
        <v>217710</v>
      </c>
      <c r="E7" s="121" t="s">
        <v>103</v>
      </c>
      <c r="F7" s="122">
        <v>1757298</v>
      </c>
      <c r="G7" s="122">
        <v>1779146</v>
      </c>
      <c r="H7" s="122">
        <v>1800320</v>
      </c>
    </row>
    <row r="8" spans="1:8" ht="12.75">
      <c r="A8" s="123" t="s">
        <v>104</v>
      </c>
      <c r="B8" s="122">
        <v>1949303</v>
      </c>
      <c r="C8" s="122">
        <v>1949303</v>
      </c>
      <c r="D8" s="122">
        <v>1949303</v>
      </c>
      <c r="E8" s="123" t="s">
        <v>105</v>
      </c>
      <c r="F8" s="122">
        <v>485937</v>
      </c>
      <c r="G8" s="122">
        <v>490840</v>
      </c>
      <c r="H8" s="122">
        <v>496903</v>
      </c>
    </row>
    <row r="9" spans="1:8" ht="12.75">
      <c r="A9" s="123" t="s">
        <v>106</v>
      </c>
      <c r="B9" s="122">
        <v>982909</v>
      </c>
      <c r="C9" s="122">
        <v>987303</v>
      </c>
      <c r="D9" s="122">
        <v>997219</v>
      </c>
      <c r="E9" s="124" t="s">
        <v>107</v>
      </c>
      <c r="F9" s="122">
        <f>1272890-F56</f>
        <v>1245689</v>
      </c>
      <c r="G9" s="122">
        <v>1341210</v>
      </c>
      <c r="H9" s="122">
        <v>1392116</v>
      </c>
    </row>
    <row r="10" spans="1:8" ht="12.75">
      <c r="A10" s="123" t="s">
        <v>108</v>
      </c>
      <c r="B10" s="122">
        <v>941908</v>
      </c>
      <c r="C10" s="122">
        <v>952843</v>
      </c>
      <c r="D10" s="122">
        <v>976951</v>
      </c>
      <c r="E10" s="123" t="s">
        <v>109</v>
      </c>
      <c r="F10" s="122">
        <v>326856</v>
      </c>
      <c r="G10" s="122">
        <v>314039</v>
      </c>
      <c r="H10" s="122">
        <f>354402-5200-4800</f>
        <v>344402</v>
      </c>
    </row>
    <row r="11" spans="1:8" ht="12.75">
      <c r="A11" s="123"/>
      <c r="B11" s="122"/>
      <c r="C11" s="122"/>
      <c r="D11" s="122"/>
      <c r="E11" s="123" t="s">
        <v>110</v>
      </c>
      <c r="F11" s="122"/>
      <c r="G11" s="122"/>
      <c r="H11" s="122"/>
    </row>
    <row r="12" spans="1:8" ht="12.75">
      <c r="A12" s="123"/>
      <c r="B12" s="122"/>
      <c r="C12" s="122"/>
      <c r="D12" s="122"/>
      <c r="E12" s="123" t="s">
        <v>111</v>
      </c>
      <c r="F12" s="122"/>
      <c r="G12" s="122"/>
      <c r="H12" s="122"/>
    </row>
    <row r="13" spans="1:8" ht="12.75">
      <c r="A13" s="123" t="s">
        <v>112</v>
      </c>
      <c r="B13" s="122">
        <f>SUM(B14:B23)</f>
        <v>96754</v>
      </c>
      <c r="C13" s="122">
        <f>SUM(C14:C23)</f>
        <v>37654</v>
      </c>
      <c r="D13" s="122">
        <f>SUM(D14:D24)</f>
        <v>63634</v>
      </c>
      <c r="E13" s="123" t="s">
        <v>113</v>
      </c>
      <c r="F13" s="122">
        <v>153115</v>
      </c>
      <c r="G13" s="122">
        <v>180115</v>
      </c>
      <c r="H13" s="122">
        <v>186515</v>
      </c>
    </row>
    <row r="14" spans="1:8" ht="12.75">
      <c r="A14" s="123" t="s">
        <v>114</v>
      </c>
      <c r="B14" s="125">
        <v>15000</v>
      </c>
      <c r="C14" s="125">
        <v>15000</v>
      </c>
      <c r="D14" s="125">
        <v>15000</v>
      </c>
      <c r="E14" s="123" t="s">
        <v>27</v>
      </c>
      <c r="F14" s="122">
        <v>10200</v>
      </c>
      <c r="G14" s="122">
        <v>10200</v>
      </c>
      <c r="H14" s="122">
        <v>10200</v>
      </c>
    </row>
    <row r="15" spans="1:8" ht="12.75">
      <c r="A15" s="123" t="s">
        <v>115</v>
      </c>
      <c r="B15" s="125">
        <v>2000</v>
      </c>
      <c r="C15" s="125">
        <v>2000</v>
      </c>
      <c r="D15" s="125">
        <v>2000</v>
      </c>
      <c r="E15" s="123" t="s">
        <v>43</v>
      </c>
      <c r="F15" s="122">
        <v>11000</v>
      </c>
      <c r="G15" s="122">
        <v>7262</v>
      </c>
      <c r="H15" s="122">
        <v>2155</v>
      </c>
    </row>
    <row r="16" spans="1:8" ht="12.75">
      <c r="A16" s="123" t="s">
        <v>116</v>
      </c>
      <c r="B16" s="125">
        <v>2654</v>
      </c>
      <c r="C16" s="125">
        <v>2654</v>
      </c>
      <c r="D16" s="125">
        <v>2654</v>
      </c>
      <c r="E16" s="126" t="s">
        <v>117</v>
      </c>
      <c r="F16" s="122">
        <v>139986</v>
      </c>
      <c r="G16" s="122">
        <v>237762</v>
      </c>
      <c r="H16" s="122">
        <f>115233+5200+4800</f>
        <v>125233</v>
      </c>
    </row>
    <row r="17" spans="1:8" ht="12.75">
      <c r="A17" s="123" t="s">
        <v>118</v>
      </c>
      <c r="B17" s="125">
        <v>5000</v>
      </c>
      <c r="C17" s="125">
        <v>5000</v>
      </c>
      <c r="D17" s="125">
        <v>20000</v>
      </c>
      <c r="E17" s="127" t="s">
        <v>119</v>
      </c>
      <c r="F17" s="122">
        <v>840</v>
      </c>
      <c r="G17" s="122">
        <v>840</v>
      </c>
      <c r="H17" s="122">
        <v>840</v>
      </c>
    </row>
    <row r="18" spans="1:8" ht="12.75">
      <c r="A18" s="123" t="s">
        <v>120</v>
      </c>
      <c r="B18" s="125">
        <v>34100</v>
      </c>
      <c r="C18" s="125">
        <v>0</v>
      </c>
      <c r="D18" s="125">
        <v>0</v>
      </c>
      <c r="E18" s="127" t="s">
        <v>121</v>
      </c>
      <c r="F18" s="122"/>
      <c r="G18" s="122"/>
      <c r="H18" s="122">
        <v>20000</v>
      </c>
    </row>
    <row r="19" spans="1:8" ht="12.75">
      <c r="A19" s="123" t="s">
        <v>122</v>
      </c>
      <c r="B19" s="125">
        <v>10000</v>
      </c>
      <c r="C19" s="125">
        <v>0</v>
      </c>
      <c r="D19" s="125">
        <v>0</v>
      </c>
      <c r="E19" s="123" t="s">
        <v>123</v>
      </c>
      <c r="F19" s="122">
        <f>SUM(F20:F27)</f>
        <v>84754</v>
      </c>
      <c r="G19" s="122">
        <f>SUM(G20:G27)</f>
        <v>35354</v>
      </c>
      <c r="H19" s="122">
        <f>SUM(H20:H28)</f>
        <v>139205</v>
      </c>
    </row>
    <row r="20" spans="1:8" ht="12.75">
      <c r="A20" s="122" t="s">
        <v>124</v>
      </c>
      <c r="B20" s="125">
        <v>8000</v>
      </c>
      <c r="C20" s="125">
        <v>8000</v>
      </c>
      <c r="D20" s="125">
        <v>8000</v>
      </c>
      <c r="E20" s="123" t="s">
        <v>125</v>
      </c>
      <c r="F20" s="125">
        <v>2000</v>
      </c>
      <c r="G20" s="125">
        <v>2000</v>
      </c>
      <c r="H20" s="122">
        <v>2000</v>
      </c>
    </row>
    <row r="21" spans="1:8" ht="12.75">
      <c r="A21" s="122" t="s">
        <v>126</v>
      </c>
      <c r="B21" s="125">
        <v>5000</v>
      </c>
      <c r="C21" s="125">
        <v>5000</v>
      </c>
      <c r="D21" s="125">
        <v>5000</v>
      </c>
      <c r="E21" s="123" t="s">
        <v>127</v>
      </c>
      <c r="F21" s="125">
        <v>6000</v>
      </c>
      <c r="G21" s="125">
        <v>6000</v>
      </c>
      <c r="H21" s="122">
        <v>6000</v>
      </c>
    </row>
    <row r="22" spans="1:8" ht="12.75">
      <c r="A22" s="122" t="s">
        <v>128</v>
      </c>
      <c r="B22" s="125">
        <v>7500</v>
      </c>
      <c r="C22" s="125">
        <v>0</v>
      </c>
      <c r="D22" s="125">
        <v>0</v>
      </c>
      <c r="E22" s="123" t="s">
        <v>116</v>
      </c>
      <c r="F22" s="125">
        <f>2654+10000</f>
        <v>12654</v>
      </c>
      <c r="G22" s="125">
        <v>2654</v>
      </c>
      <c r="H22" s="122">
        <v>2654</v>
      </c>
    </row>
    <row r="23" spans="1:8" ht="12.75">
      <c r="A23" s="123" t="s">
        <v>129</v>
      </c>
      <c r="B23" s="125">
        <v>7500</v>
      </c>
      <c r="C23" s="125">
        <v>0</v>
      </c>
      <c r="D23" s="125">
        <v>0</v>
      </c>
      <c r="E23" s="123" t="s">
        <v>130</v>
      </c>
      <c r="F23" s="125">
        <v>34100</v>
      </c>
      <c r="G23" s="125">
        <v>0</v>
      </c>
      <c r="H23" s="122">
        <v>0</v>
      </c>
    </row>
    <row r="24" spans="1:8" ht="12.75">
      <c r="A24" s="123" t="s">
        <v>131</v>
      </c>
      <c r="B24" s="123"/>
      <c r="C24" s="123"/>
      <c r="D24" s="128">
        <v>10980</v>
      </c>
      <c r="E24" s="123" t="s">
        <v>132</v>
      </c>
      <c r="F24" s="125">
        <v>15000</v>
      </c>
      <c r="G24" s="125">
        <v>15000</v>
      </c>
      <c r="H24" s="122">
        <v>68000</v>
      </c>
    </row>
    <row r="25" spans="1:8" ht="12.75">
      <c r="A25" s="129"/>
      <c r="B25" s="130"/>
      <c r="C25" s="131"/>
      <c r="D25" s="132"/>
      <c r="E25" s="123" t="s">
        <v>133</v>
      </c>
      <c r="F25" s="125">
        <v>7500</v>
      </c>
      <c r="G25" s="125">
        <v>0</v>
      </c>
      <c r="H25" s="122">
        <v>0</v>
      </c>
    </row>
    <row r="26" spans="1:8" ht="12.75">
      <c r="A26" s="129" t="s">
        <v>134</v>
      </c>
      <c r="B26" s="123"/>
      <c r="C26" s="123"/>
      <c r="D26" s="123"/>
      <c r="E26" s="122" t="s">
        <v>135</v>
      </c>
      <c r="F26" s="125">
        <v>7500</v>
      </c>
      <c r="G26" s="125">
        <v>0</v>
      </c>
      <c r="H26" s="122">
        <v>0</v>
      </c>
    </row>
    <row r="27" spans="1:8" ht="13.5">
      <c r="A27" s="133"/>
      <c r="B27" s="133"/>
      <c r="C27" s="133"/>
      <c r="D27" s="134"/>
      <c r="E27" s="122" t="s">
        <v>136</v>
      </c>
      <c r="F27" s="125"/>
      <c r="G27" s="125">
        <v>9700</v>
      </c>
      <c r="H27" s="122">
        <v>49571</v>
      </c>
    </row>
    <row r="28" spans="1:8" ht="13.5">
      <c r="A28" s="135"/>
      <c r="B28" s="135"/>
      <c r="C28" s="135"/>
      <c r="D28" s="136"/>
      <c r="E28" s="132" t="s">
        <v>137</v>
      </c>
      <c r="F28" s="137"/>
      <c r="G28" s="137"/>
      <c r="H28" s="132">
        <v>10980</v>
      </c>
    </row>
    <row r="29" spans="1:8" s="140" customFormat="1" ht="13.5">
      <c r="A29" s="138" t="s">
        <v>87</v>
      </c>
      <c r="B29" s="139">
        <f>SUM(B7:B13)</f>
        <v>4178846</v>
      </c>
      <c r="C29" s="139">
        <f>SUM(C7:C13)</f>
        <v>4135725</v>
      </c>
      <c r="D29" s="139">
        <f>SUM(D7:D13)+D25</f>
        <v>4204817</v>
      </c>
      <c r="E29" s="138" t="s">
        <v>88</v>
      </c>
      <c r="F29" s="139">
        <f>SUM(F7+F8+F9+F10+F13+F14+F15+F16+F17+F19)</f>
        <v>4215675</v>
      </c>
      <c r="G29" s="139">
        <f>SUM(G7+G8+G9+G10+G13+G14+G15+G16+G17+G19)</f>
        <v>4396768</v>
      </c>
      <c r="H29" s="139">
        <f>SUM(H7:H19)</f>
        <v>4517889</v>
      </c>
    </row>
    <row r="30" spans="1:8" s="140" customFormat="1" ht="12.75">
      <c r="A30" s="141" t="s">
        <v>138</v>
      </c>
      <c r="B30" s="142"/>
      <c r="C30" s="142"/>
      <c r="D30" s="142"/>
      <c r="E30" s="143"/>
      <c r="F30" s="144"/>
      <c r="G30" s="144"/>
      <c r="H30" s="144"/>
    </row>
    <row r="31" spans="1:8" s="140" customFormat="1" ht="12.75">
      <c r="A31" s="145" t="s">
        <v>139</v>
      </c>
      <c r="B31" s="146">
        <f>SUM(B32:B33)</f>
        <v>36829</v>
      </c>
      <c r="C31" s="146">
        <f>SUM(C32:C33)</f>
        <v>251543</v>
      </c>
      <c r="D31" s="146">
        <f>SUM(D32:D33)</f>
        <v>251543</v>
      </c>
      <c r="E31" s="145"/>
      <c r="F31" s="146"/>
      <c r="G31" s="146"/>
      <c r="H31" s="146"/>
    </row>
    <row r="32" spans="1:8" s="140" customFormat="1" ht="12.75">
      <c r="A32" s="123" t="s">
        <v>140</v>
      </c>
      <c r="B32" s="122">
        <v>24829</v>
      </c>
      <c r="C32" s="122">
        <v>251543</v>
      </c>
      <c r="D32" s="122">
        <v>251543</v>
      </c>
      <c r="E32" s="145"/>
      <c r="F32" s="146"/>
      <c r="G32" s="146"/>
      <c r="H32" s="146"/>
    </row>
    <row r="33" spans="1:8" s="140" customFormat="1" ht="25.5">
      <c r="A33" s="147" t="s">
        <v>141</v>
      </c>
      <c r="B33" s="122">
        <v>12000</v>
      </c>
      <c r="C33" s="122"/>
      <c r="D33" s="122"/>
      <c r="E33" s="148"/>
      <c r="F33" s="149"/>
      <c r="G33" s="149"/>
      <c r="H33" s="149"/>
    </row>
    <row r="34" spans="1:8" s="140" customFormat="1" ht="13.5">
      <c r="A34" s="150" t="s">
        <v>142</v>
      </c>
      <c r="B34" s="132"/>
      <c r="C34" s="132"/>
      <c r="D34" s="132"/>
      <c r="E34" s="151"/>
      <c r="F34" s="152"/>
      <c r="G34" s="152"/>
      <c r="H34" s="152"/>
    </row>
    <row r="35" spans="1:8" s="140" customFormat="1" ht="13.5">
      <c r="A35" s="153" t="s">
        <v>143</v>
      </c>
      <c r="B35" s="154">
        <f>SUM(B29+B31)</f>
        <v>4215675</v>
      </c>
      <c r="C35" s="154">
        <f>SUM(C29+C31)</f>
        <v>4387268</v>
      </c>
      <c r="D35" s="154">
        <f>SUM(D29+D31+D34)</f>
        <v>4456360</v>
      </c>
      <c r="E35" s="153" t="s">
        <v>143</v>
      </c>
      <c r="F35" s="139">
        <f>SUM(F29)</f>
        <v>4215675</v>
      </c>
      <c r="G35" s="139">
        <f>SUM(G29)</f>
        <v>4396768</v>
      </c>
      <c r="H35" s="139">
        <f>SUM(H29)</f>
        <v>4517889</v>
      </c>
    </row>
    <row r="36" spans="1:8" s="140" customFormat="1" ht="12.75">
      <c r="A36" s="1"/>
      <c r="B36" s="1"/>
      <c r="C36" s="1"/>
      <c r="D36" s="1"/>
      <c r="E36" s="1"/>
      <c r="H36" s="155"/>
    </row>
    <row r="37" spans="1:8" s="140" customFormat="1" ht="12.75">
      <c r="A37" s="1"/>
      <c r="B37" s="1"/>
      <c r="C37" s="1"/>
      <c r="D37" s="1"/>
      <c r="E37" s="107"/>
      <c r="H37" s="155"/>
    </row>
    <row r="38" spans="1:7" ht="12.75">
      <c r="A38" s="109" t="s">
        <v>144</v>
      </c>
      <c r="B38" s="110"/>
      <c r="C38" s="110"/>
      <c r="D38" s="110"/>
      <c r="F38" s="108"/>
      <c r="G38" s="108"/>
    </row>
    <row r="39" ht="13.5" customHeight="1">
      <c r="E39" s="111"/>
    </row>
    <row r="40" spans="1:8" s="114" customFormat="1" ht="12.75">
      <c r="A40" s="112" t="s">
        <v>145</v>
      </c>
      <c r="B40" s="112"/>
      <c r="C40" s="112"/>
      <c r="D40" s="112"/>
      <c r="E40" s="112"/>
      <c r="F40" s="112"/>
      <c r="G40" s="112"/>
      <c r="H40" s="113"/>
    </row>
    <row r="41" ht="14.25" customHeight="1">
      <c r="E41" s="156"/>
    </row>
    <row r="42" spans="1:8" s="114" customFormat="1" ht="12.75">
      <c r="A42" s="157" t="s">
        <v>1</v>
      </c>
      <c r="B42" s="157"/>
      <c r="C42" s="157"/>
      <c r="D42" s="157"/>
      <c r="E42" s="115" t="s">
        <v>2</v>
      </c>
      <c r="F42" s="115"/>
      <c r="G42" s="115"/>
      <c r="H42" s="115"/>
    </row>
    <row r="43" spans="1:8" s="114" customFormat="1" ht="13.5">
      <c r="A43" s="158"/>
      <c r="B43" s="159" t="s">
        <v>3</v>
      </c>
      <c r="C43" s="158" t="s">
        <v>102</v>
      </c>
      <c r="D43" s="158" t="s">
        <v>5</v>
      </c>
      <c r="E43" s="116"/>
      <c r="F43" s="116" t="s">
        <v>6</v>
      </c>
      <c r="G43" s="116" t="s">
        <v>102</v>
      </c>
      <c r="H43" s="160" t="s">
        <v>5</v>
      </c>
    </row>
    <row r="44" spans="1:8" s="114" customFormat="1" ht="12.75">
      <c r="A44" s="161" t="s">
        <v>51</v>
      </c>
      <c r="B44" s="162">
        <v>503910</v>
      </c>
      <c r="C44" s="162">
        <v>503910</v>
      </c>
      <c r="D44" s="162">
        <v>467410</v>
      </c>
      <c r="E44" s="161" t="s">
        <v>146</v>
      </c>
      <c r="F44" s="163">
        <v>2518644</v>
      </c>
      <c r="G44" s="163">
        <v>2660524</v>
      </c>
      <c r="H44" s="144">
        <v>875864</v>
      </c>
    </row>
    <row r="45" spans="1:8" s="114" customFormat="1" ht="12.75">
      <c r="A45" s="123" t="s">
        <v>147</v>
      </c>
      <c r="B45" s="164">
        <v>20480</v>
      </c>
      <c r="C45" s="164">
        <v>20480</v>
      </c>
      <c r="D45" s="164">
        <v>20480</v>
      </c>
      <c r="E45" s="123" t="s">
        <v>148</v>
      </c>
      <c r="F45" s="122">
        <v>117796</v>
      </c>
      <c r="G45" s="122">
        <v>117796</v>
      </c>
      <c r="H45" s="146">
        <v>92736</v>
      </c>
    </row>
    <row r="46" spans="1:8" ht="12.75">
      <c r="A46" s="161" t="s">
        <v>149</v>
      </c>
      <c r="B46" s="162">
        <v>1351178</v>
      </c>
      <c r="C46" s="162">
        <v>1362643</v>
      </c>
      <c r="D46" s="162">
        <v>1361523</v>
      </c>
      <c r="E46" s="121" t="s">
        <v>150</v>
      </c>
      <c r="F46" s="122">
        <v>303871</v>
      </c>
      <c r="G46" s="122">
        <v>288959</v>
      </c>
      <c r="H46" s="122">
        <v>234229</v>
      </c>
    </row>
    <row r="47" spans="1:8" ht="12.75">
      <c r="A47" s="123" t="s">
        <v>151</v>
      </c>
      <c r="B47" s="164">
        <f>SUM(B48:B52)</f>
        <v>11379</v>
      </c>
      <c r="C47" s="164">
        <f>SUM(C48:C52)</f>
        <v>11379</v>
      </c>
      <c r="D47" s="164">
        <f>SUM(D48:D52)</f>
        <v>11379</v>
      </c>
      <c r="E47" s="123" t="s">
        <v>152</v>
      </c>
      <c r="F47" s="122">
        <v>2102</v>
      </c>
      <c r="G47" s="122">
        <v>2102</v>
      </c>
      <c r="H47" s="122">
        <v>2102</v>
      </c>
    </row>
    <row r="48" spans="1:8" ht="12.75">
      <c r="A48" s="123" t="s">
        <v>153</v>
      </c>
      <c r="B48" s="165">
        <v>2500</v>
      </c>
      <c r="C48" s="165">
        <v>2500</v>
      </c>
      <c r="D48" s="165">
        <v>2500</v>
      </c>
      <c r="E48" s="123" t="s">
        <v>154</v>
      </c>
      <c r="F48" s="122">
        <f>SUM(F49:F53)</f>
        <v>18579</v>
      </c>
      <c r="G48" s="122">
        <f>SUM(G49:G53)</f>
        <v>16579</v>
      </c>
      <c r="H48" s="122">
        <f>SUM(H49:H53)</f>
        <v>16579</v>
      </c>
    </row>
    <row r="49" spans="1:8" ht="12.75">
      <c r="A49" s="123" t="s">
        <v>155</v>
      </c>
      <c r="B49" s="165">
        <v>1500</v>
      </c>
      <c r="C49" s="165">
        <v>1500</v>
      </c>
      <c r="D49" s="165">
        <v>1500</v>
      </c>
      <c r="E49" s="123" t="s">
        <v>156</v>
      </c>
      <c r="F49" s="125">
        <v>5300</v>
      </c>
      <c r="G49" s="125">
        <v>3300</v>
      </c>
      <c r="H49" s="122">
        <v>3300</v>
      </c>
    </row>
    <row r="50" spans="1:8" ht="12.75">
      <c r="A50" s="123" t="s">
        <v>157</v>
      </c>
      <c r="B50" s="165">
        <v>600</v>
      </c>
      <c r="C50" s="165">
        <v>600</v>
      </c>
      <c r="D50" s="165">
        <v>600</v>
      </c>
      <c r="E50" s="123" t="s">
        <v>158</v>
      </c>
      <c r="F50" s="125">
        <v>1500</v>
      </c>
      <c r="G50" s="125">
        <v>1500</v>
      </c>
      <c r="H50" s="122">
        <v>1500</v>
      </c>
    </row>
    <row r="51" spans="1:8" ht="12.75">
      <c r="A51" s="123" t="s">
        <v>116</v>
      </c>
      <c r="B51" s="165">
        <v>1779</v>
      </c>
      <c r="C51" s="165">
        <v>1779</v>
      </c>
      <c r="D51" s="165">
        <v>1779</v>
      </c>
      <c r="E51" s="123" t="s">
        <v>159</v>
      </c>
      <c r="F51" s="125">
        <v>5000</v>
      </c>
      <c r="G51" s="125">
        <v>5000</v>
      </c>
      <c r="H51" s="122">
        <v>5000</v>
      </c>
    </row>
    <row r="52" spans="1:8" ht="12.75">
      <c r="A52" s="166" t="s">
        <v>160</v>
      </c>
      <c r="B52" s="125">
        <v>5000</v>
      </c>
      <c r="C52" s="125">
        <v>5000</v>
      </c>
      <c r="D52" s="165">
        <v>5000</v>
      </c>
      <c r="E52" s="123" t="s">
        <v>116</v>
      </c>
      <c r="F52" s="125">
        <v>1779</v>
      </c>
      <c r="G52" s="125">
        <v>1779</v>
      </c>
      <c r="H52" s="122">
        <v>1779</v>
      </c>
    </row>
    <row r="53" spans="1:8" ht="12.75">
      <c r="A53" s="123"/>
      <c r="B53" s="123"/>
      <c r="C53" s="123"/>
      <c r="D53" s="166"/>
      <c r="E53" s="123" t="s">
        <v>161</v>
      </c>
      <c r="F53" s="125">
        <v>5000</v>
      </c>
      <c r="G53" s="125">
        <v>5000</v>
      </c>
      <c r="H53" s="122">
        <v>5000</v>
      </c>
    </row>
    <row r="54" spans="1:8" ht="12.75">
      <c r="A54" s="123"/>
      <c r="B54" s="123"/>
      <c r="C54" s="123"/>
      <c r="D54" s="166"/>
      <c r="E54" s="123" t="s">
        <v>162</v>
      </c>
      <c r="F54" s="122">
        <v>380285</v>
      </c>
      <c r="G54" s="122">
        <v>366678</v>
      </c>
      <c r="H54" s="122">
        <v>72147</v>
      </c>
    </row>
    <row r="55" spans="1:8" ht="12.75">
      <c r="A55" s="123"/>
      <c r="B55" s="123"/>
      <c r="C55" s="123"/>
      <c r="D55" s="166"/>
      <c r="E55" s="123" t="s">
        <v>61</v>
      </c>
      <c r="F55" s="122"/>
      <c r="G55" s="122"/>
      <c r="H55" s="122">
        <v>2069332</v>
      </c>
    </row>
    <row r="56" spans="1:8" ht="12.75">
      <c r="A56" s="123"/>
      <c r="B56" s="123"/>
      <c r="C56" s="123"/>
      <c r="D56" s="166"/>
      <c r="E56" s="123" t="s">
        <v>163</v>
      </c>
      <c r="F56" s="122">
        <v>27201</v>
      </c>
      <c r="G56" s="122">
        <v>27201</v>
      </c>
      <c r="H56" s="122">
        <v>27201</v>
      </c>
    </row>
    <row r="57" spans="1:8" ht="12.75">
      <c r="A57" s="123"/>
      <c r="B57" s="123"/>
      <c r="C57" s="123"/>
      <c r="D57" s="166"/>
      <c r="E57" s="123" t="s">
        <v>164</v>
      </c>
      <c r="F57" s="122">
        <v>62072</v>
      </c>
      <c r="G57" s="122">
        <v>62072</v>
      </c>
      <c r="H57" s="122">
        <v>62072</v>
      </c>
    </row>
    <row r="58" spans="1:8" ht="13.5">
      <c r="A58" s="133"/>
      <c r="B58" s="167"/>
      <c r="C58" s="168"/>
      <c r="D58" s="169"/>
      <c r="E58" s="170" t="s">
        <v>165</v>
      </c>
      <c r="F58" s="168">
        <v>1123</v>
      </c>
      <c r="G58" s="168">
        <v>1123</v>
      </c>
      <c r="H58" s="168">
        <v>1123</v>
      </c>
    </row>
    <row r="59" spans="1:8" ht="13.5">
      <c r="A59" s="138" t="s">
        <v>87</v>
      </c>
      <c r="B59" s="139">
        <f>SUM(B44:B47)</f>
        <v>1886947</v>
      </c>
      <c r="C59" s="139">
        <f>SUM(C44:C47)</f>
        <v>1898412</v>
      </c>
      <c r="D59" s="171">
        <f>SUM(D44:D47)</f>
        <v>1860792</v>
      </c>
      <c r="E59" s="138" t="s">
        <v>88</v>
      </c>
      <c r="F59" s="139">
        <f>SUM(F44:F48,F54:F58)</f>
        <v>3431673</v>
      </c>
      <c r="G59" s="139">
        <f>SUM(G44:G48,G54:G58)</f>
        <v>3543034</v>
      </c>
      <c r="H59" s="139">
        <f>SUM(H44:H48,H54:H58)</f>
        <v>3453385</v>
      </c>
    </row>
    <row r="60" spans="1:8" ht="12.75">
      <c r="A60" s="143" t="s">
        <v>166</v>
      </c>
      <c r="B60" s="172"/>
      <c r="C60" s="172"/>
      <c r="D60" s="172"/>
      <c r="E60" s="143"/>
      <c r="F60" s="143"/>
      <c r="G60" s="143"/>
      <c r="H60" s="163"/>
    </row>
    <row r="61" spans="1:8" ht="12.75">
      <c r="A61" s="145" t="s">
        <v>139</v>
      </c>
      <c r="B61" s="172">
        <f>SUM(B62:B63)</f>
        <v>1565103</v>
      </c>
      <c r="C61" s="172">
        <f>SUM(C62:C63)</f>
        <v>1674499</v>
      </c>
      <c r="D61" s="172">
        <f>SUM(D62:D63)</f>
        <v>1674499</v>
      </c>
      <c r="E61" s="145"/>
      <c r="F61" s="145"/>
      <c r="G61" s="145"/>
      <c r="H61" s="122"/>
    </row>
    <row r="62" spans="1:8" ht="12.75">
      <c r="A62" s="123" t="s">
        <v>167</v>
      </c>
      <c r="B62" s="164">
        <f>565103</f>
        <v>565103</v>
      </c>
      <c r="C62" s="164">
        <v>674499</v>
      </c>
      <c r="D62" s="164">
        <v>674499</v>
      </c>
      <c r="E62" s="145"/>
      <c r="F62" s="146"/>
      <c r="G62" s="146"/>
      <c r="H62" s="122"/>
    </row>
    <row r="63" spans="1:8" ht="14.25" customHeight="1">
      <c r="A63" s="147" t="s">
        <v>168</v>
      </c>
      <c r="B63" s="164">
        <v>1000000</v>
      </c>
      <c r="C63" s="169">
        <v>1000000</v>
      </c>
      <c r="D63" s="169">
        <v>1000000</v>
      </c>
      <c r="E63" s="148" t="s">
        <v>169</v>
      </c>
      <c r="F63" s="149">
        <v>20377</v>
      </c>
      <c r="G63" s="149">
        <v>20377</v>
      </c>
      <c r="H63" s="149">
        <v>20377</v>
      </c>
    </row>
    <row r="64" spans="1:9" ht="13.5">
      <c r="A64" s="138" t="s">
        <v>143</v>
      </c>
      <c r="B64" s="139">
        <f>SUM(B59+B61)</f>
        <v>3452050</v>
      </c>
      <c r="C64" s="139">
        <f>SUM(C59+C61)</f>
        <v>3572911</v>
      </c>
      <c r="D64" s="171">
        <f>SUM(D59+D61)</f>
        <v>3535291</v>
      </c>
      <c r="E64" s="138" t="s">
        <v>143</v>
      </c>
      <c r="F64" s="139">
        <f>SUM(F59+F63)</f>
        <v>3452050</v>
      </c>
      <c r="G64" s="139">
        <f>SUM(G59+G63)</f>
        <v>3563411</v>
      </c>
      <c r="H64" s="139">
        <f>SUM(H59+H63)</f>
        <v>3473762</v>
      </c>
      <c r="I64" s="108"/>
    </row>
    <row r="65" spans="1:8" ht="12.75">
      <c r="A65" s="173"/>
      <c r="B65" s="174"/>
      <c r="C65" s="174"/>
      <c r="D65" s="174"/>
      <c r="E65" s="175"/>
      <c r="F65" s="176"/>
      <c r="G65" s="176"/>
      <c r="H65" s="176"/>
    </row>
    <row r="66" spans="1:5" ht="12.75">
      <c r="A66" s="114"/>
      <c r="B66" s="174"/>
      <c r="C66" s="174"/>
      <c r="D66" s="174"/>
      <c r="E66" s="174"/>
    </row>
    <row r="67" spans="1:5" ht="12.75">
      <c r="A67" s="111"/>
      <c r="B67" s="177"/>
      <c r="C67" s="177"/>
      <c r="D67" s="177"/>
      <c r="E67" s="108"/>
    </row>
    <row r="68" spans="1:8" ht="12.75">
      <c r="A68" s="178" t="s">
        <v>170</v>
      </c>
      <c r="B68" s="179">
        <f>SUM(B64,B35)</f>
        <v>7667725</v>
      </c>
      <c r="C68" s="179">
        <f>SUM(C64,C35)</f>
        <v>7960179</v>
      </c>
      <c r="D68" s="179">
        <f>SUM(D64,D35)</f>
        <v>7991651</v>
      </c>
      <c r="E68" s="178" t="s">
        <v>171</v>
      </c>
      <c r="F68" s="180">
        <f>SUM(F29,F64)</f>
        <v>7667725</v>
      </c>
      <c r="G68" s="180">
        <f>SUM(G29,G64)</f>
        <v>7960179</v>
      </c>
      <c r="H68" s="180">
        <f>SUM(H29,H64)</f>
        <v>7991651</v>
      </c>
    </row>
  </sheetData>
  <sheetProtection selectLockedCells="1" selectUnlockedCells="1"/>
  <mergeCells count="6">
    <mergeCell ref="A3:G3"/>
    <mergeCell ref="A5:D5"/>
    <mergeCell ref="E5:H5"/>
    <mergeCell ref="A40:G40"/>
    <mergeCell ref="A42:D42"/>
    <mergeCell ref="E42:H42"/>
  </mergeCells>
  <printOptions horizontalCentered="1"/>
  <pageMargins left="0.2361111111111111" right="0.15763888888888888" top="0.6694444444444444" bottom="0.9840277777777777" header="0.5118055555555555" footer="0.5118055555555555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49.625" style="0" customWidth="1"/>
    <col min="2" max="13" width="11.75390625" style="0" customWidth="1"/>
  </cols>
  <sheetData>
    <row r="1" spans="1:12" ht="12.7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4.25">
      <c r="A2" s="183" t="s">
        <v>172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5"/>
    </row>
    <row r="3" spans="1:12" ht="15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2"/>
      <c r="L3" s="182"/>
    </row>
    <row r="4" spans="1:13" ht="54.75" customHeight="1">
      <c r="A4" s="185" t="s">
        <v>173</v>
      </c>
      <c r="B4" s="186" t="s">
        <v>9</v>
      </c>
      <c r="C4" s="186"/>
      <c r="D4" s="186"/>
      <c r="E4" s="186" t="s">
        <v>10</v>
      </c>
      <c r="F4" s="186"/>
      <c r="G4" s="186"/>
      <c r="H4" s="186" t="s">
        <v>12</v>
      </c>
      <c r="I4" s="186"/>
      <c r="J4" s="186"/>
      <c r="K4" s="187" t="s">
        <v>174</v>
      </c>
      <c r="L4" s="187"/>
      <c r="M4" s="187"/>
    </row>
    <row r="5" spans="1:13" ht="12.75" customHeight="1">
      <c r="A5" s="188"/>
      <c r="B5" s="189" t="s">
        <v>3</v>
      </c>
      <c r="C5" s="189" t="s">
        <v>102</v>
      </c>
      <c r="D5" s="189" t="s">
        <v>5</v>
      </c>
      <c r="E5" s="189" t="s">
        <v>3</v>
      </c>
      <c r="F5" s="189" t="s">
        <v>102</v>
      </c>
      <c r="G5" s="189" t="s">
        <v>5</v>
      </c>
      <c r="H5" s="189" t="s">
        <v>3</v>
      </c>
      <c r="I5" s="189" t="s">
        <v>102</v>
      </c>
      <c r="J5" s="189" t="s">
        <v>5</v>
      </c>
      <c r="K5" s="189" t="s">
        <v>6</v>
      </c>
      <c r="L5" s="189" t="s">
        <v>102</v>
      </c>
      <c r="M5" s="190" t="s">
        <v>5</v>
      </c>
    </row>
    <row r="6" spans="1:13" s="194" customFormat="1" ht="12.75" customHeight="1">
      <c r="A6" s="191" t="s">
        <v>7</v>
      </c>
      <c r="B6" s="192">
        <f aca="true" t="shared" si="0" ref="B6:J6">SUM(B7:B10)</f>
        <v>81733</v>
      </c>
      <c r="C6" s="192">
        <f t="shared" si="0"/>
        <v>81733</v>
      </c>
      <c r="D6" s="192">
        <f t="shared" si="0"/>
        <v>82283</v>
      </c>
      <c r="E6" s="192">
        <f t="shared" si="0"/>
        <v>139819</v>
      </c>
      <c r="F6" s="192">
        <f t="shared" si="0"/>
        <v>140469</v>
      </c>
      <c r="G6" s="192">
        <f t="shared" si="0"/>
        <v>144497</v>
      </c>
      <c r="H6" s="192">
        <f t="shared" si="0"/>
        <v>6900</v>
      </c>
      <c r="I6" s="192">
        <f t="shared" si="0"/>
        <v>6900</v>
      </c>
      <c r="J6" s="192">
        <f t="shared" si="0"/>
        <v>11410</v>
      </c>
      <c r="K6" s="192">
        <f>SUM(B6+E6+H6)</f>
        <v>228452</v>
      </c>
      <c r="L6" s="192">
        <f>SUM(C6+F6+I6)</f>
        <v>229102</v>
      </c>
      <c r="M6" s="193">
        <f>SUM(D6+G6+J6)</f>
        <v>238190</v>
      </c>
    </row>
    <row r="7" spans="1:13" ht="12.75" customHeight="1">
      <c r="A7" s="44" t="s">
        <v>175</v>
      </c>
      <c r="B7" s="195">
        <v>8000</v>
      </c>
      <c r="C7" s="195">
        <v>8000</v>
      </c>
      <c r="D7" s="195">
        <v>8000</v>
      </c>
      <c r="E7" s="195"/>
      <c r="F7" s="195"/>
      <c r="G7" s="195"/>
      <c r="H7" s="195"/>
      <c r="I7" s="195"/>
      <c r="J7" s="195"/>
      <c r="K7" s="192">
        <f aca="true" t="shared" si="1" ref="K7:K58">SUM(B7+E7+H7)</f>
        <v>8000</v>
      </c>
      <c r="L7" s="192">
        <f aca="true" t="shared" si="2" ref="L7:M59">SUM(C7+F7+I7)</f>
        <v>8000</v>
      </c>
      <c r="M7" s="193">
        <f t="shared" si="2"/>
        <v>8000</v>
      </c>
    </row>
    <row r="8" spans="1:13" ht="25.5">
      <c r="A8" s="196" t="s">
        <v>176</v>
      </c>
      <c r="B8" s="195">
        <v>19031</v>
      </c>
      <c r="C8" s="195">
        <v>19031</v>
      </c>
      <c r="D8" s="195">
        <v>19581</v>
      </c>
      <c r="E8" s="195">
        <v>111304</v>
      </c>
      <c r="F8" s="195">
        <v>111881</v>
      </c>
      <c r="G8" s="195">
        <v>115140</v>
      </c>
      <c r="H8" s="195">
        <v>6350</v>
      </c>
      <c r="I8" s="195">
        <v>6300</v>
      </c>
      <c r="J8" s="195">
        <v>9210</v>
      </c>
      <c r="K8" s="192">
        <f t="shared" si="1"/>
        <v>136685</v>
      </c>
      <c r="L8" s="192">
        <f t="shared" si="2"/>
        <v>137212</v>
      </c>
      <c r="M8" s="193">
        <f t="shared" si="2"/>
        <v>143931</v>
      </c>
    </row>
    <row r="9" spans="1:13" ht="12.75" customHeight="1">
      <c r="A9" s="44" t="s">
        <v>177</v>
      </c>
      <c r="B9" s="195">
        <v>33839</v>
      </c>
      <c r="C9" s="195">
        <v>33839</v>
      </c>
      <c r="D9" s="195">
        <v>33839</v>
      </c>
      <c r="E9" s="195">
        <v>28515</v>
      </c>
      <c r="F9" s="195">
        <v>28588</v>
      </c>
      <c r="G9" s="195">
        <v>29357</v>
      </c>
      <c r="H9" s="195">
        <v>50</v>
      </c>
      <c r="I9" s="195">
        <v>100</v>
      </c>
      <c r="J9" s="195">
        <v>300</v>
      </c>
      <c r="K9" s="192">
        <f t="shared" si="1"/>
        <v>62404</v>
      </c>
      <c r="L9" s="192">
        <f t="shared" si="2"/>
        <v>62527</v>
      </c>
      <c r="M9" s="193">
        <f t="shared" si="2"/>
        <v>63496</v>
      </c>
    </row>
    <row r="10" spans="1:13" ht="12.75" customHeight="1">
      <c r="A10" s="44" t="s">
        <v>178</v>
      </c>
      <c r="B10" s="195">
        <v>20863</v>
      </c>
      <c r="C10" s="195">
        <v>20863</v>
      </c>
      <c r="D10" s="195">
        <v>20863</v>
      </c>
      <c r="E10" s="195"/>
      <c r="F10" s="195"/>
      <c r="G10" s="195"/>
      <c r="H10" s="195">
        <v>500</v>
      </c>
      <c r="I10" s="195">
        <v>500</v>
      </c>
      <c r="J10" s="195">
        <v>1900</v>
      </c>
      <c r="K10" s="192">
        <f t="shared" si="1"/>
        <v>21363</v>
      </c>
      <c r="L10" s="192">
        <f t="shared" si="2"/>
        <v>21363</v>
      </c>
      <c r="M10" s="193">
        <f t="shared" si="2"/>
        <v>22763</v>
      </c>
    </row>
    <row r="11" spans="1:13" s="197" customFormat="1" ht="12.75" customHeight="1">
      <c r="A11" s="42" t="s">
        <v>104</v>
      </c>
      <c r="B11" s="192">
        <f aca="true" t="shared" si="3" ref="B11:J11">SUM(B12,B19,B23,B24,B25,B26)</f>
        <v>1949303</v>
      </c>
      <c r="C11" s="192">
        <f t="shared" si="3"/>
        <v>1949303</v>
      </c>
      <c r="D11" s="192">
        <f t="shared" si="3"/>
        <v>1949303</v>
      </c>
      <c r="E11" s="192">
        <f t="shared" si="3"/>
        <v>0</v>
      </c>
      <c r="F11" s="192">
        <f t="shared" si="3"/>
        <v>0</v>
      </c>
      <c r="G11" s="192">
        <f t="shared" si="3"/>
        <v>0</v>
      </c>
      <c r="H11" s="192">
        <f t="shared" si="3"/>
        <v>0</v>
      </c>
      <c r="I11" s="192">
        <f t="shared" si="3"/>
        <v>0</v>
      </c>
      <c r="J11" s="192">
        <f t="shared" si="3"/>
        <v>0</v>
      </c>
      <c r="K11" s="192">
        <f t="shared" si="1"/>
        <v>1949303</v>
      </c>
      <c r="L11" s="192">
        <f t="shared" si="2"/>
        <v>1949303</v>
      </c>
      <c r="M11" s="193">
        <f t="shared" si="2"/>
        <v>1949303</v>
      </c>
    </row>
    <row r="12" spans="1:13" ht="12.75" customHeight="1">
      <c r="A12" s="44" t="s">
        <v>18</v>
      </c>
      <c r="B12" s="195">
        <f>SUM(B13:B18)</f>
        <v>1186500</v>
      </c>
      <c r="C12" s="195">
        <f>SUM(C13:C18)</f>
        <v>1186500</v>
      </c>
      <c r="D12" s="195">
        <f>SUM(D13:D18)</f>
        <v>1186500</v>
      </c>
      <c r="E12" s="195"/>
      <c r="F12" s="195">
        <f>SUM(F13:F18)</f>
        <v>0</v>
      </c>
      <c r="G12" s="195">
        <f>SUM(G13:G18)</f>
        <v>0</v>
      </c>
      <c r="H12" s="195"/>
      <c r="I12" s="195">
        <f>SUM(I13:I18)</f>
        <v>0</v>
      </c>
      <c r="J12" s="195">
        <f>SUM(J13:J18)</f>
        <v>0</v>
      </c>
      <c r="K12" s="192">
        <f t="shared" si="1"/>
        <v>1186500</v>
      </c>
      <c r="L12" s="192">
        <f t="shared" si="2"/>
        <v>1186500</v>
      </c>
      <c r="M12" s="193">
        <f t="shared" si="2"/>
        <v>1186500</v>
      </c>
    </row>
    <row r="13" spans="1:13" ht="12.75" customHeight="1">
      <c r="A13" s="198" t="s">
        <v>179</v>
      </c>
      <c r="B13" s="199">
        <v>195000</v>
      </c>
      <c r="C13" s="199">
        <v>195000</v>
      </c>
      <c r="D13" s="199">
        <v>195000</v>
      </c>
      <c r="E13" s="199"/>
      <c r="F13" s="199"/>
      <c r="G13" s="199"/>
      <c r="H13" s="199"/>
      <c r="I13" s="199"/>
      <c r="J13" s="199"/>
      <c r="K13" s="192">
        <f t="shared" si="1"/>
        <v>195000</v>
      </c>
      <c r="L13" s="192">
        <f t="shared" si="2"/>
        <v>195000</v>
      </c>
      <c r="M13" s="193">
        <f t="shared" si="2"/>
        <v>195000</v>
      </c>
    </row>
    <row r="14" spans="1:13" ht="12.75" customHeight="1">
      <c r="A14" s="198" t="s">
        <v>180</v>
      </c>
      <c r="B14" s="199">
        <v>70000</v>
      </c>
      <c r="C14" s="199">
        <v>70000</v>
      </c>
      <c r="D14" s="199">
        <v>70000</v>
      </c>
      <c r="E14" s="199"/>
      <c r="F14" s="199"/>
      <c r="G14" s="199"/>
      <c r="H14" s="199"/>
      <c r="I14" s="199"/>
      <c r="J14" s="199"/>
      <c r="K14" s="192">
        <f t="shared" si="1"/>
        <v>70000</v>
      </c>
      <c r="L14" s="192">
        <f t="shared" si="2"/>
        <v>70000</v>
      </c>
      <c r="M14" s="193">
        <f t="shared" si="2"/>
        <v>70000</v>
      </c>
    </row>
    <row r="15" spans="1:13" ht="12.75" customHeight="1">
      <c r="A15" s="198" t="s">
        <v>181</v>
      </c>
      <c r="B15" s="199">
        <v>16000</v>
      </c>
      <c r="C15" s="199">
        <v>16000</v>
      </c>
      <c r="D15" s="199">
        <v>16000</v>
      </c>
      <c r="E15" s="199"/>
      <c r="F15" s="199"/>
      <c r="G15" s="199"/>
      <c r="H15" s="199"/>
      <c r="I15" s="199"/>
      <c r="J15" s="199"/>
      <c r="K15" s="192">
        <f t="shared" si="1"/>
        <v>16000</v>
      </c>
      <c r="L15" s="192">
        <f t="shared" si="2"/>
        <v>16000</v>
      </c>
      <c r="M15" s="193">
        <f t="shared" si="2"/>
        <v>16000</v>
      </c>
    </row>
    <row r="16" spans="1:13" ht="12.75" customHeight="1">
      <c r="A16" s="198" t="s">
        <v>182</v>
      </c>
      <c r="B16" s="199">
        <v>890000</v>
      </c>
      <c r="C16" s="199">
        <v>890000</v>
      </c>
      <c r="D16" s="199">
        <v>890000</v>
      </c>
      <c r="E16" s="199"/>
      <c r="F16" s="199"/>
      <c r="G16" s="199"/>
      <c r="H16" s="199"/>
      <c r="I16" s="199"/>
      <c r="J16" s="199"/>
      <c r="K16" s="192">
        <f t="shared" si="1"/>
        <v>890000</v>
      </c>
      <c r="L16" s="192">
        <f t="shared" si="2"/>
        <v>890000</v>
      </c>
      <c r="M16" s="193">
        <f t="shared" si="2"/>
        <v>890000</v>
      </c>
    </row>
    <row r="17" spans="1:13" s="200" customFormat="1" ht="12.75">
      <c r="A17" s="198" t="s">
        <v>183</v>
      </c>
      <c r="B17" s="48">
        <v>12000</v>
      </c>
      <c r="C17" s="48">
        <v>12000</v>
      </c>
      <c r="D17" s="48">
        <v>12000</v>
      </c>
      <c r="E17" s="48"/>
      <c r="F17" s="48"/>
      <c r="G17" s="48"/>
      <c r="H17" s="48"/>
      <c r="I17" s="48"/>
      <c r="J17" s="48"/>
      <c r="K17" s="192">
        <f t="shared" si="1"/>
        <v>12000</v>
      </c>
      <c r="L17" s="192">
        <f t="shared" si="2"/>
        <v>12000</v>
      </c>
      <c r="M17" s="193">
        <f t="shared" si="2"/>
        <v>12000</v>
      </c>
    </row>
    <row r="18" spans="1:13" ht="12.75">
      <c r="A18" s="201" t="s">
        <v>184</v>
      </c>
      <c r="B18" s="199">
        <v>3500</v>
      </c>
      <c r="C18" s="199">
        <v>3500</v>
      </c>
      <c r="D18" s="199">
        <v>3500</v>
      </c>
      <c r="E18" s="199"/>
      <c r="F18" s="199"/>
      <c r="G18" s="199"/>
      <c r="H18" s="199"/>
      <c r="I18" s="199"/>
      <c r="J18" s="199"/>
      <c r="K18" s="192">
        <f t="shared" si="1"/>
        <v>3500</v>
      </c>
      <c r="L18" s="192">
        <f t="shared" si="2"/>
        <v>3500</v>
      </c>
      <c r="M18" s="193">
        <f t="shared" si="2"/>
        <v>3500</v>
      </c>
    </row>
    <row r="19" spans="1:13" ht="12.75">
      <c r="A19" s="44" t="s">
        <v>185</v>
      </c>
      <c r="B19" s="24">
        <f>SUM(B20:B22)</f>
        <v>665239</v>
      </c>
      <c r="C19" s="24">
        <f>SUM(C20:C22)</f>
        <v>665239</v>
      </c>
      <c r="D19" s="24">
        <f>SUM(D20:D22)</f>
        <v>665239</v>
      </c>
      <c r="E19" s="24"/>
      <c r="F19" s="24">
        <f>SUM(F20:F22)</f>
        <v>0</v>
      </c>
      <c r="G19" s="24">
        <f>SUM(G20:G22)</f>
        <v>0</v>
      </c>
      <c r="H19" s="24"/>
      <c r="I19" s="24">
        <f>SUM(I20:I22)</f>
        <v>0</v>
      </c>
      <c r="J19" s="24">
        <f>SUM(J20:J22)</f>
        <v>0</v>
      </c>
      <c r="K19" s="192">
        <f t="shared" si="1"/>
        <v>665239</v>
      </c>
      <c r="L19" s="192">
        <f t="shared" si="2"/>
        <v>665239</v>
      </c>
      <c r="M19" s="193">
        <f aca="true" t="shared" si="4" ref="M19:M25">SUM(D20+G19+J19)</f>
        <v>404939</v>
      </c>
    </row>
    <row r="20" spans="1:13" ht="12.75">
      <c r="A20" s="198" t="s">
        <v>186</v>
      </c>
      <c r="B20" s="48">
        <v>404939</v>
      </c>
      <c r="C20" s="48">
        <v>404939</v>
      </c>
      <c r="D20" s="24">
        <v>404939</v>
      </c>
      <c r="E20" s="48"/>
      <c r="F20" s="48"/>
      <c r="G20" s="48"/>
      <c r="H20" s="48"/>
      <c r="I20" s="48"/>
      <c r="J20" s="48"/>
      <c r="K20" s="192">
        <f t="shared" si="1"/>
        <v>404939</v>
      </c>
      <c r="L20" s="192">
        <f t="shared" si="2"/>
        <v>404939</v>
      </c>
      <c r="M20" s="193">
        <f t="shared" si="4"/>
        <v>260000</v>
      </c>
    </row>
    <row r="21" spans="1:13" ht="12.75">
      <c r="A21" s="198" t="s">
        <v>187</v>
      </c>
      <c r="B21" s="48">
        <v>260000</v>
      </c>
      <c r="C21" s="48">
        <v>260000</v>
      </c>
      <c r="D21" s="48">
        <v>260000</v>
      </c>
      <c r="E21" s="48"/>
      <c r="F21" s="48"/>
      <c r="G21" s="48"/>
      <c r="H21" s="48"/>
      <c r="I21" s="48"/>
      <c r="J21" s="48"/>
      <c r="K21" s="192">
        <f t="shared" si="1"/>
        <v>260000</v>
      </c>
      <c r="L21" s="192">
        <f t="shared" si="2"/>
        <v>260000</v>
      </c>
      <c r="M21" s="193">
        <f t="shared" si="4"/>
        <v>300</v>
      </c>
    </row>
    <row r="22" spans="1:13" ht="12.75">
      <c r="A22" s="198" t="s">
        <v>188</v>
      </c>
      <c r="B22" s="48">
        <v>300</v>
      </c>
      <c r="C22" s="48">
        <v>300</v>
      </c>
      <c r="D22" s="48">
        <v>300</v>
      </c>
      <c r="E22" s="48"/>
      <c r="F22" s="48"/>
      <c r="G22" s="48"/>
      <c r="H22" s="48"/>
      <c r="I22" s="48"/>
      <c r="J22" s="48"/>
      <c r="K22" s="192">
        <f t="shared" si="1"/>
        <v>300</v>
      </c>
      <c r="L22" s="192">
        <f t="shared" si="2"/>
        <v>300</v>
      </c>
      <c r="M22" s="193">
        <f t="shared" si="4"/>
        <v>3400</v>
      </c>
    </row>
    <row r="23" spans="1:13" ht="12.75">
      <c r="A23" s="44" t="s">
        <v>189</v>
      </c>
      <c r="B23" s="24">
        <v>3400</v>
      </c>
      <c r="C23" s="24">
        <v>3400</v>
      </c>
      <c r="D23" s="48">
        <v>3400</v>
      </c>
      <c r="E23" s="24"/>
      <c r="F23" s="24"/>
      <c r="G23" s="24"/>
      <c r="H23" s="24"/>
      <c r="I23" s="24"/>
      <c r="J23" s="24"/>
      <c r="K23" s="192">
        <f t="shared" si="1"/>
        <v>3400</v>
      </c>
      <c r="L23" s="192">
        <f t="shared" si="2"/>
        <v>3400</v>
      </c>
      <c r="M23" s="193">
        <f t="shared" si="4"/>
        <v>3500</v>
      </c>
    </row>
    <row r="24" spans="1:13" ht="12.75">
      <c r="A24" s="44" t="s">
        <v>24</v>
      </c>
      <c r="B24" s="24">
        <v>3500</v>
      </c>
      <c r="C24" s="24">
        <v>3500</v>
      </c>
      <c r="D24" s="24">
        <v>3500</v>
      </c>
      <c r="E24" s="24"/>
      <c r="F24" s="24"/>
      <c r="G24" s="24"/>
      <c r="H24" s="24"/>
      <c r="I24" s="24"/>
      <c r="J24" s="24"/>
      <c r="K24" s="192">
        <f t="shared" si="1"/>
        <v>3500</v>
      </c>
      <c r="L24" s="192">
        <f t="shared" si="2"/>
        <v>3500</v>
      </c>
      <c r="M24" s="193">
        <f t="shared" si="4"/>
        <v>34124</v>
      </c>
    </row>
    <row r="25" spans="1:13" ht="12.75">
      <c r="A25" s="44" t="s">
        <v>190</v>
      </c>
      <c r="B25" s="24">
        <v>34124</v>
      </c>
      <c r="C25" s="24">
        <v>34124</v>
      </c>
      <c r="D25" s="24">
        <v>34124</v>
      </c>
      <c r="E25" s="24"/>
      <c r="F25" s="24"/>
      <c r="G25" s="24"/>
      <c r="H25" s="24"/>
      <c r="I25" s="24"/>
      <c r="J25" s="24"/>
      <c r="K25" s="192">
        <f t="shared" si="1"/>
        <v>34124</v>
      </c>
      <c r="L25" s="192">
        <f t="shared" si="2"/>
        <v>34124</v>
      </c>
      <c r="M25" s="193">
        <f t="shared" si="4"/>
        <v>56540</v>
      </c>
    </row>
    <row r="26" spans="1:13" ht="12.75">
      <c r="A26" s="44" t="s">
        <v>28</v>
      </c>
      <c r="B26" s="24">
        <v>56540</v>
      </c>
      <c r="C26" s="24">
        <v>56540</v>
      </c>
      <c r="D26" s="24">
        <v>56540</v>
      </c>
      <c r="E26" s="24"/>
      <c r="F26" s="24"/>
      <c r="G26" s="24"/>
      <c r="H26" s="24"/>
      <c r="I26" s="24"/>
      <c r="J26" s="24"/>
      <c r="K26" s="192">
        <f t="shared" si="1"/>
        <v>56540</v>
      </c>
      <c r="L26" s="192">
        <f t="shared" si="2"/>
        <v>56540</v>
      </c>
      <c r="M26" s="193" t="e">
        <f>SUM(#REF!+G26+J26)</f>
        <v>#REF!</v>
      </c>
    </row>
    <row r="27" spans="1:13" s="197" customFormat="1" ht="12.75">
      <c r="A27" s="42" t="s">
        <v>106</v>
      </c>
      <c r="B27" s="38">
        <f aca="true" t="shared" si="5" ref="B27:J27">SUM(B28,B29,B32)</f>
        <v>982909</v>
      </c>
      <c r="C27" s="38">
        <f t="shared" si="5"/>
        <v>987303</v>
      </c>
      <c r="D27" s="38">
        <f t="shared" si="5"/>
        <v>997219</v>
      </c>
      <c r="E27" s="38">
        <f t="shared" si="5"/>
        <v>0</v>
      </c>
      <c r="F27" s="38">
        <f t="shared" si="5"/>
        <v>0</v>
      </c>
      <c r="G27" s="38">
        <f t="shared" si="5"/>
        <v>0</v>
      </c>
      <c r="H27" s="38">
        <f t="shared" si="5"/>
        <v>0</v>
      </c>
      <c r="I27" s="38">
        <f t="shared" si="5"/>
        <v>0</v>
      </c>
      <c r="J27" s="38">
        <f t="shared" si="5"/>
        <v>0</v>
      </c>
      <c r="K27" s="192">
        <f t="shared" si="1"/>
        <v>982909</v>
      </c>
      <c r="L27" s="192">
        <f t="shared" si="2"/>
        <v>987303</v>
      </c>
      <c r="M27" s="193">
        <f t="shared" si="2"/>
        <v>997219</v>
      </c>
    </row>
    <row r="28" spans="1:13" ht="12.75">
      <c r="A28" s="44" t="s">
        <v>191</v>
      </c>
      <c r="B28" s="24">
        <v>867102</v>
      </c>
      <c r="C28" s="24">
        <v>868147</v>
      </c>
      <c r="D28" s="24">
        <v>859859</v>
      </c>
      <c r="E28" s="24"/>
      <c r="F28" s="24"/>
      <c r="G28" s="24"/>
      <c r="H28" s="24"/>
      <c r="I28" s="24"/>
      <c r="J28" s="24"/>
      <c r="K28" s="192">
        <f t="shared" si="1"/>
        <v>867102</v>
      </c>
      <c r="L28" s="192">
        <f t="shared" si="2"/>
        <v>868147</v>
      </c>
      <c r="M28" s="193">
        <f t="shared" si="2"/>
        <v>859859</v>
      </c>
    </row>
    <row r="29" spans="1:13" s="200" customFormat="1" ht="12.75">
      <c r="A29" s="44" t="s">
        <v>192</v>
      </c>
      <c r="B29" s="24">
        <f>SUM(B30:B31)</f>
        <v>115807</v>
      </c>
      <c r="C29" s="24">
        <f>SUM(C30:C31)</f>
        <v>111907</v>
      </c>
      <c r="D29" s="24">
        <v>111874</v>
      </c>
      <c r="E29" s="24"/>
      <c r="F29" s="24">
        <f>SUM(F30:F31)</f>
        <v>0</v>
      </c>
      <c r="G29" s="24">
        <f>SUM(G30:G31)</f>
        <v>0</v>
      </c>
      <c r="H29" s="24"/>
      <c r="I29" s="24">
        <f>SUM(I30:I31)</f>
        <v>0</v>
      </c>
      <c r="J29" s="24">
        <f>SUM(J30:J31)</f>
        <v>0</v>
      </c>
      <c r="K29" s="192">
        <f t="shared" si="1"/>
        <v>115807</v>
      </c>
      <c r="L29" s="192">
        <f t="shared" si="2"/>
        <v>111907</v>
      </c>
      <c r="M29" s="193">
        <f t="shared" si="2"/>
        <v>111874</v>
      </c>
    </row>
    <row r="30" spans="1:13" s="194" customFormat="1" ht="26.25">
      <c r="A30" s="202" t="s">
        <v>193</v>
      </c>
      <c r="B30" s="48">
        <v>103883</v>
      </c>
      <c r="C30" s="48">
        <v>99983</v>
      </c>
      <c r="D30" s="48">
        <v>99982</v>
      </c>
      <c r="E30" s="203"/>
      <c r="F30" s="48"/>
      <c r="G30" s="48"/>
      <c r="H30" s="203"/>
      <c r="I30" s="48"/>
      <c r="J30" s="48"/>
      <c r="K30" s="192">
        <f t="shared" si="1"/>
        <v>103883</v>
      </c>
      <c r="L30" s="192">
        <f t="shared" si="2"/>
        <v>99983</v>
      </c>
      <c r="M30" s="193">
        <f t="shared" si="2"/>
        <v>99982</v>
      </c>
    </row>
    <row r="31" spans="1:13" s="194" customFormat="1" ht="12.75">
      <c r="A31" s="198" t="s">
        <v>194</v>
      </c>
      <c r="B31" s="48">
        <f>12187-263</f>
        <v>11924</v>
      </c>
      <c r="C31" s="48">
        <v>11924</v>
      </c>
      <c r="D31" s="48">
        <v>11892</v>
      </c>
      <c r="E31" s="48"/>
      <c r="F31" s="48"/>
      <c r="G31" s="48"/>
      <c r="H31" s="48"/>
      <c r="I31" s="48"/>
      <c r="J31" s="48"/>
      <c r="K31" s="192">
        <f t="shared" si="1"/>
        <v>11924</v>
      </c>
      <c r="L31" s="192">
        <f t="shared" si="2"/>
        <v>11924</v>
      </c>
      <c r="M31" s="193">
        <f t="shared" si="2"/>
        <v>11892</v>
      </c>
    </row>
    <row r="32" spans="1:13" ht="12.75">
      <c r="A32" s="44" t="s">
        <v>195</v>
      </c>
      <c r="B32" s="24"/>
      <c r="C32" s="24">
        <v>7249</v>
      </c>
      <c r="D32" s="24">
        <v>25486</v>
      </c>
      <c r="E32" s="24"/>
      <c r="F32" s="24"/>
      <c r="G32" s="24"/>
      <c r="H32" s="24"/>
      <c r="I32" s="24"/>
      <c r="J32" s="24"/>
      <c r="K32" s="192">
        <f t="shared" si="1"/>
        <v>0</v>
      </c>
      <c r="L32" s="192">
        <f t="shared" si="2"/>
        <v>7249</v>
      </c>
      <c r="M32" s="193">
        <f t="shared" si="2"/>
        <v>25486</v>
      </c>
    </row>
    <row r="33" spans="1:13" s="197" customFormat="1" ht="12.75">
      <c r="A33" s="42" t="s">
        <v>108</v>
      </c>
      <c r="B33" s="38">
        <f>SUM(B34:B36)</f>
        <v>161250</v>
      </c>
      <c r="C33" s="38">
        <f>SUM(C34:C36)</f>
        <v>169544</v>
      </c>
      <c r="D33" s="38">
        <f>SUM(D34:D36)</f>
        <v>186465</v>
      </c>
      <c r="E33" s="38">
        <f>SUM(E34:E36)</f>
        <v>45545</v>
      </c>
      <c r="F33" s="38">
        <f>SUM(F34:F36)</f>
        <v>48186</v>
      </c>
      <c r="G33" s="38">
        <f>SUM(G34:G37)</f>
        <v>54373</v>
      </c>
      <c r="H33" s="38">
        <f>SUM(H34:H37)</f>
        <v>735113</v>
      </c>
      <c r="I33" s="38">
        <f>SUM(I34:I37)</f>
        <v>735113</v>
      </c>
      <c r="J33" s="38">
        <f>SUM(J34:J37)</f>
        <v>736113</v>
      </c>
      <c r="K33" s="192">
        <f t="shared" si="1"/>
        <v>941908</v>
      </c>
      <c r="L33" s="192">
        <f t="shared" si="2"/>
        <v>952843</v>
      </c>
      <c r="M33" s="193">
        <f t="shared" si="2"/>
        <v>976951</v>
      </c>
    </row>
    <row r="34" spans="1:13" ht="12.75">
      <c r="A34" s="44" t="s">
        <v>42</v>
      </c>
      <c r="B34" s="24">
        <f>119894+10314+1870+3965+2785+505+1070</f>
        <v>140403</v>
      </c>
      <c r="C34" s="24">
        <v>148697</v>
      </c>
      <c r="D34" s="24">
        <v>161854</v>
      </c>
      <c r="E34" s="24">
        <v>36490</v>
      </c>
      <c r="F34" s="24">
        <v>36879</v>
      </c>
      <c r="G34" s="24">
        <v>46897</v>
      </c>
      <c r="H34" s="24">
        <v>7500</v>
      </c>
      <c r="I34" s="24">
        <v>7500</v>
      </c>
      <c r="J34" s="24">
        <v>8500</v>
      </c>
      <c r="K34" s="192">
        <f t="shared" si="1"/>
        <v>184393</v>
      </c>
      <c r="L34" s="192">
        <f t="shared" si="2"/>
        <v>193076</v>
      </c>
      <c r="M34" s="193">
        <f t="shared" si="2"/>
        <v>217251</v>
      </c>
    </row>
    <row r="35" spans="1:13" ht="12.75">
      <c r="A35" s="44" t="s">
        <v>196</v>
      </c>
      <c r="B35" s="24"/>
      <c r="C35" s="24"/>
      <c r="D35" s="24"/>
      <c r="E35" s="24"/>
      <c r="F35" s="24"/>
      <c r="G35" s="24"/>
      <c r="H35" s="24">
        <v>727613</v>
      </c>
      <c r="I35" s="24">
        <v>727613</v>
      </c>
      <c r="J35" s="24">
        <v>727613</v>
      </c>
      <c r="K35" s="192">
        <f t="shared" si="1"/>
        <v>727613</v>
      </c>
      <c r="L35" s="192">
        <f t="shared" si="2"/>
        <v>727613</v>
      </c>
      <c r="M35" s="193">
        <f t="shared" si="2"/>
        <v>727613</v>
      </c>
    </row>
    <row r="36" spans="1:13" ht="12.75">
      <c r="A36" s="44" t="s">
        <v>46</v>
      </c>
      <c r="B36" s="24">
        <v>20847</v>
      </c>
      <c r="C36" s="24">
        <v>20847</v>
      </c>
      <c r="D36" s="24">
        <v>24611</v>
      </c>
      <c r="E36" s="24">
        <v>9055</v>
      </c>
      <c r="F36" s="24">
        <v>11307</v>
      </c>
      <c r="G36" s="24">
        <v>7476</v>
      </c>
      <c r="H36" s="24"/>
      <c r="I36" s="24"/>
      <c r="J36" s="24"/>
      <c r="K36" s="192">
        <f t="shared" si="1"/>
        <v>29902</v>
      </c>
      <c r="L36" s="192">
        <f t="shared" si="2"/>
        <v>32154</v>
      </c>
      <c r="M36" s="193">
        <f t="shared" si="2"/>
        <v>32087</v>
      </c>
    </row>
    <row r="37" spans="1:13" ht="12.75">
      <c r="A37" s="44" t="s">
        <v>48</v>
      </c>
      <c r="B37" s="24"/>
      <c r="C37" s="24"/>
      <c r="D37" s="24"/>
      <c r="E37" s="24"/>
      <c r="F37" s="24"/>
      <c r="G37" s="24"/>
      <c r="H37" s="24"/>
      <c r="I37" s="24"/>
      <c r="J37" s="24"/>
      <c r="K37" s="192"/>
      <c r="L37" s="192"/>
      <c r="M37" s="193">
        <f t="shared" si="2"/>
        <v>0</v>
      </c>
    </row>
    <row r="38" spans="1:13" ht="12.75">
      <c r="A38" s="204" t="s">
        <v>197</v>
      </c>
      <c r="B38" s="38">
        <f aca="true" t="shared" si="6" ref="B38:J38">SUM(B39:B46)</f>
        <v>503910</v>
      </c>
      <c r="C38" s="38">
        <f t="shared" si="6"/>
        <v>503910</v>
      </c>
      <c r="D38" s="38">
        <f>SUM(D39:D47)</f>
        <v>466710</v>
      </c>
      <c r="E38" s="38">
        <f t="shared" si="6"/>
        <v>0</v>
      </c>
      <c r="F38" s="38">
        <f t="shared" si="6"/>
        <v>0</v>
      </c>
      <c r="G38" s="38">
        <f t="shared" si="6"/>
        <v>0</v>
      </c>
      <c r="H38" s="38">
        <f t="shared" si="6"/>
        <v>0</v>
      </c>
      <c r="I38" s="38">
        <f t="shared" si="6"/>
        <v>0</v>
      </c>
      <c r="J38" s="38">
        <f t="shared" si="6"/>
        <v>700</v>
      </c>
      <c r="K38" s="192">
        <f t="shared" si="1"/>
        <v>503910</v>
      </c>
      <c r="L38" s="192">
        <f t="shared" si="2"/>
        <v>503910</v>
      </c>
      <c r="M38" s="193">
        <f t="shared" si="2"/>
        <v>467410</v>
      </c>
    </row>
    <row r="39" spans="1:13" ht="12.75">
      <c r="A39" s="44" t="s">
        <v>53</v>
      </c>
      <c r="B39" s="24"/>
      <c r="C39" s="24"/>
      <c r="D39" s="24"/>
      <c r="E39" s="24"/>
      <c r="F39" s="24"/>
      <c r="G39" s="24"/>
      <c r="H39" s="24"/>
      <c r="I39" s="24"/>
      <c r="J39" s="24">
        <v>700</v>
      </c>
      <c r="K39" s="192">
        <f t="shared" si="1"/>
        <v>0</v>
      </c>
      <c r="L39" s="192">
        <f t="shared" si="2"/>
        <v>0</v>
      </c>
      <c r="M39" s="193">
        <f t="shared" si="2"/>
        <v>700</v>
      </c>
    </row>
    <row r="40" spans="1:13" ht="12.75">
      <c r="A40" s="44" t="s">
        <v>198</v>
      </c>
      <c r="B40" s="24">
        <v>116636</v>
      </c>
      <c r="C40" s="24">
        <v>116636</v>
      </c>
      <c r="D40" s="24">
        <v>88336</v>
      </c>
      <c r="E40" s="24"/>
      <c r="F40" s="24"/>
      <c r="G40" s="24"/>
      <c r="H40" s="24"/>
      <c r="I40" s="24"/>
      <c r="J40" s="24"/>
      <c r="K40" s="192">
        <f t="shared" si="1"/>
        <v>116636</v>
      </c>
      <c r="L40" s="192">
        <f t="shared" si="2"/>
        <v>116636</v>
      </c>
      <c r="M40" s="193">
        <f t="shared" si="2"/>
        <v>88336</v>
      </c>
    </row>
    <row r="41" spans="1:13" ht="12.75">
      <c r="A41" s="44" t="s">
        <v>199</v>
      </c>
      <c r="B41" s="24"/>
      <c r="C41" s="24"/>
      <c r="D41" s="24">
        <v>12500</v>
      </c>
      <c r="E41" s="24"/>
      <c r="F41" s="24"/>
      <c r="G41" s="24"/>
      <c r="H41" s="24"/>
      <c r="I41" s="24"/>
      <c r="J41" s="24"/>
      <c r="K41" s="192"/>
      <c r="L41" s="192"/>
      <c r="M41" s="193">
        <f t="shared" si="2"/>
        <v>12500</v>
      </c>
    </row>
    <row r="42" spans="1:13" s="200" customFormat="1" ht="12.75">
      <c r="A42" s="44" t="s">
        <v>200</v>
      </c>
      <c r="B42" s="24">
        <v>109200</v>
      </c>
      <c r="C42" s="24">
        <v>109200</v>
      </c>
      <c r="D42" s="24">
        <v>109200</v>
      </c>
      <c r="E42" s="24"/>
      <c r="F42" s="24"/>
      <c r="G42" s="24"/>
      <c r="H42" s="24"/>
      <c r="I42" s="24"/>
      <c r="J42" s="24"/>
      <c r="K42" s="192">
        <f t="shared" si="1"/>
        <v>109200</v>
      </c>
      <c r="L42" s="192">
        <f t="shared" si="2"/>
        <v>109200</v>
      </c>
      <c r="M42" s="193">
        <f t="shared" si="2"/>
        <v>109200</v>
      </c>
    </row>
    <row r="43" spans="1:13" ht="12.75">
      <c r="A43" s="44" t="s">
        <v>60</v>
      </c>
      <c r="B43" s="24">
        <v>15484</v>
      </c>
      <c r="C43" s="24">
        <v>15484</v>
      </c>
      <c r="D43" s="24">
        <v>15484</v>
      </c>
      <c r="E43" s="24"/>
      <c r="F43" s="24"/>
      <c r="G43" s="24"/>
      <c r="H43" s="24"/>
      <c r="I43" s="24"/>
      <c r="J43" s="24"/>
      <c r="K43" s="192">
        <f t="shared" si="1"/>
        <v>15484</v>
      </c>
      <c r="L43" s="192">
        <f t="shared" si="2"/>
        <v>15484</v>
      </c>
      <c r="M43" s="193">
        <f t="shared" si="2"/>
        <v>15484</v>
      </c>
    </row>
    <row r="44" spans="1:13" ht="12.75">
      <c r="A44" s="44" t="s">
        <v>201</v>
      </c>
      <c r="B44" s="24">
        <v>38590</v>
      </c>
      <c r="C44" s="24">
        <v>38590</v>
      </c>
      <c r="D44" s="24">
        <v>17190</v>
      </c>
      <c r="E44" s="24"/>
      <c r="F44" s="24"/>
      <c r="G44" s="24"/>
      <c r="H44" s="24"/>
      <c r="I44" s="24"/>
      <c r="J44" s="24"/>
      <c r="K44" s="192">
        <f t="shared" si="1"/>
        <v>38590</v>
      </c>
      <c r="L44" s="192">
        <f t="shared" si="2"/>
        <v>38590</v>
      </c>
      <c r="M44" s="193">
        <f t="shared" si="2"/>
        <v>17190</v>
      </c>
    </row>
    <row r="45" spans="1:13" ht="12.75">
      <c r="A45" s="44" t="s">
        <v>63</v>
      </c>
      <c r="B45" s="24">
        <v>196000</v>
      </c>
      <c r="C45" s="24">
        <v>196000</v>
      </c>
      <c r="D45" s="24">
        <v>196000</v>
      </c>
      <c r="E45" s="24"/>
      <c r="F45" s="24"/>
      <c r="G45" s="24"/>
      <c r="H45" s="24"/>
      <c r="I45" s="24"/>
      <c r="J45" s="24"/>
      <c r="K45" s="192">
        <f t="shared" si="1"/>
        <v>196000</v>
      </c>
      <c r="L45" s="192">
        <f t="shared" si="2"/>
        <v>196000</v>
      </c>
      <c r="M45" s="193">
        <f t="shared" si="2"/>
        <v>196000</v>
      </c>
    </row>
    <row r="46" spans="1:13" s="200" customFormat="1" ht="12.75">
      <c r="A46" s="205" t="s">
        <v>202</v>
      </c>
      <c r="B46" s="24">
        <v>28000</v>
      </c>
      <c r="C46" s="24">
        <v>28000</v>
      </c>
      <c r="D46" s="24">
        <v>28000</v>
      </c>
      <c r="E46" s="24"/>
      <c r="F46" s="24"/>
      <c r="G46" s="24"/>
      <c r="H46" s="24"/>
      <c r="I46" s="24"/>
      <c r="J46" s="24"/>
      <c r="K46" s="192">
        <f t="shared" si="1"/>
        <v>28000</v>
      </c>
      <c r="L46" s="192">
        <f t="shared" si="2"/>
        <v>28000</v>
      </c>
      <c r="M46" s="193">
        <f t="shared" si="2"/>
        <v>28000</v>
      </c>
    </row>
    <row r="47" spans="1:13" s="200" customFormat="1" ht="12.75">
      <c r="A47" s="205" t="s">
        <v>203</v>
      </c>
      <c r="B47" s="24"/>
      <c r="C47" s="24"/>
      <c r="D47" s="24"/>
      <c r="E47" s="24"/>
      <c r="F47" s="24"/>
      <c r="G47" s="24"/>
      <c r="H47" s="24"/>
      <c r="I47" s="24"/>
      <c r="J47" s="24"/>
      <c r="K47" s="192"/>
      <c r="L47" s="192"/>
      <c r="M47" s="193">
        <f t="shared" si="2"/>
        <v>0</v>
      </c>
    </row>
    <row r="48" spans="1:13" s="200" customFormat="1" ht="12.75">
      <c r="A48" s="205"/>
      <c r="B48" s="24"/>
      <c r="C48" s="24"/>
      <c r="D48" s="24"/>
      <c r="E48" s="24"/>
      <c r="F48" s="24"/>
      <c r="G48" s="24"/>
      <c r="H48" s="24"/>
      <c r="I48" s="24"/>
      <c r="J48" s="24"/>
      <c r="K48" s="192"/>
      <c r="L48" s="192"/>
      <c r="M48" s="193">
        <f t="shared" si="2"/>
        <v>0</v>
      </c>
    </row>
    <row r="49" spans="1:13" s="197" customFormat="1" ht="12.75">
      <c r="A49" s="204" t="s">
        <v>71</v>
      </c>
      <c r="B49" s="38">
        <f>SUM(B50:B51)</f>
        <v>1351178</v>
      </c>
      <c r="C49" s="38">
        <f>SUM(C50:C51)</f>
        <v>1362643</v>
      </c>
      <c r="D49" s="38">
        <f>SUM(D50:D51)</f>
        <v>1361219</v>
      </c>
      <c r="E49" s="38">
        <f>SUM(E50:E54)</f>
        <v>0</v>
      </c>
      <c r="F49" s="38">
        <f>SUM(F50:F51)</f>
        <v>0</v>
      </c>
      <c r="G49" s="38">
        <f>SUM(G50:G51)</f>
        <v>304</v>
      </c>
      <c r="H49" s="38">
        <f>SUM(H50:H54)</f>
        <v>0</v>
      </c>
      <c r="I49" s="38">
        <f>SUM(I50:I51)</f>
        <v>0</v>
      </c>
      <c r="J49" s="38">
        <f>SUM(J50:J51)</f>
        <v>0</v>
      </c>
      <c r="K49" s="192">
        <f t="shared" si="1"/>
        <v>1351178</v>
      </c>
      <c r="L49" s="192">
        <f t="shared" si="2"/>
        <v>1362643</v>
      </c>
      <c r="M49" s="193">
        <f t="shared" si="2"/>
        <v>1361523</v>
      </c>
    </row>
    <row r="50" spans="1:13" s="200" customFormat="1" ht="12.75">
      <c r="A50" s="205" t="s">
        <v>204</v>
      </c>
      <c r="B50" s="24">
        <v>0</v>
      </c>
      <c r="C50" s="24">
        <v>263</v>
      </c>
      <c r="D50" s="24">
        <v>304</v>
      </c>
      <c r="E50" s="24"/>
      <c r="F50" s="24"/>
      <c r="G50" s="24"/>
      <c r="H50" s="24"/>
      <c r="I50" s="24"/>
      <c r="J50" s="24"/>
      <c r="K50" s="192">
        <f t="shared" si="1"/>
        <v>0</v>
      </c>
      <c r="L50" s="192">
        <f t="shared" si="2"/>
        <v>263</v>
      </c>
      <c r="M50" s="193">
        <f t="shared" si="2"/>
        <v>304</v>
      </c>
    </row>
    <row r="51" spans="1:13" s="200" customFormat="1" ht="12.75">
      <c r="A51" s="205" t="s">
        <v>75</v>
      </c>
      <c r="B51" s="24">
        <f>SUM(B52:B54)</f>
        <v>1351178</v>
      </c>
      <c r="C51" s="24">
        <f>SUM(C52:C54)</f>
        <v>1362380</v>
      </c>
      <c r="D51" s="24">
        <f>SUM(D52:D54)</f>
        <v>1360915</v>
      </c>
      <c r="E51" s="24"/>
      <c r="F51" s="24">
        <f>SUM(F52:F54)</f>
        <v>0</v>
      </c>
      <c r="G51" s="24">
        <f>SUM(G52:G54)</f>
        <v>304</v>
      </c>
      <c r="H51" s="24"/>
      <c r="I51" s="24">
        <f>SUM(I52:I54)</f>
        <v>0</v>
      </c>
      <c r="J51" s="24">
        <f>SUM(J52:J54)</f>
        <v>0</v>
      </c>
      <c r="K51" s="192">
        <f t="shared" si="1"/>
        <v>1351178</v>
      </c>
      <c r="L51" s="192">
        <f t="shared" si="2"/>
        <v>1362380</v>
      </c>
      <c r="M51" s="193">
        <f t="shared" si="2"/>
        <v>1361219</v>
      </c>
    </row>
    <row r="52" spans="1:13" s="194" customFormat="1" ht="12.75">
      <c r="A52" s="206" t="s">
        <v>76</v>
      </c>
      <c r="B52" s="48">
        <v>1346313</v>
      </c>
      <c r="C52" s="48">
        <v>1357515</v>
      </c>
      <c r="D52" s="48">
        <v>301686</v>
      </c>
      <c r="E52" s="48"/>
      <c r="F52" s="48"/>
      <c r="G52" s="48"/>
      <c r="H52" s="48"/>
      <c r="I52" s="48"/>
      <c r="J52" s="48"/>
      <c r="K52" s="192">
        <f t="shared" si="1"/>
        <v>1346313</v>
      </c>
      <c r="L52" s="192">
        <f t="shared" si="2"/>
        <v>1357515</v>
      </c>
      <c r="M52" s="193">
        <f t="shared" si="2"/>
        <v>301686</v>
      </c>
    </row>
    <row r="53" spans="1:13" s="194" customFormat="1" ht="12.75">
      <c r="A53" s="206" t="s">
        <v>205</v>
      </c>
      <c r="B53" s="48"/>
      <c r="C53" s="48"/>
      <c r="D53" s="48">
        <v>1056832</v>
      </c>
      <c r="E53" s="48"/>
      <c r="F53" s="48"/>
      <c r="G53" s="48"/>
      <c r="H53" s="48"/>
      <c r="I53" s="48"/>
      <c r="J53" s="48"/>
      <c r="K53" s="192"/>
      <c r="L53" s="192"/>
      <c r="M53" s="193">
        <f t="shared" si="2"/>
        <v>1056832</v>
      </c>
    </row>
    <row r="54" spans="1:13" s="194" customFormat="1" ht="12.75">
      <c r="A54" s="206" t="s">
        <v>206</v>
      </c>
      <c r="B54" s="48">
        <v>4865</v>
      </c>
      <c r="C54" s="48">
        <v>4865</v>
      </c>
      <c r="D54" s="48">
        <v>2397</v>
      </c>
      <c r="E54" s="48"/>
      <c r="F54" s="48"/>
      <c r="G54" s="48">
        <v>304</v>
      </c>
      <c r="H54" s="48"/>
      <c r="I54" s="48"/>
      <c r="J54" s="48"/>
      <c r="K54" s="192">
        <f t="shared" si="1"/>
        <v>4865</v>
      </c>
      <c r="L54" s="192">
        <f t="shared" si="2"/>
        <v>4865</v>
      </c>
      <c r="M54" s="193">
        <f t="shared" si="2"/>
        <v>2701</v>
      </c>
    </row>
    <row r="55" spans="1:13" s="197" customFormat="1" ht="12.75">
      <c r="A55" s="204" t="s">
        <v>80</v>
      </c>
      <c r="B55" s="38">
        <v>66533</v>
      </c>
      <c r="C55" s="38">
        <v>49033</v>
      </c>
      <c r="D55" s="38">
        <v>75013</v>
      </c>
      <c r="E55" s="38">
        <v>34100</v>
      </c>
      <c r="F55" s="38">
        <v>0</v>
      </c>
      <c r="G55" s="38"/>
      <c r="H55" s="38">
        <v>7500</v>
      </c>
      <c r="I55" s="38"/>
      <c r="J55" s="38"/>
      <c r="K55" s="192">
        <f t="shared" si="1"/>
        <v>108133</v>
      </c>
      <c r="L55" s="192">
        <f t="shared" si="2"/>
        <v>49033</v>
      </c>
      <c r="M55" s="193">
        <f t="shared" si="2"/>
        <v>75013</v>
      </c>
    </row>
    <row r="56" spans="1:13" s="197" customFormat="1" ht="12.75">
      <c r="A56" s="204" t="s">
        <v>207</v>
      </c>
      <c r="B56" s="38"/>
      <c r="C56" s="38"/>
      <c r="D56" s="38"/>
      <c r="E56" s="38"/>
      <c r="F56" s="38"/>
      <c r="G56" s="38"/>
      <c r="H56" s="38"/>
      <c r="I56" s="38"/>
      <c r="J56" s="38"/>
      <c r="K56" s="192"/>
      <c r="L56" s="192"/>
      <c r="M56" s="193">
        <f t="shared" si="2"/>
        <v>0</v>
      </c>
    </row>
    <row r="57" spans="1:13" s="200" customFormat="1" ht="12.75">
      <c r="A57" s="204" t="s">
        <v>110</v>
      </c>
      <c r="B57" s="38">
        <v>601932</v>
      </c>
      <c r="C57" s="38">
        <v>842773</v>
      </c>
      <c r="D57" s="38">
        <v>842773</v>
      </c>
      <c r="E57" s="38"/>
      <c r="F57" s="38">
        <v>35799</v>
      </c>
      <c r="G57" s="38">
        <v>35799</v>
      </c>
      <c r="H57" s="38"/>
      <c r="I57" s="38">
        <v>47470</v>
      </c>
      <c r="J57" s="38">
        <v>47470</v>
      </c>
      <c r="K57" s="192">
        <f t="shared" si="1"/>
        <v>601932</v>
      </c>
      <c r="L57" s="192">
        <f t="shared" si="2"/>
        <v>926042</v>
      </c>
      <c r="M57" s="193">
        <f t="shared" si="2"/>
        <v>926042</v>
      </c>
    </row>
    <row r="58" spans="1:13" s="200" customFormat="1" ht="12.75">
      <c r="A58" s="204" t="s">
        <v>208</v>
      </c>
      <c r="B58" s="38">
        <v>1000000</v>
      </c>
      <c r="C58" s="38">
        <v>1000000</v>
      </c>
      <c r="D58" s="38">
        <v>1000000</v>
      </c>
      <c r="E58" s="38"/>
      <c r="F58" s="38"/>
      <c r="G58" s="38"/>
      <c r="H58" s="38"/>
      <c r="I58" s="38"/>
      <c r="J58" s="38"/>
      <c r="K58" s="192">
        <f t="shared" si="1"/>
        <v>1000000</v>
      </c>
      <c r="L58" s="192">
        <f t="shared" si="2"/>
        <v>1000000</v>
      </c>
      <c r="M58" s="193">
        <f t="shared" si="2"/>
        <v>1000000</v>
      </c>
    </row>
    <row r="59" spans="1:13" s="200" customFormat="1" ht="12.75">
      <c r="A59" s="207" t="s">
        <v>142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9"/>
      <c r="L59" s="209"/>
      <c r="M59" s="193">
        <f t="shared" si="2"/>
        <v>0</v>
      </c>
    </row>
    <row r="60" spans="1:13" ht="13.5">
      <c r="A60" s="210" t="s">
        <v>99</v>
      </c>
      <c r="B60" s="211">
        <f aca="true" t="shared" si="7" ref="B60:M60">SUM(B6,B11,B27,B33,B38,B49,B55,B57,B58,B59)</f>
        <v>6698748</v>
      </c>
      <c r="C60" s="211">
        <f t="shared" si="7"/>
        <v>6946242</v>
      </c>
      <c r="D60" s="211">
        <f t="shared" si="7"/>
        <v>6960985</v>
      </c>
      <c r="E60" s="211">
        <f t="shared" si="7"/>
        <v>219464</v>
      </c>
      <c r="F60" s="211">
        <f t="shared" si="7"/>
        <v>224454</v>
      </c>
      <c r="G60" s="211">
        <f t="shared" si="7"/>
        <v>234973</v>
      </c>
      <c r="H60" s="211">
        <f t="shared" si="7"/>
        <v>749513</v>
      </c>
      <c r="I60" s="211">
        <f t="shared" si="7"/>
        <v>789483</v>
      </c>
      <c r="J60" s="211">
        <f t="shared" si="7"/>
        <v>795693</v>
      </c>
      <c r="K60" s="211">
        <f t="shared" si="7"/>
        <v>7667725</v>
      </c>
      <c r="L60" s="211">
        <f t="shared" si="7"/>
        <v>7960179</v>
      </c>
      <c r="M60" s="212">
        <f t="shared" si="7"/>
        <v>7991651</v>
      </c>
    </row>
  </sheetData>
  <sheetProtection selectLockedCells="1" selectUnlockedCells="1"/>
  <mergeCells count="5">
    <mergeCell ref="A2:K2"/>
    <mergeCell ref="B4:D4"/>
    <mergeCell ref="E4:G4"/>
    <mergeCell ref="H4:J4"/>
    <mergeCell ref="K4:M4"/>
  </mergeCells>
  <printOptions horizontalCentered="1"/>
  <pageMargins left="0.27569444444444446" right="0.43333333333333335" top="0.5604166666666667" bottom="0.2361111111111111" header="0.4201388888888889" footer="0.5118055555555555"/>
  <pageSetup horizontalDpi="300" verticalDpi="300" orientation="landscape" paperSize="9" scale="64"/>
  <headerFooter alignWithMargins="0">
    <oddHeader>&amp;L&amp;8 2. melléklet a 30/2011.(X.28.)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workbookViewId="0" topLeftCell="C30">
      <selection activeCell="F20" sqref="F20"/>
    </sheetView>
  </sheetViews>
  <sheetFormatPr defaultColWidth="9.00390625" defaultRowHeight="25.5" customHeight="1"/>
  <cols>
    <col min="1" max="2" width="0" style="1" hidden="1" customWidth="1"/>
    <col min="3" max="3" width="49.125" style="1" customWidth="1"/>
    <col min="4" max="15" width="11.75390625" style="1" customWidth="1"/>
    <col min="16" max="16384" width="9.125" style="1" customWidth="1"/>
  </cols>
  <sheetData>
    <row r="1" spans="3:14" s="67" customFormat="1" ht="18" customHeight="1">
      <c r="C1" s="213" t="s">
        <v>209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3:14" s="67" customFormat="1" ht="18" customHeight="1">
      <c r="C2" s="213" t="s">
        <v>210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3:12" s="67" customFormat="1" ht="18" customHeight="1"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26" ht="56.25" customHeight="1">
      <c r="A4" s="215"/>
      <c r="B4" s="216"/>
      <c r="C4" s="217" t="s">
        <v>211</v>
      </c>
      <c r="D4" s="186" t="s">
        <v>9</v>
      </c>
      <c r="E4" s="186"/>
      <c r="F4" s="186"/>
      <c r="G4" s="186" t="s">
        <v>10</v>
      </c>
      <c r="H4" s="186"/>
      <c r="I4" s="186"/>
      <c r="J4" s="186" t="s">
        <v>12</v>
      </c>
      <c r="K4" s="186"/>
      <c r="L4" s="186"/>
      <c r="M4" s="187" t="s">
        <v>174</v>
      </c>
      <c r="N4" s="187"/>
      <c r="O4" s="18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223" customFormat="1" ht="15" customHeight="1">
      <c r="A5" s="218"/>
      <c r="B5" s="219"/>
      <c r="C5" s="220"/>
      <c r="D5" s="221" t="s">
        <v>3</v>
      </c>
      <c r="E5" s="221" t="s">
        <v>102</v>
      </c>
      <c r="F5" s="221" t="s">
        <v>5</v>
      </c>
      <c r="G5" s="221" t="s">
        <v>3</v>
      </c>
      <c r="H5" s="221" t="s">
        <v>102</v>
      </c>
      <c r="I5" s="221" t="s">
        <v>5</v>
      </c>
      <c r="J5" s="221" t="s">
        <v>3</v>
      </c>
      <c r="K5" s="221" t="s">
        <v>102</v>
      </c>
      <c r="L5" s="221" t="s">
        <v>5</v>
      </c>
      <c r="M5" s="221" t="s">
        <v>6</v>
      </c>
      <c r="N5" s="221" t="s">
        <v>102</v>
      </c>
      <c r="O5" s="190" t="s">
        <v>5</v>
      </c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s="3" customFormat="1" ht="15" customHeight="1">
      <c r="A6" s="224"/>
      <c r="B6" s="225"/>
      <c r="C6" s="37" t="s">
        <v>8</v>
      </c>
      <c r="D6" s="226">
        <v>462182</v>
      </c>
      <c r="E6" s="226">
        <v>469228</v>
      </c>
      <c r="F6" s="226">
        <v>489680</v>
      </c>
      <c r="G6" s="226">
        <v>891576</v>
      </c>
      <c r="H6" s="226">
        <v>905479</v>
      </c>
      <c r="I6" s="226">
        <v>904382</v>
      </c>
      <c r="J6" s="226">
        <v>403540</v>
      </c>
      <c r="K6" s="226">
        <v>404439</v>
      </c>
      <c r="L6" s="226">
        <v>406258</v>
      </c>
      <c r="M6" s="38">
        <f aca="true" t="shared" si="0" ref="M6:M35">SUM(D6+G6+J6)</f>
        <v>1757298</v>
      </c>
      <c r="N6" s="38">
        <f aca="true" t="shared" si="1" ref="N6:N35">SUM(E6+H6+K6)</f>
        <v>1779146</v>
      </c>
      <c r="O6" s="34">
        <f aca="true" t="shared" si="2" ref="O6:O35">SUM(F6+I6+L6)</f>
        <v>1800320</v>
      </c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</row>
    <row r="7" spans="1:26" s="3" customFormat="1" ht="15" customHeight="1">
      <c r="A7" s="224"/>
      <c r="B7" s="225"/>
      <c r="C7" s="37" t="s">
        <v>212</v>
      </c>
      <c r="D7" s="226">
        <v>137547</v>
      </c>
      <c r="E7" s="226">
        <v>139372</v>
      </c>
      <c r="F7" s="226">
        <v>144675</v>
      </c>
      <c r="G7" s="226">
        <v>237043</v>
      </c>
      <c r="H7" s="226">
        <v>239878</v>
      </c>
      <c r="I7" s="226">
        <v>240267</v>
      </c>
      <c r="J7" s="226">
        <v>111347</v>
      </c>
      <c r="K7" s="226">
        <v>111590</v>
      </c>
      <c r="L7" s="226">
        <v>111961</v>
      </c>
      <c r="M7" s="38">
        <f t="shared" si="0"/>
        <v>485937</v>
      </c>
      <c r="N7" s="38">
        <f t="shared" si="1"/>
        <v>490840</v>
      </c>
      <c r="O7" s="34">
        <f t="shared" si="2"/>
        <v>496903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5" customHeight="1">
      <c r="A8" s="215"/>
      <c r="B8" s="216"/>
      <c r="C8" s="22" t="s">
        <v>213</v>
      </c>
      <c r="D8" s="228">
        <v>603736</v>
      </c>
      <c r="E8" s="228">
        <v>620687</v>
      </c>
      <c r="F8" s="228">
        <v>666902</v>
      </c>
      <c r="G8" s="228">
        <v>447353</v>
      </c>
      <c r="H8" s="228">
        <v>480453</v>
      </c>
      <c r="I8" s="228">
        <v>487334</v>
      </c>
      <c r="J8" s="228">
        <v>221801</v>
      </c>
      <c r="K8" s="228">
        <v>267271</v>
      </c>
      <c r="L8" s="228">
        <v>265081</v>
      </c>
      <c r="M8" s="24">
        <f t="shared" si="0"/>
        <v>1272890</v>
      </c>
      <c r="N8" s="24">
        <f t="shared" si="1"/>
        <v>1368411</v>
      </c>
      <c r="O8" s="30">
        <f t="shared" si="2"/>
        <v>1419317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" customHeight="1">
      <c r="A9" s="215"/>
      <c r="B9" s="216"/>
      <c r="C9" s="22" t="s">
        <v>214</v>
      </c>
      <c r="D9" s="228">
        <v>64174</v>
      </c>
      <c r="E9" s="228">
        <v>64174</v>
      </c>
      <c r="F9" s="228">
        <v>64174</v>
      </c>
      <c r="G9" s="228"/>
      <c r="H9" s="228"/>
      <c r="I9" s="228"/>
      <c r="J9" s="228"/>
      <c r="K9" s="228"/>
      <c r="L9" s="228"/>
      <c r="M9" s="24">
        <f t="shared" si="0"/>
        <v>64174</v>
      </c>
      <c r="N9" s="24">
        <f t="shared" si="1"/>
        <v>64174</v>
      </c>
      <c r="O9" s="30">
        <f t="shared" si="2"/>
        <v>64174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s="3" customFormat="1" ht="15" customHeight="1">
      <c r="A10" s="224"/>
      <c r="B10" s="225"/>
      <c r="C10" s="229" t="s">
        <v>215</v>
      </c>
      <c r="D10" s="230">
        <f>SUM(D8:D9)</f>
        <v>667910</v>
      </c>
      <c r="E10" s="230">
        <f>SUM(E8:E9)</f>
        <v>684861</v>
      </c>
      <c r="F10" s="230">
        <f>SUM(F8:F9)</f>
        <v>731076</v>
      </c>
      <c r="G10" s="226">
        <f>SUM(G8+G9)</f>
        <v>447353</v>
      </c>
      <c r="H10" s="230">
        <f>SUM(H8:H9)</f>
        <v>480453</v>
      </c>
      <c r="I10" s="230">
        <f>SUM(I8:I9)</f>
        <v>487334</v>
      </c>
      <c r="J10" s="226">
        <f>SUM(J8+J9)</f>
        <v>221801</v>
      </c>
      <c r="K10" s="230">
        <f>SUM(K8:K9)</f>
        <v>267271</v>
      </c>
      <c r="L10" s="230">
        <f>SUM(L8:L9)</f>
        <v>265081</v>
      </c>
      <c r="M10" s="38">
        <f t="shared" si="0"/>
        <v>1337064</v>
      </c>
      <c r="N10" s="38">
        <f t="shared" si="1"/>
        <v>1432585</v>
      </c>
      <c r="O10" s="34">
        <f t="shared" si="2"/>
        <v>1483491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s="3" customFormat="1" ht="15" customHeight="1">
      <c r="A11" s="224"/>
      <c r="B11" s="225"/>
      <c r="C11" s="229" t="s">
        <v>216</v>
      </c>
      <c r="D11" s="230">
        <f aca="true" t="shared" si="3" ref="D11:L11">SUM(D12:D15)</f>
        <v>478496</v>
      </c>
      <c r="E11" s="230">
        <f t="shared" si="3"/>
        <v>492679</v>
      </c>
      <c r="F11" s="230">
        <f t="shared" si="3"/>
        <v>529442</v>
      </c>
      <c r="G11" s="230">
        <f t="shared" si="3"/>
        <v>10200</v>
      </c>
      <c r="H11" s="230">
        <f t="shared" si="3"/>
        <v>10200</v>
      </c>
      <c r="I11" s="230">
        <f>SUM(I12:I15)</f>
        <v>10200</v>
      </c>
      <c r="J11" s="230">
        <f t="shared" si="3"/>
        <v>1475</v>
      </c>
      <c r="K11" s="230">
        <f t="shared" si="3"/>
        <v>1475</v>
      </c>
      <c r="L11" s="230">
        <f t="shared" si="3"/>
        <v>1475</v>
      </c>
      <c r="M11" s="38">
        <f t="shared" si="0"/>
        <v>490171</v>
      </c>
      <c r="N11" s="38">
        <f t="shared" si="1"/>
        <v>504354</v>
      </c>
      <c r="O11" s="34">
        <f t="shared" si="2"/>
        <v>541117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1:26" ht="25.5" customHeight="1">
      <c r="A12" s="215"/>
      <c r="B12" s="216"/>
      <c r="C12" s="231" t="s">
        <v>217</v>
      </c>
      <c r="D12" s="228">
        <v>325381</v>
      </c>
      <c r="E12" s="228">
        <v>312564</v>
      </c>
      <c r="F12" s="228">
        <f>352927-5200-4800</f>
        <v>342927</v>
      </c>
      <c r="G12" s="228"/>
      <c r="H12" s="228"/>
      <c r="I12" s="228"/>
      <c r="J12" s="228">
        <v>1475</v>
      </c>
      <c r="K12" s="228">
        <v>1475</v>
      </c>
      <c r="L12" s="228">
        <v>1475</v>
      </c>
      <c r="M12" s="24">
        <f t="shared" si="0"/>
        <v>326856</v>
      </c>
      <c r="N12" s="24">
        <f t="shared" si="1"/>
        <v>314039</v>
      </c>
      <c r="O12" s="30">
        <f t="shared" si="2"/>
        <v>344402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2.75" customHeight="1">
      <c r="A13" s="215"/>
      <c r="B13" s="216"/>
      <c r="C13" s="231" t="s">
        <v>29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4"/>
      <c r="N13" s="24"/>
      <c r="O13" s="30">
        <f t="shared" si="2"/>
        <v>0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3" customFormat="1" ht="15" customHeight="1">
      <c r="A14" s="224"/>
      <c r="B14" s="225"/>
      <c r="C14" s="22" t="s">
        <v>218</v>
      </c>
      <c r="D14" s="228">
        <v>153115</v>
      </c>
      <c r="E14" s="228">
        <v>180115</v>
      </c>
      <c r="F14" s="228">
        <v>186515</v>
      </c>
      <c r="G14" s="228"/>
      <c r="H14" s="228"/>
      <c r="I14" s="228"/>
      <c r="J14" s="228"/>
      <c r="K14" s="228"/>
      <c r="L14" s="228"/>
      <c r="M14" s="24">
        <f t="shared" si="0"/>
        <v>153115</v>
      </c>
      <c r="N14" s="24">
        <f t="shared" si="1"/>
        <v>180115</v>
      </c>
      <c r="O14" s="30">
        <f t="shared" si="2"/>
        <v>186515</v>
      </c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</row>
    <row r="15" spans="1:26" s="3" customFormat="1" ht="15" customHeight="1">
      <c r="A15" s="224"/>
      <c r="B15" s="225"/>
      <c r="C15" s="22" t="s">
        <v>219</v>
      </c>
      <c r="D15" s="228"/>
      <c r="E15" s="228"/>
      <c r="F15" s="228"/>
      <c r="G15" s="228">
        <v>10200</v>
      </c>
      <c r="H15" s="228">
        <v>10200</v>
      </c>
      <c r="I15" s="228">
        <v>10200</v>
      </c>
      <c r="J15" s="228"/>
      <c r="K15" s="228"/>
      <c r="L15" s="228"/>
      <c r="M15" s="24">
        <f t="shared" si="0"/>
        <v>10200</v>
      </c>
      <c r="N15" s="24">
        <f t="shared" si="1"/>
        <v>10200</v>
      </c>
      <c r="O15" s="30">
        <f t="shared" si="2"/>
        <v>10200</v>
      </c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</row>
    <row r="16" spans="1:26" s="3" customFormat="1" ht="15" customHeight="1">
      <c r="A16" s="232"/>
      <c r="B16" s="233"/>
      <c r="C16" s="37" t="s">
        <v>220</v>
      </c>
      <c r="D16" s="226">
        <v>2517144</v>
      </c>
      <c r="E16" s="226">
        <v>2653845</v>
      </c>
      <c r="F16" s="226">
        <v>857277</v>
      </c>
      <c r="G16" s="226">
        <v>0</v>
      </c>
      <c r="H16" s="226">
        <v>3179</v>
      </c>
      <c r="I16" s="226">
        <v>8087</v>
      </c>
      <c r="J16" s="226">
        <v>1500</v>
      </c>
      <c r="K16" s="226">
        <v>3500</v>
      </c>
      <c r="L16" s="226">
        <v>10500</v>
      </c>
      <c r="M16" s="38">
        <f t="shared" si="0"/>
        <v>2518644</v>
      </c>
      <c r="N16" s="38">
        <f t="shared" si="1"/>
        <v>2660524</v>
      </c>
      <c r="O16" s="34">
        <f t="shared" si="2"/>
        <v>875864</v>
      </c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s="3" customFormat="1" ht="15" customHeight="1">
      <c r="A17" s="225"/>
      <c r="B17" s="225"/>
      <c r="C17" s="37" t="s">
        <v>221</v>
      </c>
      <c r="D17" s="226">
        <v>99646</v>
      </c>
      <c r="E17" s="226">
        <v>99646</v>
      </c>
      <c r="F17" s="226">
        <v>81396</v>
      </c>
      <c r="G17" s="226">
        <v>15800</v>
      </c>
      <c r="H17" s="226">
        <v>15800</v>
      </c>
      <c r="I17" s="226">
        <v>7590</v>
      </c>
      <c r="J17" s="226">
        <v>2350</v>
      </c>
      <c r="K17" s="226">
        <v>2350</v>
      </c>
      <c r="L17" s="226">
        <v>3750</v>
      </c>
      <c r="M17" s="38">
        <f t="shared" si="0"/>
        <v>117796</v>
      </c>
      <c r="N17" s="38">
        <f t="shared" si="1"/>
        <v>117796</v>
      </c>
      <c r="O17" s="34">
        <f t="shared" si="2"/>
        <v>92736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1:26" s="3" customFormat="1" ht="15" customHeight="1">
      <c r="A18" s="225"/>
      <c r="B18" s="225"/>
      <c r="C18" s="37" t="s">
        <v>222</v>
      </c>
      <c r="D18" s="226">
        <v>303871</v>
      </c>
      <c r="E18" s="226">
        <v>288959</v>
      </c>
      <c r="F18" s="226">
        <v>234229</v>
      </c>
      <c r="G18" s="226"/>
      <c r="H18" s="226"/>
      <c r="I18" s="226"/>
      <c r="J18" s="226"/>
      <c r="K18" s="226"/>
      <c r="L18" s="226"/>
      <c r="M18" s="38">
        <f t="shared" si="0"/>
        <v>303871</v>
      </c>
      <c r="N18" s="38">
        <f t="shared" si="1"/>
        <v>288959</v>
      </c>
      <c r="O18" s="34">
        <f t="shared" si="2"/>
        <v>234229</v>
      </c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</row>
    <row r="19" spans="1:26" s="3" customFormat="1" ht="15" customHeight="1">
      <c r="A19" s="225"/>
      <c r="B19" s="225"/>
      <c r="C19" s="37" t="s">
        <v>43</v>
      </c>
      <c r="D19" s="226">
        <v>11000</v>
      </c>
      <c r="E19" s="226">
        <v>7262</v>
      </c>
      <c r="F19" s="226">
        <v>2155</v>
      </c>
      <c r="G19" s="226"/>
      <c r="H19" s="226"/>
      <c r="I19" s="226"/>
      <c r="J19" s="226"/>
      <c r="K19" s="226"/>
      <c r="L19" s="226"/>
      <c r="M19" s="38">
        <f t="shared" si="0"/>
        <v>11000</v>
      </c>
      <c r="N19" s="38">
        <f t="shared" si="1"/>
        <v>7262</v>
      </c>
      <c r="O19" s="34">
        <f t="shared" si="2"/>
        <v>2155</v>
      </c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</row>
    <row r="20" spans="1:26" s="3" customFormat="1" ht="15" customHeight="1">
      <c r="A20" s="225"/>
      <c r="B20" s="225"/>
      <c r="C20" s="37" t="s">
        <v>117</v>
      </c>
      <c r="D20" s="226">
        <v>139986</v>
      </c>
      <c r="E20" s="226">
        <v>237762</v>
      </c>
      <c r="F20" s="226">
        <f>115233+5200+4800</f>
        <v>125233</v>
      </c>
      <c r="G20" s="226"/>
      <c r="H20" s="226"/>
      <c r="I20" s="226"/>
      <c r="J20" s="226"/>
      <c r="K20" s="226"/>
      <c r="L20" s="226"/>
      <c r="M20" s="38">
        <f t="shared" si="0"/>
        <v>139986</v>
      </c>
      <c r="N20" s="38">
        <f t="shared" si="1"/>
        <v>237762</v>
      </c>
      <c r="O20" s="34">
        <f t="shared" si="2"/>
        <v>125233</v>
      </c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</row>
    <row r="21" spans="1:26" s="3" customFormat="1" ht="15" customHeight="1">
      <c r="A21" s="225"/>
      <c r="B21" s="225"/>
      <c r="C21" s="37" t="s">
        <v>162</v>
      </c>
      <c r="D21" s="226">
        <v>380285</v>
      </c>
      <c r="E21" s="226">
        <v>366678</v>
      </c>
      <c r="F21" s="226">
        <v>72147</v>
      </c>
      <c r="G21" s="226"/>
      <c r="H21" s="226"/>
      <c r="I21" s="226"/>
      <c r="J21" s="226"/>
      <c r="K21" s="226"/>
      <c r="L21" s="226"/>
      <c r="M21" s="38">
        <f t="shared" si="0"/>
        <v>380285</v>
      </c>
      <c r="N21" s="38">
        <f t="shared" si="1"/>
        <v>366678</v>
      </c>
      <c r="O21" s="34">
        <f t="shared" si="2"/>
        <v>72147</v>
      </c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6" s="3" customFormat="1" ht="15" customHeight="1">
      <c r="A22" s="225"/>
      <c r="B22" s="225"/>
      <c r="C22" s="37" t="s">
        <v>61</v>
      </c>
      <c r="D22" s="226"/>
      <c r="E22" s="226"/>
      <c r="F22" s="226">
        <v>2069332</v>
      </c>
      <c r="G22" s="226"/>
      <c r="H22" s="226"/>
      <c r="I22" s="226"/>
      <c r="J22" s="226"/>
      <c r="K22" s="226"/>
      <c r="L22" s="226"/>
      <c r="M22" s="38"/>
      <c r="N22" s="38"/>
      <c r="O22" s="34">
        <f t="shared" si="2"/>
        <v>2069332</v>
      </c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1:26" s="3" customFormat="1" ht="15" customHeight="1">
      <c r="A23" s="225"/>
      <c r="B23" s="225"/>
      <c r="C23" s="37" t="s">
        <v>223</v>
      </c>
      <c r="D23" s="226">
        <f aca="true" t="shared" si="4" ref="D23:L23">SUM(D24,D27,D37)</f>
        <v>81400</v>
      </c>
      <c r="E23" s="226">
        <f>SUM(E24,E27,E37+E36)</f>
        <v>47500</v>
      </c>
      <c r="F23" s="226">
        <f>SUM(F24,F27,F37+F36)</f>
        <v>151351</v>
      </c>
      <c r="G23" s="226">
        <f t="shared" si="4"/>
        <v>14433</v>
      </c>
      <c r="H23" s="226">
        <f t="shared" si="4"/>
        <v>4433</v>
      </c>
      <c r="I23" s="226">
        <f t="shared" si="4"/>
        <v>4433</v>
      </c>
      <c r="J23" s="226">
        <f t="shared" si="4"/>
        <v>7500</v>
      </c>
      <c r="K23" s="226">
        <f t="shared" si="4"/>
        <v>0</v>
      </c>
      <c r="L23" s="226">
        <f t="shared" si="4"/>
        <v>0</v>
      </c>
      <c r="M23" s="38">
        <f t="shared" si="0"/>
        <v>103333</v>
      </c>
      <c r="N23" s="38">
        <f t="shared" si="1"/>
        <v>51933</v>
      </c>
      <c r="O23" s="34">
        <f t="shared" si="2"/>
        <v>155784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</row>
    <row r="24" spans="1:26" ht="15" customHeight="1">
      <c r="A24" s="234"/>
      <c r="B24" s="234"/>
      <c r="C24" s="22" t="s">
        <v>224</v>
      </c>
      <c r="D24" s="235">
        <f>SUM(D25:D26)</f>
        <v>6800</v>
      </c>
      <c r="E24" s="235">
        <f>SUM(E25:E26)</f>
        <v>4800</v>
      </c>
      <c r="F24" s="235">
        <f>SUM(F25:F26)</f>
        <v>4800</v>
      </c>
      <c r="G24" s="228"/>
      <c r="H24" s="235">
        <f>SUM(H25:H26)</f>
        <v>0</v>
      </c>
      <c r="I24" s="235">
        <f>SUM(I25:I26)</f>
        <v>0</v>
      </c>
      <c r="J24" s="228"/>
      <c r="K24" s="235">
        <f>SUM(K25:K26)</f>
        <v>0</v>
      </c>
      <c r="L24" s="235">
        <f>SUM(L25:L26)</f>
        <v>0</v>
      </c>
      <c r="M24" s="24">
        <f t="shared" si="0"/>
        <v>6800</v>
      </c>
      <c r="N24" s="24">
        <f t="shared" si="1"/>
        <v>4800</v>
      </c>
      <c r="O24" s="30">
        <f t="shared" si="2"/>
        <v>4800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s="240" customFormat="1" ht="15" customHeight="1">
      <c r="A25" s="236"/>
      <c r="B25" s="236"/>
      <c r="C25" s="237" t="s">
        <v>225</v>
      </c>
      <c r="D25" s="238">
        <v>5300</v>
      </c>
      <c r="E25" s="238">
        <v>3300</v>
      </c>
      <c r="F25" s="238">
        <v>3300</v>
      </c>
      <c r="G25" s="238"/>
      <c r="H25" s="238"/>
      <c r="I25" s="238"/>
      <c r="J25" s="238"/>
      <c r="K25" s="238"/>
      <c r="L25" s="238"/>
      <c r="M25" s="48">
        <f t="shared" si="0"/>
        <v>5300</v>
      </c>
      <c r="N25" s="48">
        <f t="shared" si="1"/>
        <v>3300</v>
      </c>
      <c r="O25" s="59">
        <f t="shared" si="2"/>
        <v>3300</v>
      </c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s="240" customFormat="1" ht="15" customHeight="1">
      <c r="A26" s="236"/>
      <c r="B26" s="236"/>
      <c r="C26" s="237" t="s">
        <v>158</v>
      </c>
      <c r="D26" s="238">
        <v>1500</v>
      </c>
      <c r="E26" s="238">
        <v>1500</v>
      </c>
      <c r="F26" s="238">
        <v>1500</v>
      </c>
      <c r="G26" s="238"/>
      <c r="H26" s="238"/>
      <c r="I26" s="238"/>
      <c r="J26" s="238"/>
      <c r="K26" s="238"/>
      <c r="L26" s="238"/>
      <c r="M26" s="48">
        <f t="shared" si="0"/>
        <v>1500</v>
      </c>
      <c r="N26" s="48">
        <f t="shared" si="1"/>
        <v>1500</v>
      </c>
      <c r="O26" s="59">
        <f t="shared" si="2"/>
        <v>1500</v>
      </c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</row>
    <row r="27" spans="1:26" ht="15" customHeight="1">
      <c r="A27" s="234"/>
      <c r="B27" s="234"/>
      <c r="C27" s="22" t="s">
        <v>84</v>
      </c>
      <c r="D27" s="228">
        <f>SUM(D28:D35)</f>
        <v>74600</v>
      </c>
      <c r="E27" s="228">
        <f>SUM(E28:E35)</f>
        <v>33000</v>
      </c>
      <c r="F27" s="228">
        <f>SUM(F28:F35)</f>
        <v>96980</v>
      </c>
      <c r="G27" s="228">
        <f>SUM(G28:G30)</f>
        <v>0</v>
      </c>
      <c r="H27" s="228">
        <f>SUM(H28:H35)</f>
        <v>0</v>
      </c>
      <c r="I27" s="228">
        <f>SUM(I28:I35)</f>
        <v>0</v>
      </c>
      <c r="J27" s="228">
        <f>SUM(J28:J30)</f>
        <v>0</v>
      </c>
      <c r="K27" s="228">
        <f>SUM(K28:K35)</f>
        <v>0</v>
      </c>
      <c r="L27" s="228">
        <f>SUM(L28:L35)</f>
        <v>0</v>
      </c>
      <c r="M27" s="24">
        <f t="shared" si="0"/>
        <v>74600</v>
      </c>
      <c r="N27" s="24">
        <f>SUM(N28:N36)</f>
        <v>42700</v>
      </c>
      <c r="O27" s="24">
        <f>SUM(O28:O36)</f>
        <v>146551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240" customFormat="1" ht="15" customHeight="1">
      <c r="A28" s="236"/>
      <c r="B28" s="236"/>
      <c r="C28" s="237" t="s">
        <v>226</v>
      </c>
      <c r="D28" s="238">
        <v>2000</v>
      </c>
      <c r="E28" s="238">
        <v>2000</v>
      </c>
      <c r="F28" s="238">
        <v>2000</v>
      </c>
      <c r="G28" s="238"/>
      <c r="H28" s="238"/>
      <c r="I28" s="238"/>
      <c r="J28" s="238"/>
      <c r="K28" s="238"/>
      <c r="L28" s="238"/>
      <c r="M28" s="48">
        <f t="shared" si="0"/>
        <v>2000</v>
      </c>
      <c r="N28" s="48">
        <f t="shared" si="1"/>
        <v>2000</v>
      </c>
      <c r="O28" s="59">
        <f t="shared" si="2"/>
        <v>2000</v>
      </c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s="240" customFormat="1" ht="15" customHeight="1">
      <c r="A29" s="236"/>
      <c r="B29" s="236"/>
      <c r="C29" s="237" t="s">
        <v>227</v>
      </c>
      <c r="D29" s="238">
        <v>5000</v>
      </c>
      <c r="E29" s="238">
        <v>5000</v>
      </c>
      <c r="F29" s="238">
        <v>5000</v>
      </c>
      <c r="G29" s="238"/>
      <c r="H29" s="238"/>
      <c r="I29" s="238"/>
      <c r="J29" s="238"/>
      <c r="K29" s="238"/>
      <c r="L29" s="238"/>
      <c r="M29" s="48">
        <f t="shared" si="0"/>
        <v>5000</v>
      </c>
      <c r="N29" s="48">
        <f t="shared" si="1"/>
        <v>5000</v>
      </c>
      <c r="O29" s="59">
        <f t="shared" si="2"/>
        <v>5000</v>
      </c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</row>
    <row r="30" spans="1:26" s="240" customFormat="1" ht="15" customHeight="1">
      <c r="A30" s="236"/>
      <c r="B30" s="236"/>
      <c r="C30" s="237" t="s">
        <v>228</v>
      </c>
      <c r="D30" s="238">
        <v>6000</v>
      </c>
      <c r="E30" s="238">
        <v>6000</v>
      </c>
      <c r="F30" s="238">
        <v>6000</v>
      </c>
      <c r="G30" s="238"/>
      <c r="H30" s="238"/>
      <c r="I30" s="238"/>
      <c r="J30" s="238"/>
      <c r="K30" s="238"/>
      <c r="L30" s="238"/>
      <c r="M30" s="48">
        <f t="shared" si="0"/>
        <v>6000</v>
      </c>
      <c r="N30" s="48">
        <f t="shared" si="1"/>
        <v>6000</v>
      </c>
      <c r="O30" s="59">
        <f t="shared" si="2"/>
        <v>6000</v>
      </c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</row>
    <row r="31" spans="1:26" s="240" customFormat="1" ht="15" customHeight="1">
      <c r="A31" s="236"/>
      <c r="B31" s="236"/>
      <c r="C31" s="237" t="s">
        <v>229</v>
      </c>
      <c r="D31" s="238">
        <v>15000</v>
      </c>
      <c r="E31" s="238">
        <v>15000</v>
      </c>
      <c r="F31" s="238">
        <v>68000</v>
      </c>
      <c r="G31" s="238"/>
      <c r="H31" s="238"/>
      <c r="I31" s="238"/>
      <c r="J31" s="238"/>
      <c r="K31" s="238"/>
      <c r="L31" s="238"/>
      <c r="M31" s="48">
        <f t="shared" si="0"/>
        <v>15000</v>
      </c>
      <c r="N31" s="48">
        <f t="shared" si="1"/>
        <v>15000</v>
      </c>
      <c r="O31" s="59">
        <f t="shared" si="2"/>
        <v>68000</v>
      </c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1:26" s="240" customFormat="1" ht="15" customHeight="1">
      <c r="A32" s="236"/>
      <c r="B32" s="236"/>
      <c r="C32" s="237" t="s">
        <v>230</v>
      </c>
      <c r="D32" s="238"/>
      <c r="E32" s="238"/>
      <c r="F32" s="238">
        <v>10980</v>
      </c>
      <c r="G32" s="238"/>
      <c r="H32" s="238"/>
      <c r="I32" s="238"/>
      <c r="J32" s="238"/>
      <c r="K32" s="238"/>
      <c r="L32" s="238"/>
      <c r="M32" s="48"/>
      <c r="N32" s="48"/>
      <c r="O32" s="59">
        <f t="shared" si="2"/>
        <v>10980</v>
      </c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spans="1:26" s="240" customFormat="1" ht="26.25" customHeight="1">
      <c r="A33" s="236"/>
      <c r="B33" s="236"/>
      <c r="C33" s="202" t="s">
        <v>231</v>
      </c>
      <c r="D33" s="238">
        <v>34100</v>
      </c>
      <c r="E33" s="238">
        <v>0</v>
      </c>
      <c r="F33" s="238"/>
      <c r="G33" s="238"/>
      <c r="H33" s="238"/>
      <c r="I33" s="238"/>
      <c r="J33" s="238"/>
      <c r="K33" s="238"/>
      <c r="L33" s="238"/>
      <c r="M33" s="48">
        <f t="shared" si="0"/>
        <v>34100</v>
      </c>
      <c r="N33" s="48">
        <f t="shared" si="1"/>
        <v>0</v>
      </c>
      <c r="O33" s="59">
        <f t="shared" si="2"/>
        <v>0</v>
      </c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</row>
    <row r="34" spans="1:26" s="240" customFormat="1" ht="15" customHeight="1">
      <c r="A34" s="236"/>
      <c r="B34" s="236"/>
      <c r="C34" s="237" t="s">
        <v>232</v>
      </c>
      <c r="D34" s="238">
        <v>5000</v>
      </c>
      <c r="E34" s="238">
        <v>5000</v>
      </c>
      <c r="F34" s="238">
        <v>5000</v>
      </c>
      <c r="G34" s="238"/>
      <c r="H34" s="238"/>
      <c r="I34" s="238"/>
      <c r="J34" s="238"/>
      <c r="K34" s="238"/>
      <c r="L34" s="238"/>
      <c r="M34" s="48">
        <f t="shared" si="0"/>
        <v>5000</v>
      </c>
      <c r="N34" s="48">
        <f t="shared" si="1"/>
        <v>5000</v>
      </c>
      <c r="O34" s="59">
        <f t="shared" si="2"/>
        <v>5000</v>
      </c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spans="1:26" s="240" customFormat="1" ht="15" customHeight="1">
      <c r="A35" s="236"/>
      <c r="B35" s="236"/>
      <c r="C35" s="237" t="s">
        <v>233</v>
      </c>
      <c r="D35" s="238">
        <v>7500</v>
      </c>
      <c r="E35" s="238">
        <v>0</v>
      </c>
      <c r="F35" s="238"/>
      <c r="G35" s="238"/>
      <c r="H35" s="238"/>
      <c r="I35" s="238"/>
      <c r="J35" s="238"/>
      <c r="K35" s="238"/>
      <c r="L35" s="238"/>
      <c r="M35" s="48">
        <f t="shared" si="0"/>
        <v>7500</v>
      </c>
      <c r="N35" s="48">
        <f t="shared" si="1"/>
        <v>0</v>
      </c>
      <c r="O35" s="59">
        <f t="shared" si="2"/>
        <v>0</v>
      </c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s="240" customFormat="1" ht="15" customHeight="1">
      <c r="A36" s="236"/>
      <c r="B36" s="236"/>
      <c r="C36" s="237" t="s">
        <v>234</v>
      </c>
      <c r="D36" s="238"/>
      <c r="E36" s="238">
        <v>9700</v>
      </c>
      <c r="F36" s="238">
        <v>49571</v>
      </c>
      <c r="G36" s="238"/>
      <c r="H36" s="238"/>
      <c r="I36" s="238"/>
      <c r="J36" s="238"/>
      <c r="K36" s="238"/>
      <c r="L36" s="238"/>
      <c r="M36" s="48"/>
      <c r="N36" s="48">
        <f>SUM(E36+H36+K36)</f>
        <v>9700</v>
      </c>
      <c r="O36" s="59">
        <f>SUM(F36+I36+L36)</f>
        <v>49571</v>
      </c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ht="15" customHeight="1">
      <c r="A37" s="234"/>
      <c r="B37" s="234"/>
      <c r="C37" s="196" t="s">
        <v>235</v>
      </c>
      <c r="D37" s="228"/>
      <c r="E37" s="228"/>
      <c r="F37" s="228"/>
      <c r="G37" s="228">
        <v>14433</v>
      </c>
      <c r="H37" s="228">
        <v>4433</v>
      </c>
      <c r="I37" s="228">
        <v>4433</v>
      </c>
      <c r="J37" s="228">
        <v>7500</v>
      </c>
      <c r="K37" s="228"/>
      <c r="L37" s="228"/>
      <c r="M37" s="24">
        <f>SUM(D37+G37+J37)</f>
        <v>21933</v>
      </c>
      <c r="N37" s="24">
        <f>SUM(E37+H37+K37)</f>
        <v>4433</v>
      </c>
      <c r="O37" s="30">
        <f>SUM(F37+I37+L37)</f>
        <v>4433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s="3" customFormat="1" ht="15" customHeight="1">
      <c r="A38" s="241"/>
      <c r="B38" s="241"/>
      <c r="C38" s="229" t="s">
        <v>79</v>
      </c>
      <c r="D38" s="226">
        <f aca="true" t="shared" si="5" ref="D38:L38">SUM(D39:D40)</f>
        <v>1963</v>
      </c>
      <c r="E38" s="226">
        <f t="shared" si="5"/>
        <v>1963</v>
      </c>
      <c r="F38" s="226">
        <f t="shared" si="5"/>
        <v>21963</v>
      </c>
      <c r="G38" s="226">
        <f t="shared" si="5"/>
        <v>0</v>
      </c>
      <c r="H38" s="226">
        <f t="shared" si="5"/>
        <v>0</v>
      </c>
      <c r="I38" s="226">
        <f t="shared" si="5"/>
        <v>0</v>
      </c>
      <c r="J38" s="226">
        <f t="shared" si="5"/>
        <v>0</v>
      </c>
      <c r="K38" s="226">
        <f t="shared" si="5"/>
        <v>0</v>
      </c>
      <c r="L38" s="226">
        <f t="shared" si="5"/>
        <v>0</v>
      </c>
      <c r="M38" s="38">
        <f>SUM(D38+G38+J38)</f>
        <v>1963</v>
      </c>
      <c r="N38" s="226">
        <f>SUM(N39:N40)</f>
        <v>1963</v>
      </c>
      <c r="O38" s="242">
        <f>SUM(O39:O40)</f>
        <v>21963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15" customHeight="1">
      <c r="A39" s="234"/>
      <c r="B39" s="234"/>
      <c r="C39" s="196" t="s">
        <v>236</v>
      </c>
      <c r="D39" s="228">
        <v>840</v>
      </c>
      <c r="E39" s="228">
        <v>840</v>
      </c>
      <c r="F39" s="228">
        <v>20840</v>
      </c>
      <c r="G39" s="228"/>
      <c r="H39" s="228"/>
      <c r="I39" s="228"/>
      <c r="J39" s="228"/>
      <c r="K39" s="228"/>
      <c r="L39" s="228"/>
      <c r="M39" s="24">
        <f>SUM(D39+G39+J39)</f>
        <v>840</v>
      </c>
      <c r="N39" s="24">
        <f aca="true" t="shared" si="6" ref="N39:O42">SUM(E39+H39+K39)</f>
        <v>840</v>
      </c>
      <c r="O39" s="30">
        <f t="shared" si="6"/>
        <v>20840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" customHeight="1">
      <c r="A40" s="234"/>
      <c r="B40" s="234"/>
      <c r="C40" s="196" t="s">
        <v>237</v>
      </c>
      <c r="D40" s="228">
        <v>1123</v>
      </c>
      <c r="E40" s="228">
        <v>1123</v>
      </c>
      <c r="F40" s="228">
        <v>1123</v>
      </c>
      <c r="G40" s="228"/>
      <c r="H40" s="228"/>
      <c r="I40" s="228"/>
      <c r="J40" s="228"/>
      <c r="K40" s="228"/>
      <c r="L40" s="228"/>
      <c r="M40" s="24">
        <f>SUM(D40+G40+J40)</f>
        <v>1123</v>
      </c>
      <c r="N40" s="24">
        <f t="shared" si="6"/>
        <v>1123</v>
      </c>
      <c r="O40" s="30">
        <f t="shared" si="6"/>
        <v>1123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s="3" customFormat="1" ht="15" customHeight="1">
      <c r="A41" s="241"/>
      <c r="B41" s="241"/>
      <c r="C41" s="37" t="s">
        <v>238</v>
      </c>
      <c r="D41" s="226">
        <v>20377</v>
      </c>
      <c r="E41" s="226">
        <v>20377</v>
      </c>
      <c r="F41" s="226">
        <v>20377</v>
      </c>
      <c r="G41" s="226"/>
      <c r="H41" s="226"/>
      <c r="I41" s="226"/>
      <c r="J41" s="226"/>
      <c r="K41" s="226"/>
      <c r="L41" s="226"/>
      <c r="M41" s="38">
        <f>SUM(D41+G41+J41)</f>
        <v>20377</v>
      </c>
      <c r="N41" s="38">
        <f t="shared" si="6"/>
        <v>20377</v>
      </c>
      <c r="O41" s="34">
        <f t="shared" si="6"/>
        <v>20377</v>
      </c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</row>
    <row r="42" spans="1:26" s="3" customFormat="1" ht="15" customHeight="1">
      <c r="A42" s="241"/>
      <c r="B42" s="241"/>
      <c r="C42" s="243" t="s">
        <v>239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08"/>
      <c r="N42" s="208"/>
      <c r="O42" s="34">
        <f t="shared" si="6"/>
        <v>0</v>
      </c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1:26" s="3" customFormat="1" ht="15" customHeight="1">
      <c r="A43" s="241"/>
      <c r="B43" s="241"/>
      <c r="C43" s="245" t="s">
        <v>96</v>
      </c>
      <c r="D43" s="246">
        <f>SUM(D6,D7,D10,D11,D16,D17,D19,D20,D21,D23,D38,D41,D42,D18)</f>
        <v>5301807</v>
      </c>
      <c r="E43" s="246">
        <f>SUM(E6,E7,E10,E11,E16,E17,E19,E20,E21,E23,E38,E41,E42,E18)</f>
        <v>5510132</v>
      </c>
      <c r="F43" s="246">
        <f>SUM(F6,F7,F10,F11,F16,F17,F19,F20,F21,F22,F23,F38,F41,F42,F18)</f>
        <v>5530333</v>
      </c>
      <c r="G43" s="246">
        <f aca="true" t="shared" si="7" ref="G43:N43">SUM(G6,G7,G10,G11,G16,G17,G19,G20,G21,G23,G38,G41,G42,G18)</f>
        <v>1616405</v>
      </c>
      <c r="H43" s="246">
        <f t="shared" si="7"/>
        <v>1659422</v>
      </c>
      <c r="I43" s="246">
        <f t="shared" si="7"/>
        <v>1662293</v>
      </c>
      <c r="J43" s="246">
        <f t="shared" si="7"/>
        <v>749513</v>
      </c>
      <c r="K43" s="246">
        <f t="shared" si="7"/>
        <v>790625</v>
      </c>
      <c r="L43" s="246">
        <f t="shared" si="7"/>
        <v>799025</v>
      </c>
      <c r="M43" s="246">
        <f t="shared" si="7"/>
        <v>7667725</v>
      </c>
      <c r="N43" s="246">
        <f t="shared" si="7"/>
        <v>7960179</v>
      </c>
      <c r="O43" s="247">
        <f>SUM(F43+I43+L43)</f>
        <v>7991651</v>
      </c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</sheetData>
  <sheetProtection selectLockedCells="1" selectUnlockedCells="1"/>
  <mergeCells count="6">
    <mergeCell ref="C1:N1"/>
    <mergeCell ref="C2:N2"/>
    <mergeCell ref="D4:F4"/>
    <mergeCell ref="G4:I4"/>
    <mergeCell ref="J4:L4"/>
    <mergeCell ref="M4:O4"/>
  </mergeCells>
  <printOptions horizontalCentered="1"/>
  <pageMargins left="0.39375" right="0.39375" top="0.7402777777777778" bottom="0.20972222222222223" header="0.5902777777777778" footer="0.5118055555555555"/>
  <pageSetup horizontalDpi="300" verticalDpi="300" orientation="landscape" paperSize="9" scale="74"/>
  <headerFooter alignWithMargins="0">
    <oddHeader>&amp;L&amp;8 3. melléklet a 30/2011.(X.28.) önkormányzati rendelethez</oddHead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21"/>
  <sheetViews>
    <sheetView view="pageBreakPreview" zoomScaleSheetLayoutView="100" workbookViewId="0" topLeftCell="A1">
      <selection activeCell="N81" sqref="N81"/>
    </sheetView>
  </sheetViews>
  <sheetFormatPr defaultColWidth="9.00390625" defaultRowHeight="10.5" customHeight="1"/>
  <cols>
    <col min="1" max="1" width="8.00390625" style="248" customWidth="1"/>
    <col min="2" max="2" width="74.75390625" style="249" customWidth="1"/>
    <col min="3" max="3" width="10.625" style="250" customWidth="1"/>
    <col min="4" max="4" width="9.25390625" style="251" customWidth="1"/>
    <col min="5" max="5" width="9.00390625" style="249" customWidth="1"/>
    <col min="6" max="7" width="8.75390625" style="249" customWidth="1"/>
    <col min="8" max="8" width="9.625" style="249" customWidth="1"/>
    <col min="9" max="9" width="9.375" style="249" customWidth="1"/>
    <col min="10" max="10" width="10.125" style="249" customWidth="1"/>
    <col min="11" max="11" width="9.375" style="249" customWidth="1"/>
    <col min="12" max="12" width="9.125" style="249" customWidth="1"/>
    <col min="13" max="13" width="8.875" style="252" customWidth="1"/>
    <col min="14" max="14" width="9.625" style="249" customWidth="1"/>
    <col min="15" max="16384" width="9.125" style="249" customWidth="1"/>
  </cols>
  <sheetData>
    <row r="1" spans="1:2" ht="12.75">
      <c r="A1" s="253"/>
      <c r="B1" s="253"/>
    </row>
    <row r="3" spans="1:14" ht="15.75" customHeight="1">
      <c r="A3" s="254" t="s">
        <v>240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2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2:14" ht="11.25" customHeight="1">
      <c r="L5" s="251"/>
      <c r="M5" s="256"/>
      <c r="N5" s="256" t="s">
        <v>241</v>
      </c>
    </row>
    <row r="6" spans="1:14" s="263" customFormat="1" ht="13.5" customHeight="1">
      <c r="A6" s="257" t="s">
        <v>242</v>
      </c>
      <c r="B6" s="257"/>
      <c r="C6" s="257"/>
      <c r="D6" s="258" t="s">
        <v>243</v>
      </c>
      <c r="E6" s="259" t="s">
        <v>244</v>
      </c>
      <c r="F6" s="260" t="s">
        <v>245</v>
      </c>
      <c r="G6" s="260"/>
      <c r="H6" s="260"/>
      <c r="I6" s="260"/>
      <c r="J6" s="260"/>
      <c r="K6" s="260" t="s">
        <v>246</v>
      </c>
      <c r="L6" s="260"/>
      <c r="M6" s="261" t="s">
        <v>247</v>
      </c>
      <c r="N6" s="262" t="s">
        <v>248</v>
      </c>
    </row>
    <row r="7" spans="1:14" s="263" customFormat="1" ht="12" customHeight="1">
      <c r="A7" s="257"/>
      <c r="B7" s="257"/>
      <c r="C7" s="257"/>
      <c r="D7" s="258"/>
      <c r="E7" s="259"/>
      <c r="F7" s="264" t="s">
        <v>249</v>
      </c>
      <c r="G7" s="264" t="s">
        <v>250</v>
      </c>
      <c r="H7" s="264" t="s">
        <v>251</v>
      </c>
      <c r="I7" s="264" t="s">
        <v>252</v>
      </c>
      <c r="J7" s="264" t="s">
        <v>253</v>
      </c>
      <c r="K7" s="265" t="s">
        <v>148</v>
      </c>
      <c r="L7" s="265" t="s">
        <v>146</v>
      </c>
      <c r="M7" s="261"/>
      <c r="N7" s="262"/>
    </row>
    <row r="8" spans="1:14" s="263" customFormat="1" ht="39" customHeight="1">
      <c r="A8" s="257"/>
      <c r="B8" s="257"/>
      <c r="C8" s="257"/>
      <c r="D8" s="258"/>
      <c r="E8" s="259"/>
      <c r="F8" s="264"/>
      <c r="G8" s="264"/>
      <c r="H8" s="264"/>
      <c r="I8" s="264"/>
      <c r="J8" s="264"/>
      <c r="K8" s="265"/>
      <c r="L8" s="265"/>
      <c r="M8" s="261"/>
      <c r="N8" s="262"/>
    </row>
    <row r="9" spans="1:14" s="263" customFormat="1" ht="12" customHeight="1">
      <c r="A9" s="266" t="s">
        <v>254</v>
      </c>
      <c r="B9" s="267" t="s">
        <v>255</v>
      </c>
      <c r="C9" s="268" t="s">
        <v>6</v>
      </c>
      <c r="D9" s="269">
        <v>1100</v>
      </c>
      <c r="E9" s="269">
        <f aca="true" t="shared" si="0" ref="E9:E104">SUM(F9:N9)</f>
        <v>8615</v>
      </c>
      <c r="F9" s="269"/>
      <c r="G9" s="269"/>
      <c r="H9" s="269">
        <v>8150</v>
      </c>
      <c r="I9" s="269">
        <v>465</v>
      </c>
      <c r="J9" s="269"/>
      <c r="K9" s="269"/>
      <c r="L9" s="269"/>
      <c r="M9" s="269"/>
      <c r="N9" s="270"/>
    </row>
    <row r="10" spans="1:14" s="263" customFormat="1" ht="12" customHeight="1">
      <c r="A10" s="271"/>
      <c r="B10" s="272"/>
      <c r="C10" s="273" t="s">
        <v>102</v>
      </c>
      <c r="D10" s="274">
        <v>1100</v>
      </c>
      <c r="E10" s="274">
        <f t="shared" si="0"/>
        <v>9075</v>
      </c>
      <c r="F10" s="274"/>
      <c r="G10" s="274"/>
      <c r="H10" s="274">
        <v>8610</v>
      </c>
      <c r="I10" s="274">
        <v>465</v>
      </c>
      <c r="J10" s="274"/>
      <c r="K10" s="274"/>
      <c r="L10" s="274"/>
      <c r="M10" s="274"/>
      <c r="N10" s="275"/>
    </row>
    <row r="11" spans="1:14" s="263" customFormat="1" ht="12" customHeight="1">
      <c r="A11" s="271"/>
      <c r="B11" s="272"/>
      <c r="C11" s="273" t="s">
        <v>5</v>
      </c>
      <c r="D11" s="274">
        <v>1100</v>
      </c>
      <c r="E11" s="274">
        <f t="shared" si="0"/>
        <v>9075</v>
      </c>
      <c r="F11" s="274"/>
      <c r="G11" s="274"/>
      <c r="H11" s="274">
        <v>8610</v>
      </c>
      <c r="I11" s="274">
        <v>465</v>
      </c>
      <c r="J11" s="274"/>
      <c r="K11" s="274"/>
      <c r="L11" s="274"/>
      <c r="M11" s="274"/>
      <c r="N11" s="275"/>
    </row>
    <row r="12" spans="1:14" s="263" customFormat="1" ht="12" customHeight="1">
      <c r="A12" s="276">
        <v>360000</v>
      </c>
      <c r="B12" s="277" t="s">
        <v>256</v>
      </c>
      <c r="C12" s="273" t="s">
        <v>6</v>
      </c>
      <c r="D12" s="274">
        <v>1252</v>
      </c>
      <c r="E12" s="274">
        <f t="shared" si="0"/>
        <v>7768</v>
      </c>
      <c r="F12" s="274"/>
      <c r="G12" s="274"/>
      <c r="H12" s="274">
        <v>500</v>
      </c>
      <c r="I12" s="274">
        <v>78</v>
      </c>
      <c r="J12" s="274"/>
      <c r="K12" s="274">
        <v>1050</v>
      </c>
      <c r="L12" s="274">
        <v>6140</v>
      </c>
      <c r="M12" s="274"/>
      <c r="N12" s="275"/>
    </row>
    <row r="13" spans="1:14" s="263" customFormat="1" ht="12" customHeight="1">
      <c r="A13" s="276"/>
      <c r="B13" s="277"/>
      <c r="C13" s="273" t="s">
        <v>102</v>
      </c>
      <c r="D13" s="274">
        <v>1252</v>
      </c>
      <c r="E13" s="274">
        <f t="shared" si="0"/>
        <v>7768</v>
      </c>
      <c r="F13" s="274"/>
      <c r="G13" s="274"/>
      <c r="H13" s="274">
        <v>500</v>
      </c>
      <c r="I13" s="274">
        <v>78</v>
      </c>
      <c r="J13" s="274"/>
      <c r="K13" s="274">
        <v>1050</v>
      </c>
      <c r="L13" s="274">
        <v>6140</v>
      </c>
      <c r="M13" s="274"/>
      <c r="N13" s="275"/>
    </row>
    <row r="14" spans="1:14" s="263" customFormat="1" ht="12" customHeight="1">
      <c r="A14" s="276"/>
      <c r="B14" s="277"/>
      <c r="C14" s="273" t="s">
        <v>5</v>
      </c>
      <c r="D14" s="274">
        <v>1252</v>
      </c>
      <c r="E14" s="274">
        <f t="shared" si="0"/>
        <v>27897</v>
      </c>
      <c r="F14" s="274"/>
      <c r="G14" s="274"/>
      <c r="H14" s="274">
        <v>500</v>
      </c>
      <c r="I14" s="274">
        <v>78</v>
      </c>
      <c r="J14" s="274"/>
      <c r="K14" s="274">
        <v>1050</v>
      </c>
      <c r="L14" s="274">
        <v>26269</v>
      </c>
      <c r="M14" s="274"/>
      <c r="N14" s="275"/>
    </row>
    <row r="15" spans="1:14" s="263" customFormat="1" ht="12" customHeight="1">
      <c r="A15" s="276">
        <v>370000</v>
      </c>
      <c r="B15" s="272" t="s">
        <v>257</v>
      </c>
      <c r="C15" s="273" t="s">
        <v>6</v>
      </c>
      <c r="D15" s="274">
        <v>14450</v>
      </c>
      <c r="E15" s="274">
        <f t="shared" si="0"/>
        <v>36780</v>
      </c>
      <c r="F15" s="274"/>
      <c r="G15" s="274"/>
      <c r="H15" s="274">
        <v>17000</v>
      </c>
      <c r="I15" s="274">
        <v>8525</v>
      </c>
      <c r="J15" s="274"/>
      <c r="K15" s="274">
        <v>10805</v>
      </c>
      <c r="L15" s="274">
        <v>450</v>
      </c>
      <c r="M15" s="274"/>
      <c r="N15" s="275"/>
    </row>
    <row r="16" spans="1:14" s="263" customFormat="1" ht="12" customHeight="1">
      <c r="A16" s="276"/>
      <c r="B16" s="272"/>
      <c r="C16" s="273" t="s">
        <v>102</v>
      </c>
      <c r="D16" s="274">
        <v>14713</v>
      </c>
      <c r="E16" s="274">
        <f t="shared" si="0"/>
        <v>37043</v>
      </c>
      <c r="F16" s="274"/>
      <c r="G16" s="274"/>
      <c r="H16" s="274">
        <v>17000</v>
      </c>
      <c r="I16" s="274">
        <v>8788</v>
      </c>
      <c r="J16" s="274"/>
      <c r="K16" s="274">
        <v>10805</v>
      </c>
      <c r="L16" s="274">
        <v>450</v>
      </c>
      <c r="M16" s="274"/>
      <c r="N16" s="275"/>
    </row>
    <row r="17" spans="1:14" s="263" customFormat="1" ht="12" customHeight="1">
      <c r="A17" s="276"/>
      <c r="B17" s="272"/>
      <c r="C17" s="273" t="s">
        <v>5</v>
      </c>
      <c r="D17" s="274">
        <v>14754</v>
      </c>
      <c r="E17" s="274">
        <f t="shared" si="0"/>
        <v>38134</v>
      </c>
      <c r="F17" s="274"/>
      <c r="G17" s="274"/>
      <c r="H17" s="274">
        <v>17050</v>
      </c>
      <c r="I17" s="274">
        <v>8829</v>
      </c>
      <c r="J17" s="274"/>
      <c r="K17" s="274">
        <v>10805</v>
      </c>
      <c r="L17" s="274">
        <v>1450</v>
      </c>
      <c r="M17" s="274"/>
      <c r="N17" s="275"/>
    </row>
    <row r="18" spans="1:14" s="263" customFormat="1" ht="12" customHeight="1">
      <c r="A18" s="276">
        <v>381103</v>
      </c>
      <c r="B18" s="272" t="s">
        <v>258</v>
      </c>
      <c r="C18" s="273" t="s">
        <v>6</v>
      </c>
      <c r="D18" s="274"/>
      <c r="E18" s="274">
        <f t="shared" si="0"/>
        <v>31525</v>
      </c>
      <c r="F18" s="274"/>
      <c r="G18" s="274"/>
      <c r="H18" s="274">
        <v>18825</v>
      </c>
      <c r="I18" s="274">
        <v>12700</v>
      </c>
      <c r="J18" s="274"/>
      <c r="K18" s="274"/>
      <c r="L18" s="274"/>
      <c r="M18" s="274"/>
      <c r="N18" s="275"/>
    </row>
    <row r="19" spans="1:14" s="263" customFormat="1" ht="12" customHeight="1">
      <c r="A19" s="276"/>
      <c r="B19" s="272"/>
      <c r="C19" s="273" t="s">
        <v>102</v>
      </c>
      <c r="D19" s="274"/>
      <c r="E19" s="274">
        <f t="shared" si="0"/>
        <v>33825</v>
      </c>
      <c r="F19" s="274"/>
      <c r="G19" s="274"/>
      <c r="H19" s="274">
        <v>18825</v>
      </c>
      <c r="I19" s="274">
        <v>15000</v>
      </c>
      <c r="J19" s="274"/>
      <c r="K19" s="274"/>
      <c r="L19" s="274"/>
      <c r="M19" s="274"/>
      <c r="N19" s="275"/>
    </row>
    <row r="20" spans="1:14" s="263" customFormat="1" ht="12" customHeight="1">
      <c r="A20" s="276"/>
      <c r="B20" s="272"/>
      <c r="C20" s="273" t="s">
        <v>5</v>
      </c>
      <c r="D20" s="274"/>
      <c r="E20" s="274">
        <f t="shared" si="0"/>
        <v>33825</v>
      </c>
      <c r="F20" s="274"/>
      <c r="G20" s="274"/>
      <c r="H20" s="274">
        <v>18825</v>
      </c>
      <c r="I20" s="274">
        <v>15000</v>
      </c>
      <c r="J20" s="274"/>
      <c r="K20" s="274"/>
      <c r="L20" s="274"/>
      <c r="M20" s="274"/>
      <c r="N20" s="275"/>
    </row>
    <row r="21" spans="1:14" s="263" customFormat="1" ht="12" customHeight="1">
      <c r="A21" s="276">
        <v>412000</v>
      </c>
      <c r="B21" s="272" t="s">
        <v>259</v>
      </c>
      <c r="C21" s="273" t="s">
        <v>6</v>
      </c>
      <c r="D21" s="274">
        <v>1069774</v>
      </c>
      <c r="E21" s="274">
        <f t="shared" si="0"/>
        <v>2163087</v>
      </c>
      <c r="F21" s="274"/>
      <c r="G21" s="274"/>
      <c r="H21" s="274"/>
      <c r="I21" s="274">
        <v>98996</v>
      </c>
      <c r="J21" s="274"/>
      <c r="K21" s="274">
        <v>62341</v>
      </c>
      <c r="L21" s="274">
        <v>1996750</v>
      </c>
      <c r="M21" s="274">
        <v>5000</v>
      </c>
      <c r="N21" s="275"/>
    </row>
    <row r="22" spans="1:14" s="263" customFormat="1" ht="12" customHeight="1">
      <c r="A22" s="276"/>
      <c r="B22" s="272"/>
      <c r="C22" s="273" t="s">
        <v>102</v>
      </c>
      <c r="D22" s="274">
        <v>1069774</v>
      </c>
      <c r="E22" s="274">
        <f t="shared" si="0"/>
        <v>2227285</v>
      </c>
      <c r="F22" s="274">
        <v>2828</v>
      </c>
      <c r="G22" s="274">
        <v>687</v>
      </c>
      <c r="H22" s="274"/>
      <c r="I22" s="274">
        <v>98996</v>
      </c>
      <c r="J22" s="274"/>
      <c r="K22" s="274">
        <v>62341</v>
      </c>
      <c r="L22" s="274">
        <v>2057433</v>
      </c>
      <c r="M22" s="274">
        <v>5000</v>
      </c>
      <c r="N22" s="275"/>
    </row>
    <row r="23" spans="1:14" s="263" customFormat="1" ht="12" customHeight="1">
      <c r="A23" s="276"/>
      <c r="B23" s="272"/>
      <c r="C23" s="273" t="s">
        <v>5</v>
      </c>
      <c r="D23" s="274">
        <v>66738</v>
      </c>
      <c r="E23" s="274">
        <f t="shared" si="0"/>
        <v>352203</v>
      </c>
      <c r="F23" s="274">
        <v>5460</v>
      </c>
      <c r="G23" s="274">
        <v>1327</v>
      </c>
      <c r="H23" s="274">
        <v>2000</v>
      </c>
      <c r="I23" s="274">
        <v>46236</v>
      </c>
      <c r="J23" s="274"/>
      <c r="K23" s="274">
        <v>47841</v>
      </c>
      <c r="L23" s="274">
        <v>244339</v>
      </c>
      <c r="M23" s="274">
        <v>5000</v>
      </c>
      <c r="N23" s="275"/>
    </row>
    <row r="24" spans="1:14" s="263" customFormat="1" ht="12" customHeight="1">
      <c r="A24" s="276">
        <v>421100</v>
      </c>
      <c r="B24" s="272" t="s">
        <v>260</v>
      </c>
      <c r="C24" s="273" t="s">
        <v>6</v>
      </c>
      <c r="D24" s="274">
        <v>101933</v>
      </c>
      <c r="E24" s="274">
        <f t="shared" si="0"/>
        <v>321431</v>
      </c>
      <c r="F24" s="274"/>
      <c r="G24" s="274"/>
      <c r="H24" s="274">
        <v>6180</v>
      </c>
      <c r="I24" s="274">
        <v>35073</v>
      </c>
      <c r="J24" s="274"/>
      <c r="K24" s="274">
        <v>10000</v>
      </c>
      <c r="L24" s="274">
        <v>253178</v>
      </c>
      <c r="M24" s="274"/>
      <c r="N24" s="275">
        <v>17000</v>
      </c>
    </row>
    <row r="25" spans="1:14" s="263" customFormat="1" ht="12" customHeight="1">
      <c r="A25" s="276"/>
      <c r="B25" s="272"/>
      <c r="C25" s="273" t="s">
        <v>102</v>
      </c>
      <c r="D25" s="274">
        <v>113135</v>
      </c>
      <c r="E25" s="274">
        <f t="shared" si="0"/>
        <v>382314</v>
      </c>
      <c r="F25" s="274"/>
      <c r="G25" s="274"/>
      <c r="H25" s="274">
        <v>6180</v>
      </c>
      <c r="I25" s="274">
        <v>19073</v>
      </c>
      <c r="J25" s="274"/>
      <c r="K25" s="274">
        <v>10000</v>
      </c>
      <c r="L25" s="274">
        <v>330061</v>
      </c>
      <c r="M25" s="274"/>
      <c r="N25" s="275">
        <v>17000</v>
      </c>
    </row>
    <row r="26" spans="1:14" s="263" customFormat="1" ht="12" customHeight="1">
      <c r="A26" s="276"/>
      <c r="B26" s="272"/>
      <c r="C26" s="273" t="s">
        <v>5</v>
      </c>
      <c r="D26" s="274">
        <v>56871</v>
      </c>
      <c r="E26" s="274">
        <f t="shared" si="0"/>
        <v>289202</v>
      </c>
      <c r="F26" s="274">
        <v>462</v>
      </c>
      <c r="G26" s="274">
        <v>112</v>
      </c>
      <c r="H26" s="274">
        <v>6180</v>
      </c>
      <c r="I26" s="274">
        <v>30098</v>
      </c>
      <c r="J26" s="274"/>
      <c r="K26" s="274">
        <v>10250</v>
      </c>
      <c r="L26" s="274">
        <v>237100</v>
      </c>
      <c r="M26" s="274"/>
      <c r="N26" s="275">
        <v>5000</v>
      </c>
    </row>
    <row r="27" spans="1:14" s="263" customFormat="1" ht="12" customHeight="1">
      <c r="A27" s="276">
        <v>493909</v>
      </c>
      <c r="B27" s="272" t="s">
        <v>261</v>
      </c>
      <c r="C27" s="273" t="s">
        <v>6</v>
      </c>
      <c r="D27" s="274"/>
      <c r="E27" s="274">
        <f t="shared" si="0"/>
        <v>4500</v>
      </c>
      <c r="F27" s="274"/>
      <c r="G27" s="274"/>
      <c r="H27" s="274"/>
      <c r="I27" s="274">
        <v>4500</v>
      </c>
      <c r="J27" s="274"/>
      <c r="K27" s="274"/>
      <c r="L27" s="274"/>
      <c r="M27" s="274"/>
      <c r="N27" s="275"/>
    </row>
    <row r="28" spans="1:14" s="263" customFormat="1" ht="12" customHeight="1">
      <c r="A28" s="276"/>
      <c r="B28" s="272"/>
      <c r="C28" s="273" t="s">
        <v>102</v>
      </c>
      <c r="D28" s="274"/>
      <c r="E28" s="274">
        <f t="shared" si="0"/>
        <v>7825</v>
      </c>
      <c r="F28" s="274"/>
      <c r="G28" s="274"/>
      <c r="H28" s="274"/>
      <c r="I28" s="274">
        <v>7825</v>
      </c>
      <c r="J28" s="274"/>
      <c r="K28" s="274"/>
      <c r="L28" s="274"/>
      <c r="M28" s="274"/>
      <c r="N28" s="275"/>
    </row>
    <row r="29" spans="1:14" s="263" customFormat="1" ht="12" customHeight="1">
      <c r="A29" s="276"/>
      <c r="B29" s="272"/>
      <c r="C29" s="273" t="s">
        <v>5</v>
      </c>
      <c r="D29" s="274">
        <v>1867</v>
      </c>
      <c r="E29" s="274">
        <f t="shared" si="0"/>
        <v>13017</v>
      </c>
      <c r="F29" s="274"/>
      <c r="G29" s="274"/>
      <c r="H29" s="274"/>
      <c r="I29" s="274">
        <v>13017</v>
      </c>
      <c r="J29" s="274"/>
      <c r="K29" s="274"/>
      <c r="L29" s="274"/>
      <c r="M29" s="274"/>
      <c r="N29" s="275"/>
    </row>
    <row r="30" spans="1:14" s="263" customFormat="1" ht="12" customHeight="1">
      <c r="A30" s="276">
        <v>522110</v>
      </c>
      <c r="B30" s="272" t="s">
        <v>262</v>
      </c>
      <c r="C30" s="273" t="s">
        <v>6</v>
      </c>
      <c r="D30" s="274"/>
      <c r="E30" s="274">
        <f t="shared" si="0"/>
        <v>44818</v>
      </c>
      <c r="F30" s="274"/>
      <c r="G30" s="274"/>
      <c r="H30" s="274">
        <v>36525</v>
      </c>
      <c r="I30" s="274">
        <v>8293</v>
      </c>
      <c r="J30" s="278"/>
      <c r="K30" s="278"/>
      <c r="L30" s="274"/>
      <c r="M30" s="274"/>
      <c r="N30" s="275"/>
    </row>
    <row r="31" spans="1:14" s="263" customFormat="1" ht="12" customHeight="1">
      <c r="A31" s="276"/>
      <c r="B31" s="272"/>
      <c r="C31" s="273" t="s">
        <v>102</v>
      </c>
      <c r="D31" s="274"/>
      <c r="E31" s="274">
        <f t="shared" si="0"/>
        <v>44818</v>
      </c>
      <c r="F31" s="274"/>
      <c r="G31" s="274"/>
      <c r="H31" s="274">
        <v>36525</v>
      </c>
      <c r="I31" s="274">
        <v>8293</v>
      </c>
      <c r="J31" s="278"/>
      <c r="K31" s="278"/>
      <c r="L31" s="274"/>
      <c r="M31" s="274"/>
      <c r="N31" s="275"/>
    </row>
    <row r="32" spans="1:14" s="263" customFormat="1" ht="12" customHeight="1">
      <c r="A32" s="276"/>
      <c r="B32" s="272"/>
      <c r="C32" s="273" t="s">
        <v>5</v>
      </c>
      <c r="D32" s="274"/>
      <c r="E32" s="274">
        <f t="shared" si="0"/>
        <v>43942</v>
      </c>
      <c r="F32" s="274"/>
      <c r="G32" s="274"/>
      <c r="H32" s="274">
        <v>35649</v>
      </c>
      <c r="I32" s="274">
        <v>8293</v>
      </c>
      <c r="J32" s="274"/>
      <c r="K32" s="278"/>
      <c r="L32" s="274"/>
      <c r="M32" s="274"/>
      <c r="N32" s="275"/>
    </row>
    <row r="33" spans="1:14" s="263" customFormat="1" ht="12" customHeight="1">
      <c r="A33" s="276">
        <v>552001</v>
      </c>
      <c r="B33" s="272" t="s">
        <v>263</v>
      </c>
      <c r="C33" s="273" t="s">
        <v>6</v>
      </c>
      <c r="D33" s="274">
        <v>2840</v>
      </c>
      <c r="E33" s="274">
        <f t="shared" si="0"/>
        <v>5818</v>
      </c>
      <c r="F33" s="274"/>
      <c r="G33" s="274"/>
      <c r="H33" s="274">
        <v>3618</v>
      </c>
      <c r="I33" s="274"/>
      <c r="J33" s="278"/>
      <c r="K33" s="274">
        <v>2200</v>
      </c>
      <c r="L33" s="274"/>
      <c r="M33" s="274"/>
      <c r="N33" s="275"/>
    </row>
    <row r="34" spans="1:14" s="263" customFormat="1" ht="12" customHeight="1">
      <c r="A34" s="276"/>
      <c r="B34" s="272"/>
      <c r="C34" s="273" t="s">
        <v>102</v>
      </c>
      <c r="D34" s="274">
        <v>2840</v>
      </c>
      <c r="E34" s="274">
        <f t="shared" si="0"/>
        <v>5818</v>
      </c>
      <c r="F34" s="274"/>
      <c r="G34" s="274"/>
      <c r="H34" s="274">
        <v>3618</v>
      </c>
      <c r="I34" s="274"/>
      <c r="J34" s="278"/>
      <c r="K34" s="274">
        <v>2200</v>
      </c>
      <c r="L34" s="274"/>
      <c r="M34" s="274"/>
      <c r="N34" s="275"/>
    </row>
    <row r="35" spans="1:14" s="263" customFormat="1" ht="12" customHeight="1">
      <c r="A35" s="276"/>
      <c r="B35" s="272"/>
      <c r="C35" s="273" t="s">
        <v>5</v>
      </c>
      <c r="D35" s="274">
        <v>2840</v>
      </c>
      <c r="E35" s="274">
        <f t="shared" si="0"/>
        <v>5818</v>
      </c>
      <c r="F35" s="274"/>
      <c r="G35" s="274"/>
      <c r="H35" s="274">
        <v>3618</v>
      </c>
      <c r="I35" s="274"/>
      <c r="J35" s="278"/>
      <c r="K35" s="274">
        <v>2200</v>
      </c>
      <c r="L35" s="274"/>
      <c r="M35" s="274"/>
      <c r="N35" s="275"/>
    </row>
    <row r="36" spans="1:14" s="263" customFormat="1" ht="12" customHeight="1">
      <c r="A36" s="279">
        <v>581100</v>
      </c>
      <c r="B36" s="280" t="s">
        <v>264</v>
      </c>
      <c r="C36" s="273" t="s">
        <v>6</v>
      </c>
      <c r="D36" s="274"/>
      <c r="E36" s="274">
        <f t="shared" si="0"/>
        <v>1800</v>
      </c>
      <c r="F36" s="281"/>
      <c r="G36" s="281"/>
      <c r="H36" s="281">
        <v>1800</v>
      </c>
      <c r="I36" s="281"/>
      <c r="J36" s="281"/>
      <c r="K36" s="281"/>
      <c r="L36" s="281"/>
      <c r="M36" s="281"/>
      <c r="N36" s="282"/>
    </row>
    <row r="37" spans="1:14" s="263" customFormat="1" ht="12" customHeight="1">
      <c r="A37" s="279"/>
      <c r="B37" s="280"/>
      <c r="C37" s="273" t="s">
        <v>102</v>
      </c>
      <c r="D37" s="274"/>
      <c r="E37" s="274">
        <f t="shared" si="0"/>
        <v>1800</v>
      </c>
      <c r="F37" s="281"/>
      <c r="G37" s="281"/>
      <c r="H37" s="281">
        <v>1800</v>
      </c>
      <c r="I37" s="281"/>
      <c r="J37" s="281"/>
      <c r="K37" s="281"/>
      <c r="L37" s="281"/>
      <c r="M37" s="281"/>
      <c r="N37" s="282"/>
    </row>
    <row r="38" spans="1:14" s="263" customFormat="1" ht="12" customHeight="1">
      <c r="A38" s="279"/>
      <c r="B38" s="280"/>
      <c r="C38" s="273" t="s">
        <v>5</v>
      </c>
      <c r="D38" s="274"/>
      <c r="E38" s="274">
        <f t="shared" si="0"/>
        <v>1800</v>
      </c>
      <c r="F38" s="281"/>
      <c r="G38" s="281"/>
      <c r="H38" s="281">
        <v>1800</v>
      </c>
      <c r="I38" s="281"/>
      <c r="J38" s="281"/>
      <c r="K38" s="281"/>
      <c r="L38" s="281"/>
      <c r="M38" s="281"/>
      <c r="N38" s="282"/>
    </row>
    <row r="39" spans="1:14" s="263" customFormat="1" ht="12" customHeight="1">
      <c r="A39" s="276">
        <v>581900</v>
      </c>
      <c r="B39" s="272" t="s">
        <v>265</v>
      </c>
      <c r="C39" s="273" t="s">
        <v>6</v>
      </c>
      <c r="D39" s="274"/>
      <c r="E39" s="274">
        <f t="shared" si="0"/>
        <v>13518</v>
      </c>
      <c r="F39" s="274">
        <v>3520</v>
      </c>
      <c r="G39" s="274">
        <v>748</v>
      </c>
      <c r="H39" s="274">
        <v>9250</v>
      </c>
      <c r="I39" s="274"/>
      <c r="J39" s="274"/>
      <c r="K39" s="274"/>
      <c r="L39" s="274"/>
      <c r="M39" s="274"/>
      <c r="N39" s="275"/>
    </row>
    <row r="40" spans="1:14" s="263" customFormat="1" ht="12" customHeight="1">
      <c r="A40" s="276"/>
      <c r="B40" s="272"/>
      <c r="C40" s="273" t="s">
        <v>102</v>
      </c>
      <c r="D40" s="274"/>
      <c r="E40" s="274">
        <f t="shared" si="0"/>
        <v>27710</v>
      </c>
      <c r="F40" s="274">
        <v>5760</v>
      </c>
      <c r="G40" s="274">
        <v>1353</v>
      </c>
      <c r="H40" s="274">
        <v>19872</v>
      </c>
      <c r="I40" s="274">
        <v>725</v>
      </c>
      <c r="J40" s="274"/>
      <c r="K40" s="274"/>
      <c r="L40" s="274"/>
      <c r="M40" s="274"/>
      <c r="N40" s="275"/>
    </row>
    <row r="41" spans="1:14" s="263" customFormat="1" ht="12" customHeight="1">
      <c r="A41" s="276"/>
      <c r="B41" s="272"/>
      <c r="C41" s="273" t="s">
        <v>5</v>
      </c>
      <c r="D41" s="274"/>
      <c r="E41" s="274">
        <f t="shared" si="0"/>
        <v>29090</v>
      </c>
      <c r="F41" s="274">
        <v>5760</v>
      </c>
      <c r="G41" s="274">
        <v>1353</v>
      </c>
      <c r="H41" s="274">
        <v>21347</v>
      </c>
      <c r="I41" s="274">
        <v>630</v>
      </c>
      <c r="J41" s="274"/>
      <c r="K41" s="274"/>
      <c r="L41" s="274"/>
      <c r="M41" s="274"/>
      <c r="N41" s="275"/>
    </row>
    <row r="42" spans="1:14" s="263" customFormat="1" ht="12" customHeight="1">
      <c r="A42" s="276">
        <v>681000</v>
      </c>
      <c r="B42" s="272" t="s">
        <v>266</v>
      </c>
      <c r="C42" s="273" t="s">
        <v>6</v>
      </c>
      <c r="D42" s="274">
        <v>230585</v>
      </c>
      <c r="E42" s="274">
        <f t="shared" si="0"/>
        <v>36000</v>
      </c>
      <c r="F42" s="274"/>
      <c r="G42" s="274"/>
      <c r="H42" s="274">
        <v>13000</v>
      </c>
      <c r="I42" s="274"/>
      <c r="J42" s="274"/>
      <c r="K42" s="274"/>
      <c r="L42" s="274">
        <v>23000</v>
      </c>
      <c r="M42" s="274"/>
      <c r="N42" s="275"/>
    </row>
    <row r="43" spans="1:14" s="263" customFormat="1" ht="12" customHeight="1">
      <c r="A43" s="276"/>
      <c r="B43" s="272"/>
      <c r="C43" s="273" t="s">
        <v>102</v>
      </c>
      <c r="D43" s="274">
        <v>230585</v>
      </c>
      <c r="E43" s="274">
        <f t="shared" si="0"/>
        <v>36000</v>
      </c>
      <c r="F43" s="274"/>
      <c r="G43" s="274"/>
      <c r="H43" s="274">
        <v>13000</v>
      </c>
      <c r="I43" s="274"/>
      <c r="J43" s="274"/>
      <c r="K43" s="274"/>
      <c r="L43" s="274">
        <v>23000</v>
      </c>
      <c r="M43" s="274"/>
      <c r="N43" s="275"/>
    </row>
    <row r="44" spans="1:14" s="263" customFormat="1" ht="12" customHeight="1">
      <c r="A44" s="276"/>
      <c r="B44" s="272"/>
      <c r="C44" s="273" t="s">
        <v>5</v>
      </c>
      <c r="D44" s="274">
        <v>180885</v>
      </c>
      <c r="E44" s="274">
        <f t="shared" si="0"/>
        <v>90813</v>
      </c>
      <c r="F44" s="274"/>
      <c r="G44" s="274"/>
      <c r="H44" s="274">
        <v>17313</v>
      </c>
      <c r="I44" s="274"/>
      <c r="J44" s="274"/>
      <c r="K44" s="274"/>
      <c r="L44" s="274">
        <v>73500</v>
      </c>
      <c r="M44" s="274"/>
      <c r="N44" s="275"/>
    </row>
    <row r="45" spans="1:14" s="263" customFormat="1" ht="12" customHeight="1">
      <c r="A45" s="276">
        <v>682001</v>
      </c>
      <c r="B45" s="272" t="s">
        <v>267</v>
      </c>
      <c r="C45" s="273" t="s">
        <v>6</v>
      </c>
      <c r="D45" s="274">
        <v>116540</v>
      </c>
      <c r="E45" s="274">
        <f t="shared" si="0"/>
        <v>37696</v>
      </c>
      <c r="F45" s="274"/>
      <c r="G45" s="274"/>
      <c r="H45" s="274">
        <v>37696</v>
      </c>
      <c r="I45" s="274"/>
      <c r="J45" s="274"/>
      <c r="K45" s="274"/>
      <c r="L45" s="274"/>
      <c r="M45" s="274"/>
      <c r="N45" s="275"/>
    </row>
    <row r="46" spans="1:14" s="263" customFormat="1" ht="12" customHeight="1">
      <c r="A46" s="276"/>
      <c r="B46" s="272"/>
      <c r="C46" s="273" t="s">
        <v>102</v>
      </c>
      <c r="D46" s="274">
        <v>116540</v>
      </c>
      <c r="E46" s="274">
        <f t="shared" si="0"/>
        <v>37696</v>
      </c>
      <c r="F46" s="274"/>
      <c r="G46" s="274"/>
      <c r="H46" s="274">
        <v>37696</v>
      </c>
      <c r="I46" s="274"/>
      <c r="J46" s="274"/>
      <c r="K46" s="274"/>
      <c r="L46" s="274"/>
      <c r="M46" s="274"/>
      <c r="N46" s="275"/>
    </row>
    <row r="47" spans="1:14" s="263" customFormat="1" ht="12" customHeight="1">
      <c r="A47" s="276"/>
      <c r="B47" s="272"/>
      <c r="C47" s="273" t="s">
        <v>5</v>
      </c>
      <c r="D47" s="274">
        <v>116540</v>
      </c>
      <c r="E47" s="274">
        <f t="shared" si="0"/>
        <v>37696</v>
      </c>
      <c r="F47" s="274"/>
      <c r="G47" s="274"/>
      <c r="H47" s="274">
        <v>37696</v>
      </c>
      <c r="I47" s="274"/>
      <c r="J47" s="274"/>
      <c r="K47" s="274"/>
      <c r="L47" s="274"/>
      <c r="M47" s="274"/>
      <c r="N47" s="275"/>
    </row>
    <row r="48" spans="1:14" s="263" customFormat="1" ht="12" customHeight="1">
      <c r="A48" s="276">
        <v>682002</v>
      </c>
      <c r="B48" s="272" t="s">
        <v>268</v>
      </c>
      <c r="C48" s="273" t="s">
        <v>6</v>
      </c>
      <c r="D48" s="274">
        <v>47281</v>
      </c>
      <c r="E48" s="274">
        <f t="shared" si="0"/>
        <v>4380</v>
      </c>
      <c r="F48" s="274"/>
      <c r="G48" s="274"/>
      <c r="H48" s="274">
        <v>4380</v>
      </c>
      <c r="I48" s="274"/>
      <c r="J48" s="274"/>
      <c r="K48" s="274"/>
      <c r="L48" s="274"/>
      <c r="M48" s="274"/>
      <c r="N48" s="275"/>
    </row>
    <row r="49" spans="1:14" s="263" customFormat="1" ht="12" customHeight="1">
      <c r="A49" s="276"/>
      <c r="B49" s="272"/>
      <c r="C49" s="273" t="s">
        <v>102</v>
      </c>
      <c r="D49" s="274">
        <v>47281</v>
      </c>
      <c r="E49" s="274">
        <f t="shared" si="0"/>
        <v>4380</v>
      </c>
      <c r="F49" s="274"/>
      <c r="G49" s="274"/>
      <c r="H49" s="274">
        <v>4380</v>
      </c>
      <c r="I49" s="274"/>
      <c r="J49" s="274"/>
      <c r="K49" s="274"/>
      <c r="L49" s="274"/>
      <c r="M49" s="274"/>
      <c r="N49" s="275"/>
    </row>
    <row r="50" spans="1:14" s="263" customFormat="1" ht="12" customHeight="1">
      <c r="A50" s="276"/>
      <c r="B50" s="272"/>
      <c r="C50" s="273" t="s">
        <v>5</v>
      </c>
      <c r="D50" s="274">
        <v>47281</v>
      </c>
      <c r="E50" s="274">
        <f t="shared" si="0"/>
        <v>7254</v>
      </c>
      <c r="F50" s="274"/>
      <c r="G50" s="274"/>
      <c r="H50" s="274">
        <v>7254</v>
      </c>
      <c r="I50" s="274"/>
      <c r="J50" s="274"/>
      <c r="K50" s="274"/>
      <c r="L50" s="274"/>
      <c r="M50" s="274"/>
      <c r="N50" s="275"/>
    </row>
    <row r="51" spans="1:14" s="263" customFormat="1" ht="12" customHeight="1">
      <c r="A51" s="276">
        <v>683200</v>
      </c>
      <c r="B51" s="272" t="s">
        <v>269</v>
      </c>
      <c r="C51" s="273" t="s">
        <v>6</v>
      </c>
      <c r="D51" s="274"/>
      <c r="E51" s="274">
        <f t="shared" si="0"/>
        <v>4700</v>
      </c>
      <c r="F51" s="274"/>
      <c r="G51" s="274"/>
      <c r="H51" s="274">
        <v>4700</v>
      </c>
      <c r="I51" s="274"/>
      <c r="J51" s="274"/>
      <c r="K51" s="274"/>
      <c r="L51" s="274"/>
      <c r="M51" s="274"/>
      <c r="N51" s="275"/>
    </row>
    <row r="52" spans="1:14" s="263" customFormat="1" ht="12" customHeight="1">
      <c r="A52" s="276"/>
      <c r="B52" s="272"/>
      <c r="C52" s="273" t="s">
        <v>102</v>
      </c>
      <c r="D52" s="274"/>
      <c r="E52" s="274">
        <f t="shared" si="0"/>
        <v>4700</v>
      </c>
      <c r="F52" s="274"/>
      <c r="G52" s="274"/>
      <c r="H52" s="274">
        <v>4700</v>
      </c>
      <c r="I52" s="274"/>
      <c r="J52" s="274"/>
      <c r="K52" s="274"/>
      <c r="L52" s="274"/>
      <c r="M52" s="274"/>
      <c r="N52" s="275"/>
    </row>
    <row r="53" spans="1:14" s="263" customFormat="1" ht="12" customHeight="1">
      <c r="A53" s="276"/>
      <c r="B53" s="272"/>
      <c r="C53" s="273" t="s">
        <v>5</v>
      </c>
      <c r="D53" s="274"/>
      <c r="E53" s="274">
        <f t="shared" si="0"/>
        <v>4700</v>
      </c>
      <c r="F53" s="274"/>
      <c r="G53" s="274"/>
      <c r="H53" s="274">
        <v>4700</v>
      </c>
      <c r="I53" s="274"/>
      <c r="J53" s="274"/>
      <c r="K53" s="274"/>
      <c r="L53" s="274"/>
      <c r="M53" s="274"/>
      <c r="N53" s="275"/>
    </row>
    <row r="54" spans="1:14" s="263" customFormat="1" ht="12" customHeight="1">
      <c r="A54" s="276">
        <v>750000</v>
      </c>
      <c r="B54" s="272" t="s">
        <v>270</v>
      </c>
      <c r="C54" s="273" t="s">
        <v>6</v>
      </c>
      <c r="D54" s="274"/>
      <c r="E54" s="274">
        <f t="shared" si="0"/>
        <v>4356</v>
      </c>
      <c r="F54" s="274"/>
      <c r="G54" s="274"/>
      <c r="H54" s="274">
        <v>3000</v>
      </c>
      <c r="I54" s="274">
        <v>1356</v>
      </c>
      <c r="J54" s="274"/>
      <c r="K54" s="274"/>
      <c r="L54" s="274"/>
      <c r="M54" s="274"/>
      <c r="N54" s="275"/>
    </row>
    <row r="55" spans="1:14" s="263" customFormat="1" ht="12" customHeight="1">
      <c r="A55" s="276"/>
      <c r="B55" s="272"/>
      <c r="C55" s="273" t="s">
        <v>102</v>
      </c>
      <c r="D55" s="274"/>
      <c r="E55" s="274">
        <f t="shared" si="0"/>
        <v>4356</v>
      </c>
      <c r="F55" s="274"/>
      <c r="G55" s="274"/>
      <c r="H55" s="274">
        <v>3000</v>
      </c>
      <c r="I55" s="274">
        <v>1356</v>
      </c>
      <c r="J55" s="274"/>
      <c r="K55" s="274"/>
      <c r="L55" s="274"/>
      <c r="M55" s="274"/>
      <c r="N55" s="275"/>
    </row>
    <row r="56" spans="1:14" s="263" customFormat="1" ht="12" customHeight="1">
      <c r="A56" s="276"/>
      <c r="B56" s="272"/>
      <c r="C56" s="273" t="s">
        <v>5</v>
      </c>
      <c r="D56" s="274"/>
      <c r="E56" s="274">
        <f t="shared" si="0"/>
        <v>4356</v>
      </c>
      <c r="F56" s="274"/>
      <c r="G56" s="274"/>
      <c r="H56" s="274">
        <v>3000</v>
      </c>
      <c r="I56" s="274">
        <v>1356</v>
      </c>
      <c r="J56" s="274"/>
      <c r="K56" s="274"/>
      <c r="L56" s="274"/>
      <c r="M56" s="274"/>
      <c r="N56" s="275"/>
    </row>
    <row r="57" spans="1:14" s="263" customFormat="1" ht="12" customHeight="1">
      <c r="A57" s="276">
        <v>773000</v>
      </c>
      <c r="B57" s="272" t="s">
        <v>271</v>
      </c>
      <c r="C57" s="273" t="s">
        <v>6</v>
      </c>
      <c r="D57" s="274"/>
      <c r="E57" s="274">
        <f t="shared" si="0"/>
        <v>3906</v>
      </c>
      <c r="F57" s="281"/>
      <c r="G57" s="281"/>
      <c r="H57" s="281">
        <v>3906</v>
      </c>
      <c r="I57" s="281"/>
      <c r="J57" s="281"/>
      <c r="K57" s="281"/>
      <c r="L57" s="281"/>
      <c r="M57" s="281"/>
      <c r="N57" s="282"/>
    </row>
    <row r="58" spans="1:14" s="263" customFormat="1" ht="12" customHeight="1">
      <c r="A58" s="276"/>
      <c r="B58" s="272"/>
      <c r="C58" s="273" t="s">
        <v>102</v>
      </c>
      <c r="D58" s="274"/>
      <c r="E58" s="274">
        <f t="shared" si="0"/>
        <v>3906</v>
      </c>
      <c r="F58" s="281"/>
      <c r="G58" s="281"/>
      <c r="H58" s="281">
        <v>3906</v>
      </c>
      <c r="I58" s="281"/>
      <c r="J58" s="281"/>
      <c r="K58" s="281"/>
      <c r="L58" s="281"/>
      <c r="M58" s="281"/>
      <c r="N58" s="282"/>
    </row>
    <row r="59" spans="1:14" s="263" customFormat="1" ht="12" customHeight="1">
      <c r="A59" s="276"/>
      <c r="B59" s="272"/>
      <c r="C59" s="273" t="s">
        <v>5</v>
      </c>
      <c r="D59" s="274"/>
      <c r="E59" s="274">
        <f t="shared" si="0"/>
        <v>3906</v>
      </c>
      <c r="F59" s="281"/>
      <c r="G59" s="281"/>
      <c r="H59" s="281">
        <v>3906</v>
      </c>
      <c r="I59" s="281"/>
      <c r="J59" s="281"/>
      <c r="K59" s="281"/>
      <c r="L59" s="281"/>
      <c r="M59" s="281"/>
      <c r="N59" s="282"/>
    </row>
    <row r="60" spans="1:14" s="263" customFormat="1" ht="12" customHeight="1">
      <c r="A60" s="276">
        <v>813000</v>
      </c>
      <c r="B60" s="272" t="s">
        <v>272</v>
      </c>
      <c r="C60" s="273" t="s">
        <v>6</v>
      </c>
      <c r="D60" s="274"/>
      <c r="E60" s="274">
        <f t="shared" si="0"/>
        <v>69718</v>
      </c>
      <c r="F60" s="274"/>
      <c r="G60" s="274"/>
      <c r="H60" s="274">
        <v>50620</v>
      </c>
      <c r="I60" s="274">
        <v>19098</v>
      </c>
      <c r="J60" s="274"/>
      <c r="K60" s="274"/>
      <c r="L60" s="274"/>
      <c r="M60" s="274"/>
      <c r="N60" s="275"/>
    </row>
    <row r="61" spans="1:14" s="263" customFormat="1" ht="12" customHeight="1">
      <c r="A61" s="276"/>
      <c r="B61" s="272"/>
      <c r="C61" s="273" t="s">
        <v>102</v>
      </c>
      <c r="D61" s="274"/>
      <c r="E61" s="274">
        <f t="shared" si="0"/>
        <v>69718</v>
      </c>
      <c r="F61" s="274"/>
      <c r="G61" s="274"/>
      <c r="H61" s="274">
        <v>50620</v>
      </c>
      <c r="I61" s="274">
        <v>19098</v>
      </c>
      <c r="J61" s="274"/>
      <c r="K61" s="274"/>
      <c r="L61" s="274"/>
      <c r="M61" s="274"/>
      <c r="N61" s="275"/>
    </row>
    <row r="62" spans="1:14" s="263" customFormat="1" ht="12" customHeight="1">
      <c r="A62" s="276"/>
      <c r="B62" s="272"/>
      <c r="C62" s="273" t="s">
        <v>5</v>
      </c>
      <c r="D62" s="274"/>
      <c r="E62" s="274">
        <f t="shared" si="0"/>
        <v>69718</v>
      </c>
      <c r="F62" s="274"/>
      <c r="G62" s="274"/>
      <c r="H62" s="274">
        <v>50620</v>
      </c>
      <c r="I62" s="274">
        <v>19098</v>
      </c>
      <c r="J62" s="274"/>
      <c r="K62" s="274"/>
      <c r="L62" s="274"/>
      <c r="M62" s="274"/>
      <c r="N62" s="275"/>
    </row>
    <row r="63" spans="1:14" s="263" customFormat="1" ht="12" customHeight="1">
      <c r="A63" s="276">
        <v>813000</v>
      </c>
      <c r="B63" s="272" t="s">
        <v>273</v>
      </c>
      <c r="C63" s="273" t="s">
        <v>6</v>
      </c>
      <c r="D63" s="274"/>
      <c r="E63" s="274">
        <f t="shared" si="0"/>
        <v>2000</v>
      </c>
      <c r="F63" s="274"/>
      <c r="G63" s="274"/>
      <c r="H63" s="274">
        <v>2000</v>
      </c>
      <c r="I63" s="274"/>
      <c r="J63" s="274"/>
      <c r="K63" s="274"/>
      <c r="L63" s="274"/>
      <c r="M63" s="274"/>
      <c r="N63" s="275"/>
    </row>
    <row r="64" spans="1:14" s="263" customFormat="1" ht="12" customHeight="1">
      <c r="A64" s="276"/>
      <c r="B64" s="272"/>
      <c r="C64" s="273" t="s">
        <v>102</v>
      </c>
      <c r="D64" s="274"/>
      <c r="E64" s="274">
        <f t="shared" si="0"/>
        <v>2000</v>
      </c>
      <c r="F64" s="274"/>
      <c r="G64" s="274"/>
      <c r="H64" s="274">
        <v>2000</v>
      </c>
      <c r="I64" s="274"/>
      <c r="J64" s="274"/>
      <c r="K64" s="274"/>
      <c r="L64" s="274"/>
      <c r="M64" s="274"/>
      <c r="N64" s="275"/>
    </row>
    <row r="65" spans="1:14" s="263" customFormat="1" ht="12" customHeight="1">
      <c r="A65" s="283"/>
      <c r="B65" s="284"/>
      <c r="C65" s="285" t="s">
        <v>5</v>
      </c>
      <c r="D65" s="286"/>
      <c r="E65" s="286">
        <f t="shared" si="0"/>
        <v>2000</v>
      </c>
      <c r="F65" s="286"/>
      <c r="G65" s="286"/>
      <c r="H65" s="286">
        <v>2000</v>
      </c>
      <c r="I65" s="286"/>
      <c r="J65" s="286"/>
      <c r="K65" s="286"/>
      <c r="L65" s="286"/>
      <c r="M65" s="286"/>
      <c r="N65" s="287"/>
    </row>
    <row r="66" spans="1:14" s="263" customFormat="1" ht="12" customHeight="1">
      <c r="A66" s="288">
        <v>821900</v>
      </c>
      <c r="B66" s="289" t="s">
        <v>274</v>
      </c>
      <c r="C66" s="290" t="s">
        <v>6</v>
      </c>
      <c r="D66" s="291"/>
      <c r="E66" s="291">
        <f>SUM(F66:N66)</f>
        <v>4250</v>
      </c>
      <c r="F66" s="292"/>
      <c r="G66" s="292"/>
      <c r="H66" s="292">
        <v>4250</v>
      </c>
      <c r="I66" s="292"/>
      <c r="J66" s="292"/>
      <c r="K66" s="292"/>
      <c r="L66" s="292"/>
      <c r="M66" s="292"/>
      <c r="N66" s="293"/>
    </row>
    <row r="67" spans="1:14" s="263" customFormat="1" ht="12" customHeight="1">
      <c r="A67" s="276"/>
      <c r="B67" s="272"/>
      <c r="C67" s="273" t="s">
        <v>102</v>
      </c>
      <c r="D67" s="274"/>
      <c r="E67" s="274">
        <f t="shared" si="0"/>
        <v>4250</v>
      </c>
      <c r="F67" s="281"/>
      <c r="G67" s="281"/>
      <c r="H67" s="281">
        <v>4250</v>
      </c>
      <c r="I67" s="281"/>
      <c r="J67" s="281"/>
      <c r="K67" s="281"/>
      <c r="L67" s="281"/>
      <c r="M67" s="281"/>
      <c r="N67" s="282"/>
    </row>
    <row r="68" spans="1:14" s="263" customFormat="1" ht="12" customHeight="1">
      <c r="A68" s="276"/>
      <c r="B68" s="272"/>
      <c r="C68" s="294" t="s">
        <v>5</v>
      </c>
      <c r="D68" s="274"/>
      <c r="E68" s="274">
        <f t="shared" si="0"/>
        <v>4250</v>
      </c>
      <c r="F68" s="281"/>
      <c r="G68" s="281"/>
      <c r="H68" s="281">
        <v>4250</v>
      </c>
      <c r="I68" s="281"/>
      <c r="J68" s="281"/>
      <c r="K68" s="281"/>
      <c r="L68" s="281"/>
      <c r="M68" s="281"/>
      <c r="N68" s="282"/>
    </row>
    <row r="69" spans="1:14" s="263" customFormat="1" ht="12" customHeight="1">
      <c r="A69" s="276">
        <v>829900</v>
      </c>
      <c r="B69" s="272" t="s">
        <v>275</v>
      </c>
      <c r="C69" s="273" t="s">
        <v>6</v>
      </c>
      <c r="D69" s="274"/>
      <c r="E69" s="274">
        <f>SUM(F69:N69)</f>
        <v>0</v>
      </c>
      <c r="F69" s="281"/>
      <c r="G69" s="281"/>
      <c r="H69" s="281"/>
      <c r="I69" s="281"/>
      <c r="J69" s="281"/>
      <c r="K69" s="281"/>
      <c r="L69" s="281"/>
      <c r="M69" s="281"/>
      <c r="N69" s="282"/>
    </row>
    <row r="70" spans="1:14" s="263" customFormat="1" ht="12" customHeight="1">
      <c r="A70" s="276"/>
      <c r="B70" s="272"/>
      <c r="C70" s="273" t="s">
        <v>102</v>
      </c>
      <c r="D70" s="274"/>
      <c r="E70" s="274">
        <f>SUM(F70:N70)</f>
        <v>0</v>
      </c>
      <c r="F70" s="281"/>
      <c r="G70" s="281"/>
      <c r="H70" s="281"/>
      <c r="I70" s="281"/>
      <c r="J70" s="281"/>
      <c r="K70" s="281"/>
      <c r="L70" s="281"/>
      <c r="M70" s="281"/>
      <c r="N70" s="282"/>
    </row>
    <row r="71" spans="1:14" s="263" customFormat="1" ht="12" customHeight="1">
      <c r="A71" s="276"/>
      <c r="B71" s="272"/>
      <c r="C71" s="273" t="s">
        <v>5</v>
      </c>
      <c r="D71" s="274">
        <v>10678</v>
      </c>
      <c r="E71" s="274">
        <f>SUM(F71:N71)</f>
        <v>10678</v>
      </c>
      <c r="F71" s="281">
        <v>7587</v>
      </c>
      <c r="G71" s="281">
        <v>2391</v>
      </c>
      <c r="H71" s="281">
        <v>700</v>
      </c>
      <c r="I71" s="281"/>
      <c r="J71" s="281"/>
      <c r="K71" s="281"/>
      <c r="L71" s="281"/>
      <c r="M71" s="281"/>
      <c r="N71" s="282"/>
    </row>
    <row r="72" spans="1:14" s="263" customFormat="1" ht="12" customHeight="1">
      <c r="A72" s="276">
        <v>841112</v>
      </c>
      <c r="B72" s="272" t="s">
        <v>276</v>
      </c>
      <c r="C72" s="273" t="s">
        <v>6</v>
      </c>
      <c r="D72" s="274"/>
      <c r="E72" s="274">
        <f t="shared" si="0"/>
        <v>48459</v>
      </c>
      <c r="F72" s="281">
        <v>38188</v>
      </c>
      <c r="G72" s="281">
        <v>10271</v>
      </c>
      <c r="H72" s="281"/>
      <c r="I72" s="281"/>
      <c r="J72" s="281"/>
      <c r="K72" s="281"/>
      <c r="L72" s="281"/>
      <c r="M72" s="281"/>
      <c r="N72" s="282"/>
    </row>
    <row r="73" spans="1:14" s="263" customFormat="1" ht="12" customHeight="1">
      <c r="A73" s="276"/>
      <c r="B73" s="272"/>
      <c r="C73" s="273" t="s">
        <v>102</v>
      </c>
      <c r="D73" s="274"/>
      <c r="E73" s="274">
        <f t="shared" si="0"/>
        <v>48459</v>
      </c>
      <c r="F73" s="281">
        <v>38188</v>
      </c>
      <c r="G73" s="281">
        <v>10271</v>
      </c>
      <c r="H73" s="281"/>
      <c r="I73" s="281"/>
      <c r="J73" s="281"/>
      <c r="K73" s="281"/>
      <c r="L73" s="281"/>
      <c r="M73" s="281"/>
      <c r="N73" s="282"/>
    </row>
    <row r="74" spans="1:14" s="263" customFormat="1" ht="12" customHeight="1">
      <c r="A74" s="276"/>
      <c r="B74" s="272"/>
      <c r="C74" s="273" t="s">
        <v>5</v>
      </c>
      <c r="D74" s="274"/>
      <c r="E74" s="274">
        <f t="shared" si="0"/>
        <v>48459</v>
      </c>
      <c r="F74" s="281">
        <v>38188</v>
      </c>
      <c r="G74" s="281">
        <v>10271</v>
      </c>
      <c r="H74" s="281"/>
      <c r="I74" s="281"/>
      <c r="J74" s="281"/>
      <c r="K74" s="281"/>
      <c r="L74" s="281"/>
      <c r="M74" s="281"/>
      <c r="N74" s="282"/>
    </row>
    <row r="75" spans="1:14" s="263" customFormat="1" ht="12" customHeight="1">
      <c r="A75" s="276">
        <v>841116</v>
      </c>
      <c r="B75" s="272" t="s">
        <v>277</v>
      </c>
      <c r="C75" s="273" t="s">
        <v>6</v>
      </c>
      <c r="D75" s="274">
        <v>3</v>
      </c>
      <c r="E75" s="274">
        <f>SUM(F75:N75)</f>
        <v>3</v>
      </c>
      <c r="F75" s="281"/>
      <c r="G75" s="281"/>
      <c r="H75" s="281">
        <v>3</v>
      </c>
      <c r="I75" s="281"/>
      <c r="J75" s="281"/>
      <c r="K75" s="281"/>
      <c r="L75" s="281"/>
      <c r="M75" s="281"/>
      <c r="N75" s="282"/>
    </row>
    <row r="76" spans="1:14" s="263" customFormat="1" ht="12" customHeight="1">
      <c r="A76" s="276"/>
      <c r="B76" s="272"/>
      <c r="C76" s="273" t="s">
        <v>102</v>
      </c>
      <c r="D76" s="274">
        <v>3</v>
      </c>
      <c r="E76" s="274">
        <f>SUM(F76:N76)</f>
        <v>3</v>
      </c>
      <c r="F76" s="281"/>
      <c r="G76" s="281"/>
      <c r="H76" s="281">
        <v>3</v>
      </c>
      <c r="I76" s="281"/>
      <c r="J76" s="281"/>
      <c r="K76" s="281"/>
      <c r="L76" s="281"/>
      <c r="M76" s="281"/>
      <c r="N76" s="282"/>
    </row>
    <row r="77" spans="1:14" s="263" customFormat="1" ht="12" customHeight="1">
      <c r="A77" s="276"/>
      <c r="B77" s="272"/>
      <c r="C77" s="273" t="s">
        <v>5</v>
      </c>
      <c r="D77" s="274">
        <v>3</v>
      </c>
      <c r="E77" s="274">
        <f>SUM(F77:N77)</f>
        <v>3</v>
      </c>
      <c r="F77" s="281"/>
      <c r="G77" s="281"/>
      <c r="H77" s="281">
        <v>3</v>
      </c>
      <c r="I77" s="281"/>
      <c r="J77" s="281"/>
      <c r="K77" s="281"/>
      <c r="L77" s="281"/>
      <c r="M77" s="281"/>
      <c r="N77" s="282"/>
    </row>
    <row r="78" spans="1:14" s="263" customFormat="1" ht="12" customHeight="1">
      <c r="A78" s="276">
        <v>841126</v>
      </c>
      <c r="B78" s="272" t="s">
        <v>278</v>
      </c>
      <c r="C78" s="273" t="s">
        <v>6</v>
      </c>
      <c r="D78" s="274">
        <v>87215</v>
      </c>
      <c r="E78" s="274">
        <f t="shared" si="0"/>
        <v>1080392</v>
      </c>
      <c r="F78" s="281">
        <v>231678</v>
      </c>
      <c r="G78" s="281">
        <v>75612</v>
      </c>
      <c r="H78" s="281">
        <v>221450</v>
      </c>
      <c r="I78" s="281">
        <v>28750</v>
      </c>
      <c r="J78" s="281"/>
      <c r="K78" s="281"/>
      <c r="L78" s="281">
        <v>24431</v>
      </c>
      <c r="M78" s="281"/>
      <c r="N78" s="282">
        <v>498471</v>
      </c>
    </row>
    <row r="79" spans="1:14" s="263" customFormat="1" ht="12" customHeight="1">
      <c r="A79" s="276"/>
      <c r="B79" s="272"/>
      <c r="C79" s="273" t="s">
        <v>102</v>
      </c>
      <c r="D79" s="274">
        <v>88795</v>
      </c>
      <c r="E79" s="274">
        <f t="shared" si="0"/>
        <v>1170107</v>
      </c>
      <c r="F79" s="281">
        <v>233656</v>
      </c>
      <c r="G79" s="281">
        <v>76145</v>
      </c>
      <c r="H79" s="281">
        <v>221450</v>
      </c>
      <c r="I79" s="281">
        <v>28750</v>
      </c>
      <c r="J79" s="281"/>
      <c r="K79" s="281"/>
      <c r="L79" s="281">
        <v>27466</v>
      </c>
      <c r="M79" s="281"/>
      <c r="N79" s="282">
        <v>582640</v>
      </c>
    </row>
    <row r="80" spans="1:14" s="263" customFormat="1" ht="12" customHeight="1">
      <c r="A80" s="276"/>
      <c r="B80" s="272"/>
      <c r="C80" s="273" t="s">
        <v>5</v>
      </c>
      <c r="D80" s="274">
        <v>92507</v>
      </c>
      <c r="E80" s="274">
        <f t="shared" si="0"/>
        <v>793105</v>
      </c>
      <c r="F80" s="281">
        <v>236980</v>
      </c>
      <c r="G80" s="281">
        <v>76947</v>
      </c>
      <c r="H80" s="281">
        <v>225389</v>
      </c>
      <c r="I80" s="281">
        <v>29283</v>
      </c>
      <c r="J80" s="281"/>
      <c r="K80" s="281"/>
      <c r="L80" s="281">
        <v>32685</v>
      </c>
      <c r="M80" s="281"/>
      <c r="N80" s="282">
        <f>181821+5200+4800</f>
        <v>191821</v>
      </c>
    </row>
    <row r="81" spans="1:14" s="263" customFormat="1" ht="12" customHeight="1">
      <c r="A81" s="276">
        <v>841126</v>
      </c>
      <c r="B81" s="272" t="s">
        <v>279</v>
      </c>
      <c r="C81" s="273" t="s">
        <v>6</v>
      </c>
      <c r="D81" s="274">
        <v>601932</v>
      </c>
      <c r="E81" s="274">
        <f t="shared" si="0"/>
        <v>0</v>
      </c>
      <c r="F81" s="281"/>
      <c r="G81" s="281"/>
      <c r="H81" s="281"/>
      <c r="I81" s="281"/>
      <c r="J81" s="281"/>
      <c r="K81" s="281"/>
      <c r="L81" s="281"/>
      <c r="M81" s="281"/>
      <c r="N81" s="282"/>
    </row>
    <row r="82" spans="1:14" s="263" customFormat="1" ht="12" customHeight="1">
      <c r="A82" s="276"/>
      <c r="B82" s="272"/>
      <c r="C82" s="273" t="s">
        <v>102</v>
      </c>
      <c r="D82" s="274">
        <v>842333</v>
      </c>
      <c r="E82" s="274">
        <f t="shared" si="0"/>
        <v>0</v>
      </c>
      <c r="F82" s="281"/>
      <c r="G82" s="281"/>
      <c r="H82" s="281"/>
      <c r="I82" s="281"/>
      <c r="J82" s="281"/>
      <c r="K82" s="281"/>
      <c r="L82" s="281"/>
      <c r="M82" s="281"/>
      <c r="N82" s="282"/>
    </row>
    <row r="83" spans="1:14" s="263" customFormat="1" ht="12" customHeight="1">
      <c r="A83" s="276"/>
      <c r="B83" s="272"/>
      <c r="C83" s="273" t="s">
        <v>5</v>
      </c>
      <c r="D83" s="274">
        <v>842333</v>
      </c>
      <c r="E83" s="274">
        <f t="shared" si="0"/>
        <v>0</v>
      </c>
      <c r="F83" s="281"/>
      <c r="G83" s="281"/>
      <c r="H83" s="281"/>
      <c r="I83" s="281"/>
      <c r="J83" s="281"/>
      <c r="K83" s="281"/>
      <c r="L83" s="281"/>
      <c r="M83" s="281"/>
      <c r="N83" s="282"/>
    </row>
    <row r="84" spans="1:14" s="263" customFormat="1" ht="12" customHeight="1">
      <c r="A84" s="276">
        <v>841133</v>
      </c>
      <c r="B84" s="272" t="s">
        <v>280</v>
      </c>
      <c r="C84" s="273" t="s">
        <v>6</v>
      </c>
      <c r="D84" s="274">
        <v>1452675</v>
      </c>
      <c r="E84" s="274">
        <f t="shared" si="0"/>
        <v>54842</v>
      </c>
      <c r="F84" s="281">
        <v>43764</v>
      </c>
      <c r="G84" s="281">
        <v>11078</v>
      </c>
      <c r="H84" s="281"/>
      <c r="I84" s="281"/>
      <c r="J84" s="281"/>
      <c r="K84" s="281"/>
      <c r="L84" s="281"/>
      <c r="M84" s="281"/>
      <c r="N84" s="282"/>
    </row>
    <row r="85" spans="1:14" s="263" customFormat="1" ht="12" customHeight="1">
      <c r="A85" s="276"/>
      <c r="B85" s="272"/>
      <c r="C85" s="273" t="s">
        <v>102</v>
      </c>
      <c r="D85" s="274">
        <v>1452675</v>
      </c>
      <c r="E85" s="274">
        <f t="shared" si="0"/>
        <v>54842</v>
      </c>
      <c r="F85" s="281">
        <v>43764</v>
      </c>
      <c r="G85" s="281">
        <v>11078</v>
      </c>
      <c r="H85" s="281"/>
      <c r="I85" s="281"/>
      <c r="J85" s="281"/>
      <c r="K85" s="281"/>
      <c r="L85" s="281"/>
      <c r="M85" s="281"/>
      <c r="N85" s="282"/>
    </row>
    <row r="86" spans="1:14" s="263" customFormat="1" ht="12" customHeight="1">
      <c r="A86" s="276"/>
      <c r="B86" s="272"/>
      <c r="C86" s="273" t="s">
        <v>5</v>
      </c>
      <c r="D86" s="274">
        <v>1452675</v>
      </c>
      <c r="E86" s="274">
        <f t="shared" si="0"/>
        <v>54842</v>
      </c>
      <c r="F86" s="281">
        <v>43764</v>
      </c>
      <c r="G86" s="281">
        <v>11078</v>
      </c>
      <c r="H86" s="281"/>
      <c r="I86" s="281"/>
      <c r="J86" s="281"/>
      <c r="K86" s="281"/>
      <c r="L86" s="281"/>
      <c r="M86" s="281"/>
      <c r="N86" s="282"/>
    </row>
    <row r="87" spans="1:14" s="263" customFormat="1" ht="12" customHeight="1">
      <c r="A87" s="276">
        <v>841191</v>
      </c>
      <c r="B87" s="272" t="s">
        <v>281</v>
      </c>
      <c r="C87" s="273" t="s">
        <v>6</v>
      </c>
      <c r="D87" s="274"/>
      <c r="E87" s="274">
        <f t="shared" si="0"/>
        <v>0</v>
      </c>
      <c r="F87" s="281"/>
      <c r="G87" s="281"/>
      <c r="H87" s="281"/>
      <c r="I87" s="281"/>
      <c r="J87" s="281"/>
      <c r="K87" s="281"/>
      <c r="L87" s="281"/>
      <c r="M87" s="281"/>
      <c r="N87" s="282"/>
    </row>
    <row r="88" spans="1:14" s="263" customFormat="1" ht="12" customHeight="1">
      <c r="A88" s="276"/>
      <c r="B88" s="272"/>
      <c r="C88" s="273" t="s">
        <v>102</v>
      </c>
      <c r="D88" s="274"/>
      <c r="E88" s="274">
        <f t="shared" si="0"/>
        <v>336</v>
      </c>
      <c r="F88" s="281"/>
      <c r="G88" s="281"/>
      <c r="H88" s="281">
        <v>336</v>
      </c>
      <c r="I88" s="281"/>
      <c r="J88" s="281"/>
      <c r="K88" s="281"/>
      <c r="L88" s="281"/>
      <c r="M88" s="281"/>
      <c r="N88" s="282"/>
    </row>
    <row r="89" spans="1:14" s="263" customFormat="1" ht="12" customHeight="1">
      <c r="A89" s="276"/>
      <c r="B89" s="272"/>
      <c r="C89" s="273" t="s">
        <v>5</v>
      </c>
      <c r="D89" s="274"/>
      <c r="E89" s="274">
        <f t="shared" si="0"/>
        <v>336</v>
      </c>
      <c r="F89" s="281"/>
      <c r="G89" s="281"/>
      <c r="H89" s="281">
        <v>336</v>
      </c>
      <c r="I89" s="281"/>
      <c r="J89" s="281"/>
      <c r="K89" s="281"/>
      <c r="L89" s="281"/>
      <c r="M89" s="281"/>
      <c r="N89" s="282"/>
    </row>
    <row r="90" spans="1:14" s="263" customFormat="1" ht="12" customHeight="1">
      <c r="A90" s="276">
        <v>841192</v>
      </c>
      <c r="B90" s="272" t="s">
        <v>282</v>
      </c>
      <c r="C90" s="273" t="s">
        <v>6</v>
      </c>
      <c r="D90" s="274">
        <v>1500</v>
      </c>
      <c r="E90" s="274">
        <f t="shared" si="0"/>
        <v>2000</v>
      </c>
      <c r="F90" s="281"/>
      <c r="G90" s="281"/>
      <c r="H90" s="281">
        <v>2000</v>
      </c>
      <c r="I90" s="281"/>
      <c r="J90" s="281"/>
      <c r="K90" s="281"/>
      <c r="L90" s="281"/>
      <c r="M90" s="295"/>
      <c r="N90" s="282"/>
    </row>
    <row r="91" spans="1:14" s="296" customFormat="1" ht="12" customHeight="1">
      <c r="A91" s="276"/>
      <c r="B91" s="272"/>
      <c r="C91" s="273" t="s">
        <v>102</v>
      </c>
      <c r="D91" s="274">
        <v>1500</v>
      </c>
      <c r="E91" s="274">
        <f t="shared" si="0"/>
        <v>2000</v>
      </c>
      <c r="F91" s="281"/>
      <c r="G91" s="281"/>
      <c r="H91" s="281">
        <v>2000</v>
      </c>
      <c r="I91" s="281"/>
      <c r="J91" s="281"/>
      <c r="K91" s="281"/>
      <c r="L91" s="281"/>
      <c r="M91" s="295"/>
      <c r="N91" s="282"/>
    </row>
    <row r="92" spans="1:14" s="296" customFormat="1" ht="12" customHeight="1">
      <c r="A92" s="276"/>
      <c r="B92" s="272"/>
      <c r="C92" s="273" t="s">
        <v>5</v>
      </c>
      <c r="D92" s="274">
        <v>1500</v>
      </c>
      <c r="E92" s="274">
        <f t="shared" si="0"/>
        <v>2021</v>
      </c>
      <c r="F92" s="281"/>
      <c r="G92" s="281"/>
      <c r="H92" s="281">
        <v>2021</v>
      </c>
      <c r="I92" s="281"/>
      <c r="J92" s="281"/>
      <c r="K92" s="281"/>
      <c r="L92" s="281"/>
      <c r="M92" s="295"/>
      <c r="N92" s="282"/>
    </row>
    <row r="93" spans="1:14" s="263" customFormat="1" ht="12" customHeight="1">
      <c r="A93" s="276">
        <v>841192</v>
      </c>
      <c r="B93" s="272" t="s">
        <v>283</v>
      </c>
      <c r="C93" s="273" t="s">
        <v>6</v>
      </c>
      <c r="D93" s="274"/>
      <c r="E93" s="274">
        <f t="shared" si="0"/>
        <v>5080</v>
      </c>
      <c r="F93" s="281">
        <v>4000</v>
      </c>
      <c r="G93" s="281">
        <v>1080</v>
      </c>
      <c r="H93" s="281"/>
      <c r="I93" s="281"/>
      <c r="J93" s="281"/>
      <c r="K93" s="281"/>
      <c r="L93" s="281"/>
      <c r="M93" s="295"/>
      <c r="N93" s="282"/>
    </row>
    <row r="94" spans="1:14" s="263" customFormat="1" ht="12" customHeight="1">
      <c r="A94" s="276"/>
      <c r="B94" s="272"/>
      <c r="C94" s="273" t="s">
        <v>102</v>
      </c>
      <c r="D94" s="274"/>
      <c r="E94" s="274">
        <f t="shared" si="0"/>
        <v>5080</v>
      </c>
      <c r="F94" s="281">
        <v>4000</v>
      </c>
      <c r="G94" s="281">
        <v>1080</v>
      </c>
      <c r="H94" s="281"/>
      <c r="I94" s="281"/>
      <c r="J94" s="281"/>
      <c r="K94" s="281"/>
      <c r="L94" s="281"/>
      <c r="M94" s="295"/>
      <c r="N94" s="282"/>
    </row>
    <row r="95" spans="1:14" s="263" customFormat="1" ht="12" customHeight="1">
      <c r="A95" s="276"/>
      <c r="B95" s="272"/>
      <c r="C95" s="273" t="s">
        <v>5</v>
      </c>
      <c r="D95" s="274"/>
      <c r="E95" s="274">
        <f t="shared" si="0"/>
        <v>5080</v>
      </c>
      <c r="F95" s="281">
        <v>4000</v>
      </c>
      <c r="G95" s="281">
        <v>1080</v>
      </c>
      <c r="H95" s="281"/>
      <c r="I95" s="281"/>
      <c r="J95" s="281"/>
      <c r="K95" s="281"/>
      <c r="L95" s="281"/>
      <c r="M95" s="295"/>
      <c r="N95" s="282"/>
    </row>
    <row r="96" spans="1:14" s="263" customFormat="1" ht="12" customHeight="1">
      <c r="A96" s="276">
        <v>841192</v>
      </c>
      <c r="B96" s="272" t="s">
        <v>284</v>
      </c>
      <c r="C96" s="273" t="s">
        <v>6</v>
      </c>
      <c r="D96" s="274">
        <v>1000</v>
      </c>
      <c r="E96" s="274">
        <f t="shared" si="0"/>
        <v>0</v>
      </c>
      <c r="F96" s="281"/>
      <c r="G96" s="281"/>
      <c r="H96" s="281"/>
      <c r="I96" s="281"/>
      <c r="J96" s="281"/>
      <c r="K96" s="281"/>
      <c r="L96" s="281"/>
      <c r="M96" s="281"/>
      <c r="N96" s="282"/>
    </row>
    <row r="97" spans="1:14" s="263" customFormat="1" ht="12" customHeight="1">
      <c r="A97" s="276"/>
      <c r="B97" s="272"/>
      <c r="C97" s="273" t="s">
        <v>102</v>
      </c>
      <c r="D97" s="274">
        <v>1000</v>
      </c>
      <c r="E97" s="274">
        <f t="shared" si="0"/>
        <v>0</v>
      </c>
      <c r="F97" s="281"/>
      <c r="G97" s="281"/>
      <c r="H97" s="281"/>
      <c r="I97" s="281"/>
      <c r="J97" s="281"/>
      <c r="K97" s="281"/>
      <c r="L97" s="281"/>
      <c r="M97" s="281"/>
      <c r="N97" s="282"/>
    </row>
    <row r="98" spans="1:14" s="263" customFormat="1" ht="12" customHeight="1">
      <c r="A98" s="276"/>
      <c r="B98" s="272"/>
      <c r="C98" s="273" t="s">
        <v>5</v>
      </c>
      <c r="D98" s="274">
        <v>1000</v>
      </c>
      <c r="E98" s="274">
        <f t="shared" si="0"/>
        <v>0</v>
      </c>
      <c r="F98" s="281"/>
      <c r="G98" s="281"/>
      <c r="H98" s="281"/>
      <c r="I98" s="281"/>
      <c r="J98" s="281"/>
      <c r="K98" s="281"/>
      <c r="L98" s="281"/>
      <c r="M98" s="281"/>
      <c r="N98" s="282"/>
    </row>
    <row r="99" spans="1:14" s="263" customFormat="1" ht="12" customHeight="1">
      <c r="A99" s="276">
        <v>841401</v>
      </c>
      <c r="B99" s="272" t="s">
        <v>285</v>
      </c>
      <c r="C99" s="273" t="s">
        <v>6</v>
      </c>
      <c r="D99" s="274"/>
      <c r="E99" s="274">
        <f t="shared" si="0"/>
        <v>11375</v>
      </c>
      <c r="F99" s="274"/>
      <c r="G99" s="274"/>
      <c r="H99" s="274">
        <v>11375</v>
      </c>
      <c r="I99" s="274"/>
      <c r="J99" s="274"/>
      <c r="K99" s="274"/>
      <c r="L99" s="274"/>
      <c r="M99" s="274"/>
      <c r="N99" s="275"/>
    </row>
    <row r="100" spans="1:14" s="263" customFormat="1" ht="12" customHeight="1">
      <c r="A100" s="276"/>
      <c r="B100" s="272"/>
      <c r="C100" s="273" t="s">
        <v>102</v>
      </c>
      <c r="D100" s="274"/>
      <c r="E100" s="274">
        <f t="shared" si="0"/>
        <v>11375</v>
      </c>
      <c r="F100" s="274"/>
      <c r="G100" s="274"/>
      <c r="H100" s="274">
        <v>11375</v>
      </c>
      <c r="I100" s="274"/>
      <c r="J100" s="274"/>
      <c r="K100" s="274"/>
      <c r="L100" s="274"/>
      <c r="M100" s="274"/>
      <c r="N100" s="275"/>
    </row>
    <row r="101" spans="1:14" s="263" customFormat="1" ht="12" customHeight="1">
      <c r="A101" s="276"/>
      <c r="B101" s="272"/>
      <c r="C101" s="273" t="s">
        <v>5</v>
      </c>
      <c r="D101" s="274"/>
      <c r="E101" s="274">
        <f t="shared" si="0"/>
        <v>11375</v>
      </c>
      <c r="F101" s="274"/>
      <c r="G101" s="274"/>
      <c r="H101" s="274">
        <v>11375</v>
      </c>
      <c r="I101" s="274"/>
      <c r="J101" s="274"/>
      <c r="K101" s="274"/>
      <c r="L101" s="274"/>
      <c r="M101" s="274"/>
      <c r="N101" s="275"/>
    </row>
    <row r="102" spans="1:14" s="263" customFormat="1" ht="12" customHeight="1">
      <c r="A102" s="276">
        <v>841402</v>
      </c>
      <c r="B102" s="272" t="s">
        <v>286</v>
      </c>
      <c r="C102" s="273" t="s">
        <v>6</v>
      </c>
      <c r="D102" s="274"/>
      <c r="E102" s="274">
        <f t="shared" si="0"/>
        <v>46395</v>
      </c>
      <c r="F102" s="274"/>
      <c r="G102" s="274"/>
      <c r="H102" s="274">
        <v>46395</v>
      </c>
      <c r="I102" s="274"/>
      <c r="J102" s="274"/>
      <c r="K102" s="274"/>
      <c r="L102" s="274"/>
      <c r="M102" s="274"/>
      <c r="N102" s="275"/>
    </row>
    <row r="103" spans="1:14" s="263" customFormat="1" ht="12" customHeight="1">
      <c r="A103" s="276"/>
      <c r="B103" s="272"/>
      <c r="C103" s="273" t="s">
        <v>102</v>
      </c>
      <c r="D103" s="274"/>
      <c r="E103" s="274">
        <f t="shared" si="0"/>
        <v>46395</v>
      </c>
      <c r="F103" s="274"/>
      <c r="G103" s="274"/>
      <c r="H103" s="274">
        <v>46395</v>
      </c>
      <c r="I103" s="274"/>
      <c r="J103" s="274"/>
      <c r="K103" s="274"/>
      <c r="L103" s="274"/>
      <c r="M103" s="274"/>
      <c r="N103" s="275"/>
    </row>
    <row r="104" spans="1:14" s="263" customFormat="1" ht="12" customHeight="1">
      <c r="A104" s="276"/>
      <c r="B104" s="272"/>
      <c r="C104" s="273" t="s">
        <v>5</v>
      </c>
      <c r="D104" s="274"/>
      <c r="E104" s="274">
        <f t="shared" si="0"/>
        <v>46725</v>
      </c>
      <c r="F104" s="274"/>
      <c r="G104" s="274"/>
      <c r="H104" s="274">
        <v>45182</v>
      </c>
      <c r="I104" s="274"/>
      <c r="J104" s="274"/>
      <c r="K104" s="274"/>
      <c r="L104" s="274">
        <v>1543</v>
      </c>
      <c r="M104" s="274"/>
      <c r="N104" s="275"/>
    </row>
    <row r="105" spans="1:14" s="263" customFormat="1" ht="11.25" customHeight="1">
      <c r="A105" s="276">
        <v>841403</v>
      </c>
      <c r="B105" s="272" t="s">
        <v>287</v>
      </c>
      <c r="C105" s="273" t="s">
        <v>6</v>
      </c>
      <c r="D105" s="274">
        <v>17535</v>
      </c>
      <c r="E105" s="274">
        <f aca="true" t="shared" si="1" ref="E105:E188">SUM(F105:N105)</f>
        <v>181216</v>
      </c>
      <c r="F105" s="274">
        <v>79928</v>
      </c>
      <c r="G105" s="274">
        <v>19994</v>
      </c>
      <c r="H105" s="274">
        <v>6567</v>
      </c>
      <c r="I105" s="274">
        <v>69727</v>
      </c>
      <c r="J105" s="274"/>
      <c r="K105" s="274"/>
      <c r="L105" s="274"/>
      <c r="M105" s="274">
        <v>5000</v>
      </c>
      <c r="N105" s="275"/>
    </row>
    <row r="106" spans="1:14" s="263" customFormat="1" ht="11.25" customHeight="1">
      <c r="A106" s="276"/>
      <c r="B106" s="272"/>
      <c r="C106" s="273" t="s">
        <v>102</v>
      </c>
      <c r="D106" s="274">
        <v>17535</v>
      </c>
      <c r="E106" s="274">
        <f t="shared" si="1"/>
        <v>181216</v>
      </c>
      <c r="F106" s="274">
        <v>79928</v>
      </c>
      <c r="G106" s="274">
        <v>19994</v>
      </c>
      <c r="H106" s="274">
        <v>6567</v>
      </c>
      <c r="I106" s="274">
        <v>69727</v>
      </c>
      <c r="J106" s="274"/>
      <c r="K106" s="274"/>
      <c r="L106" s="274"/>
      <c r="M106" s="274">
        <v>5000</v>
      </c>
      <c r="N106" s="275"/>
    </row>
    <row r="107" spans="1:14" s="263" customFormat="1" ht="11.25" customHeight="1">
      <c r="A107" s="276"/>
      <c r="B107" s="272"/>
      <c r="C107" s="273" t="s">
        <v>5</v>
      </c>
      <c r="D107" s="274">
        <v>17535</v>
      </c>
      <c r="E107" s="274">
        <f t="shared" si="1"/>
        <v>181272</v>
      </c>
      <c r="F107" s="274">
        <v>79928</v>
      </c>
      <c r="G107" s="274">
        <v>19994</v>
      </c>
      <c r="H107" s="274">
        <v>6567</v>
      </c>
      <c r="I107" s="274">
        <v>41058</v>
      </c>
      <c r="J107" s="274"/>
      <c r="K107" s="274"/>
      <c r="L107" s="274">
        <v>28725</v>
      </c>
      <c r="M107" s="274">
        <v>5000</v>
      </c>
      <c r="N107" s="275"/>
    </row>
    <row r="108" spans="1:14" s="263" customFormat="1" ht="12" customHeight="1">
      <c r="A108" s="276">
        <v>841403</v>
      </c>
      <c r="B108" s="272" t="s">
        <v>288</v>
      </c>
      <c r="C108" s="273" t="s">
        <v>6</v>
      </c>
      <c r="D108" s="274">
        <v>5400</v>
      </c>
      <c r="E108" s="274">
        <f t="shared" si="1"/>
        <v>121463</v>
      </c>
      <c r="F108" s="274">
        <v>80</v>
      </c>
      <c r="G108" s="274">
        <v>25</v>
      </c>
      <c r="H108" s="274">
        <v>18035</v>
      </c>
      <c r="I108" s="274">
        <v>77323</v>
      </c>
      <c r="J108" s="274"/>
      <c r="K108" s="274">
        <v>5000</v>
      </c>
      <c r="L108" s="274"/>
      <c r="M108" s="274">
        <v>21000</v>
      </c>
      <c r="N108" s="275"/>
    </row>
    <row r="109" spans="1:14" s="263" customFormat="1" ht="12" customHeight="1">
      <c r="A109" s="276"/>
      <c r="B109" s="272"/>
      <c r="C109" s="273" t="s">
        <v>102</v>
      </c>
      <c r="D109" s="274">
        <v>5400</v>
      </c>
      <c r="E109" s="274">
        <f t="shared" si="1"/>
        <v>121463</v>
      </c>
      <c r="F109" s="274">
        <v>80</v>
      </c>
      <c r="G109" s="274">
        <v>25</v>
      </c>
      <c r="H109" s="274">
        <v>18035</v>
      </c>
      <c r="I109" s="274">
        <v>77323</v>
      </c>
      <c r="J109" s="274"/>
      <c r="K109" s="274">
        <v>5000</v>
      </c>
      <c r="L109" s="274"/>
      <c r="M109" s="274">
        <v>21000</v>
      </c>
      <c r="N109" s="275"/>
    </row>
    <row r="110" spans="1:14" s="263" customFormat="1" ht="12" customHeight="1">
      <c r="A110" s="276"/>
      <c r="B110" s="272"/>
      <c r="C110" s="273" t="s">
        <v>5</v>
      </c>
      <c r="D110" s="274">
        <v>20400</v>
      </c>
      <c r="E110" s="274">
        <f t="shared" si="1"/>
        <v>224399</v>
      </c>
      <c r="F110" s="274">
        <v>247</v>
      </c>
      <c r="G110" s="274">
        <v>58</v>
      </c>
      <c r="H110" s="274">
        <v>43016</v>
      </c>
      <c r="I110" s="274">
        <v>97003</v>
      </c>
      <c r="J110" s="274"/>
      <c r="K110" s="274">
        <v>5000</v>
      </c>
      <c r="L110" s="274">
        <v>5075</v>
      </c>
      <c r="M110" s="274">
        <v>74000</v>
      </c>
      <c r="N110" s="275"/>
    </row>
    <row r="111" spans="1:15" s="263" customFormat="1" ht="12" customHeight="1">
      <c r="A111" s="276">
        <v>841403</v>
      </c>
      <c r="B111" s="272" t="s">
        <v>289</v>
      </c>
      <c r="C111" s="273" t="s">
        <v>6</v>
      </c>
      <c r="D111" s="274">
        <v>1600</v>
      </c>
      <c r="E111" s="274">
        <f t="shared" si="1"/>
        <v>34963</v>
      </c>
      <c r="F111" s="281">
        <v>1000</v>
      </c>
      <c r="G111" s="281">
        <v>300</v>
      </c>
      <c r="H111" s="281">
        <v>18163</v>
      </c>
      <c r="I111" s="281">
        <v>13000</v>
      </c>
      <c r="J111" s="281"/>
      <c r="K111" s="281"/>
      <c r="L111" s="281">
        <v>2500</v>
      </c>
      <c r="M111" s="281"/>
      <c r="N111" s="282"/>
      <c r="O111" s="297"/>
    </row>
    <row r="112" spans="1:15" s="263" customFormat="1" ht="12" customHeight="1">
      <c r="A112" s="276"/>
      <c r="B112" s="272"/>
      <c r="C112" s="273" t="s">
        <v>102</v>
      </c>
      <c r="D112" s="274">
        <v>1600</v>
      </c>
      <c r="E112" s="274">
        <f t="shared" si="1"/>
        <v>34963</v>
      </c>
      <c r="F112" s="281">
        <v>1000</v>
      </c>
      <c r="G112" s="281">
        <v>300</v>
      </c>
      <c r="H112" s="281">
        <v>18163</v>
      </c>
      <c r="I112" s="281">
        <v>13000</v>
      </c>
      <c r="J112" s="281"/>
      <c r="K112" s="281"/>
      <c r="L112" s="281">
        <v>2500</v>
      </c>
      <c r="M112" s="281"/>
      <c r="N112" s="282"/>
      <c r="O112" s="297"/>
    </row>
    <row r="113" spans="1:15" s="263" customFormat="1" ht="12" customHeight="1">
      <c r="A113" s="276"/>
      <c r="B113" s="272"/>
      <c r="C113" s="273" t="s">
        <v>5</v>
      </c>
      <c r="D113" s="274">
        <v>1600</v>
      </c>
      <c r="E113" s="274">
        <f t="shared" si="1"/>
        <v>25313</v>
      </c>
      <c r="F113" s="281">
        <v>1270</v>
      </c>
      <c r="G113" s="281">
        <v>380</v>
      </c>
      <c r="H113" s="281">
        <v>19163</v>
      </c>
      <c r="I113" s="281">
        <v>3000</v>
      </c>
      <c r="J113" s="281"/>
      <c r="K113" s="281"/>
      <c r="L113" s="281">
        <v>1500</v>
      </c>
      <c r="M113" s="281"/>
      <c r="N113" s="282"/>
      <c r="O113" s="297"/>
    </row>
    <row r="114" spans="1:15" s="263" customFormat="1" ht="12" customHeight="1">
      <c r="A114" s="276">
        <v>841901</v>
      </c>
      <c r="B114" s="272" t="s">
        <v>290</v>
      </c>
      <c r="C114" s="273" t="s">
        <v>6</v>
      </c>
      <c r="D114" s="274">
        <v>1284228</v>
      </c>
      <c r="E114" s="274">
        <f t="shared" si="1"/>
        <v>0</v>
      </c>
      <c r="F114" s="281"/>
      <c r="G114" s="281"/>
      <c r="H114" s="281"/>
      <c r="I114" s="281"/>
      <c r="J114" s="281"/>
      <c r="K114" s="281"/>
      <c r="L114" s="281"/>
      <c r="M114" s="295"/>
      <c r="N114" s="282"/>
      <c r="O114" s="297"/>
    </row>
    <row r="115" spans="1:15" s="263" customFormat="1" ht="12" customHeight="1">
      <c r="A115" s="276"/>
      <c r="B115" s="272"/>
      <c r="C115" s="273" t="s">
        <v>102</v>
      </c>
      <c r="D115" s="274">
        <v>1290942</v>
      </c>
      <c r="E115" s="274">
        <f t="shared" si="1"/>
        <v>0</v>
      </c>
      <c r="F115" s="281"/>
      <c r="G115" s="281"/>
      <c r="H115" s="281"/>
      <c r="I115" s="281"/>
      <c r="J115" s="281"/>
      <c r="K115" s="281"/>
      <c r="L115" s="281"/>
      <c r="M115" s="295"/>
      <c r="N115" s="282"/>
      <c r="O115" s="297"/>
    </row>
    <row r="116" spans="1:15" s="263" customFormat="1" ht="12" customHeight="1">
      <c r="A116" s="276"/>
      <c r="B116" s="272"/>
      <c r="C116" s="273" t="s">
        <v>5</v>
      </c>
      <c r="D116" s="274">
        <v>1295279</v>
      </c>
      <c r="E116" s="274">
        <f t="shared" si="1"/>
        <v>0</v>
      </c>
      <c r="F116" s="281"/>
      <c r="G116" s="281"/>
      <c r="H116" s="281"/>
      <c r="I116" s="281"/>
      <c r="J116" s="281"/>
      <c r="K116" s="281"/>
      <c r="L116" s="281"/>
      <c r="M116" s="295"/>
      <c r="N116" s="282"/>
      <c r="O116" s="297"/>
    </row>
    <row r="117" spans="1:15" s="263" customFormat="1" ht="12" customHeight="1">
      <c r="A117" s="276">
        <v>841901</v>
      </c>
      <c r="B117" s="272" t="s">
        <v>291</v>
      </c>
      <c r="C117" s="273" t="s">
        <v>6</v>
      </c>
      <c r="D117" s="274"/>
      <c r="E117" s="274">
        <f t="shared" si="1"/>
        <v>0</v>
      </c>
      <c r="F117" s="281"/>
      <c r="G117" s="281"/>
      <c r="H117" s="281"/>
      <c r="I117" s="281"/>
      <c r="J117" s="281"/>
      <c r="K117" s="281"/>
      <c r="L117" s="281"/>
      <c r="M117" s="281"/>
      <c r="N117" s="282"/>
      <c r="O117" s="297"/>
    </row>
    <row r="118" spans="1:15" s="263" customFormat="1" ht="12" customHeight="1">
      <c r="A118" s="276"/>
      <c r="B118" s="272"/>
      <c r="C118" s="273" t="s">
        <v>102</v>
      </c>
      <c r="D118" s="274"/>
      <c r="E118" s="274">
        <f t="shared" si="1"/>
        <v>0</v>
      </c>
      <c r="F118" s="281"/>
      <c r="G118" s="281"/>
      <c r="H118" s="281"/>
      <c r="I118" s="281"/>
      <c r="J118" s="281"/>
      <c r="K118" s="281"/>
      <c r="L118" s="281"/>
      <c r="M118" s="281"/>
      <c r="N118" s="282"/>
      <c r="O118" s="297"/>
    </row>
    <row r="119" spans="1:15" s="263" customFormat="1" ht="12" customHeight="1">
      <c r="A119" s="276"/>
      <c r="B119" s="272"/>
      <c r="C119" s="273" t="s">
        <v>5</v>
      </c>
      <c r="D119" s="274"/>
      <c r="E119" s="274">
        <f t="shared" si="1"/>
        <v>0</v>
      </c>
      <c r="F119" s="281"/>
      <c r="G119" s="281"/>
      <c r="H119" s="281"/>
      <c r="I119" s="281"/>
      <c r="J119" s="281"/>
      <c r="K119" s="281"/>
      <c r="L119" s="281"/>
      <c r="M119" s="281"/>
      <c r="N119" s="282"/>
      <c r="O119" s="297"/>
    </row>
    <row r="120" spans="1:15" s="263" customFormat="1" ht="12" customHeight="1">
      <c r="A120" s="276">
        <v>841906</v>
      </c>
      <c r="B120" s="272" t="s">
        <v>292</v>
      </c>
      <c r="C120" s="273" t="s">
        <v>6</v>
      </c>
      <c r="D120" s="274">
        <v>1000000</v>
      </c>
      <c r="E120" s="274">
        <f t="shared" si="1"/>
        <v>84551</v>
      </c>
      <c r="F120" s="281"/>
      <c r="G120" s="281"/>
      <c r="H120" s="281">
        <v>64174</v>
      </c>
      <c r="I120" s="281"/>
      <c r="J120" s="281"/>
      <c r="K120" s="281"/>
      <c r="L120" s="281"/>
      <c r="M120" s="281">
        <v>20377</v>
      </c>
      <c r="N120" s="282"/>
      <c r="O120" s="297"/>
    </row>
    <row r="121" spans="1:15" s="263" customFormat="1" ht="12" customHeight="1">
      <c r="A121" s="276"/>
      <c r="B121" s="272"/>
      <c r="C121" s="273" t="s">
        <v>102</v>
      </c>
      <c r="D121" s="274">
        <v>1000000</v>
      </c>
      <c r="E121" s="274">
        <f>SUM(F121:N121)</f>
        <v>84551</v>
      </c>
      <c r="F121" s="281"/>
      <c r="G121" s="281"/>
      <c r="H121" s="281">
        <v>64174</v>
      </c>
      <c r="I121" s="281"/>
      <c r="J121" s="281"/>
      <c r="K121" s="281"/>
      <c r="L121" s="281"/>
      <c r="M121" s="281">
        <v>20377</v>
      </c>
      <c r="N121" s="282"/>
      <c r="O121" s="297"/>
    </row>
    <row r="122" spans="1:15" s="263" customFormat="1" ht="12" customHeight="1">
      <c r="A122" s="276"/>
      <c r="B122" s="272"/>
      <c r="C122" s="273" t="s">
        <v>5</v>
      </c>
      <c r="D122" s="274"/>
      <c r="E122" s="274">
        <f>SUM(F122:N122)</f>
        <v>84551</v>
      </c>
      <c r="F122" s="281"/>
      <c r="G122" s="281"/>
      <c r="H122" s="281">
        <v>64174</v>
      </c>
      <c r="I122" s="281"/>
      <c r="J122" s="281"/>
      <c r="K122" s="281"/>
      <c r="L122" s="281"/>
      <c r="M122" s="281">
        <v>20377</v>
      </c>
      <c r="N122" s="282"/>
      <c r="O122" s="297"/>
    </row>
    <row r="123" spans="1:15" s="263" customFormat="1" ht="12" customHeight="1">
      <c r="A123" s="276">
        <v>841907</v>
      </c>
      <c r="B123" s="272" t="s">
        <v>293</v>
      </c>
      <c r="C123" s="273" t="s">
        <v>6</v>
      </c>
      <c r="D123" s="274">
        <v>21933</v>
      </c>
      <c r="E123" s="274">
        <f t="shared" si="1"/>
        <v>41600</v>
      </c>
      <c r="F123" s="281"/>
      <c r="G123" s="281"/>
      <c r="H123" s="281"/>
      <c r="I123" s="281"/>
      <c r="J123" s="281"/>
      <c r="K123" s="281"/>
      <c r="L123" s="281"/>
      <c r="M123" s="281">
        <v>41600</v>
      </c>
      <c r="N123" s="282"/>
      <c r="O123" s="297"/>
    </row>
    <row r="124" spans="1:15" s="263" customFormat="1" ht="12" customHeight="1">
      <c r="A124" s="276"/>
      <c r="B124" s="272"/>
      <c r="C124" s="273" t="s">
        <v>102</v>
      </c>
      <c r="D124" s="274">
        <v>4433</v>
      </c>
      <c r="E124" s="274">
        <f t="shared" si="1"/>
        <v>0</v>
      </c>
      <c r="F124" s="281"/>
      <c r="G124" s="281"/>
      <c r="H124" s="281"/>
      <c r="I124" s="281"/>
      <c r="J124" s="281"/>
      <c r="K124" s="281"/>
      <c r="L124" s="281"/>
      <c r="M124" s="281">
        <v>0</v>
      </c>
      <c r="N124" s="282"/>
      <c r="O124" s="297"/>
    </row>
    <row r="125" spans="1:15" s="263" customFormat="1" ht="12" customHeight="1">
      <c r="A125" s="283"/>
      <c r="B125" s="284"/>
      <c r="C125" s="285" t="s">
        <v>5</v>
      </c>
      <c r="D125" s="286">
        <v>4433</v>
      </c>
      <c r="E125" s="286">
        <f t="shared" si="1"/>
        <v>0</v>
      </c>
      <c r="F125" s="298"/>
      <c r="G125" s="298"/>
      <c r="H125" s="298"/>
      <c r="I125" s="298"/>
      <c r="J125" s="298"/>
      <c r="K125" s="298"/>
      <c r="L125" s="298"/>
      <c r="M125" s="298">
        <v>0</v>
      </c>
      <c r="N125" s="299"/>
      <c r="O125" s="297"/>
    </row>
    <row r="126" spans="1:15" s="263" customFormat="1" ht="12" customHeight="1">
      <c r="A126" s="300">
        <v>841126</v>
      </c>
      <c r="B126" s="301" t="s">
        <v>43</v>
      </c>
      <c r="C126" s="302" t="s">
        <v>6</v>
      </c>
      <c r="D126" s="303"/>
      <c r="E126" s="303">
        <f t="shared" si="1"/>
        <v>11000</v>
      </c>
      <c r="F126" s="304"/>
      <c r="G126" s="304"/>
      <c r="H126" s="304"/>
      <c r="I126" s="304"/>
      <c r="J126" s="304"/>
      <c r="K126" s="304"/>
      <c r="L126" s="304"/>
      <c r="M126" s="304"/>
      <c r="N126" s="305">
        <v>11000</v>
      </c>
      <c r="O126" s="297"/>
    </row>
    <row r="127" spans="1:15" s="263" customFormat="1" ht="12" customHeight="1">
      <c r="A127" s="276"/>
      <c r="B127" s="272"/>
      <c r="C127" s="273" t="s">
        <v>102</v>
      </c>
      <c r="D127" s="274"/>
      <c r="E127" s="274">
        <f t="shared" si="1"/>
        <v>7262</v>
      </c>
      <c r="F127" s="281"/>
      <c r="G127" s="281"/>
      <c r="H127" s="281"/>
      <c r="I127" s="281"/>
      <c r="J127" s="281"/>
      <c r="K127" s="281"/>
      <c r="L127" s="281"/>
      <c r="M127" s="281"/>
      <c r="N127" s="282">
        <v>7262</v>
      </c>
      <c r="O127" s="297"/>
    </row>
    <row r="128" spans="1:15" s="263" customFormat="1" ht="12" customHeight="1">
      <c r="A128" s="276"/>
      <c r="B128" s="272"/>
      <c r="C128" s="273" t="s">
        <v>5</v>
      </c>
      <c r="D128" s="274"/>
      <c r="E128" s="274">
        <f t="shared" si="1"/>
        <v>2155</v>
      </c>
      <c r="F128" s="281"/>
      <c r="G128" s="281"/>
      <c r="H128" s="281"/>
      <c r="I128" s="281"/>
      <c r="J128" s="281"/>
      <c r="K128" s="281"/>
      <c r="L128" s="281"/>
      <c r="M128" s="281"/>
      <c r="N128" s="282">
        <v>2155</v>
      </c>
      <c r="O128" s="297"/>
    </row>
    <row r="129" spans="1:15" s="263" customFormat="1" ht="12" customHeight="1">
      <c r="A129" s="276">
        <v>842155</v>
      </c>
      <c r="B129" s="272" t="s">
        <v>294</v>
      </c>
      <c r="C129" s="273" t="s">
        <v>6</v>
      </c>
      <c r="D129" s="274">
        <v>18469</v>
      </c>
      <c r="E129" s="274">
        <f t="shared" si="1"/>
        <v>131</v>
      </c>
      <c r="F129" s="281"/>
      <c r="G129" s="281"/>
      <c r="H129" s="281"/>
      <c r="I129" s="281">
        <v>131</v>
      </c>
      <c r="J129" s="281"/>
      <c r="K129" s="281"/>
      <c r="L129" s="281"/>
      <c r="M129" s="281"/>
      <c r="N129" s="282"/>
      <c r="O129" s="297"/>
    </row>
    <row r="130" spans="1:15" s="263" customFormat="1" ht="12" customHeight="1">
      <c r="A130" s="276"/>
      <c r="B130" s="272"/>
      <c r="C130" s="273" t="s">
        <v>102</v>
      </c>
      <c r="D130" s="274">
        <v>18469</v>
      </c>
      <c r="E130" s="274">
        <f t="shared" si="1"/>
        <v>131</v>
      </c>
      <c r="F130" s="281"/>
      <c r="G130" s="281"/>
      <c r="H130" s="281"/>
      <c r="I130" s="281">
        <v>131</v>
      </c>
      <c r="J130" s="281"/>
      <c r="K130" s="281"/>
      <c r="L130" s="281"/>
      <c r="M130" s="281"/>
      <c r="N130" s="282"/>
      <c r="O130" s="297"/>
    </row>
    <row r="131" spans="1:15" s="263" customFormat="1" ht="12" customHeight="1">
      <c r="A131" s="276"/>
      <c r="B131" s="272"/>
      <c r="C131" s="273" t="s">
        <v>5</v>
      </c>
      <c r="D131" s="274">
        <v>23233</v>
      </c>
      <c r="E131" s="274">
        <f t="shared" si="1"/>
        <v>4895</v>
      </c>
      <c r="F131" s="281"/>
      <c r="G131" s="281"/>
      <c r="H131" s="281">
        <v>4764</v>
      </c>
      <c r="I131" s="281">
        <v>131</v>
      </c>
      <c r="J131" s="281"/>
      <c r="K131" s="281"/>
      <c r="L131" s="281"/>
      <c r="M131" s="281"/>
      <c r="N131" s="282"/>
      <c r="O131" s="297"/>
    </row>
    <row r="132" spans="1:15" s="263" customFormat="1" ht="12" customHeight="1">
      <c r="A132" s="276">
        <v>842155</v>
      </c>
      <c r="B132" s="272" t="s">
        <v>295</v>
      </c>
      <c r="C132" s="273" t="s">
        <v>6</v>
      </c>
      <c r="D132" s="274">
        <v>1378</v>
      </c>
      <c r="E132" s="274">
        <f t="shared" si="1"/>
        <v>10800</v>
      </c>
      <c r="F132" s="281"/>
      <c r="G132" s="281"/>
      <c r="H132" s="281">
        <v>10800</v>
      </c>
      <c r="I132" s="281"/>
      <c r="J132" s="281"/>
      <c r="K132" s="281"/>
      <c r="L132" s="281"/>
      <c r="M132" s="281"/>
      <c r="N132" s="282"/>
      <c r="O132" s="297"/>
    </row>
    <row r="133" spans="1:15" s="263" customFormat="1" ht="12" customHeight="1">
      <c r="A133" s="276"/>
      <c r="B133" s="272"/>
      <c r="C133" s="273" t="s">
        <v>102</v>
      </c>
      <c r="D133" s="274">
        <v>1378</v>
      </c>
      <c r="E133" s="274">
        <f t="shared" si="1"/>
        <v>10800</v>
      </c>
      <c r="F133" s="281"/>
      <c r="G133" s="281"/>
      <c r="H133" s="281">
        <v>10800</v>
      </c>
      <c r="I133" s="281"/>
      <c r="J133" s="281"/>
      <c r="K133" s="281"/>
      <c r="L133" s="281"/>
      <c r="M133" s="281"/>
      <c r="N133" s="282"/>
      <c r="O133" s="297"/>
    </row>
    <row r="134" spans="1:15" s="263" customFormat="1" ht="12" customHeight="1">
      <c r="A134" s="276"/>
      <c r="B134" s="272"/>
      <c r="C134" s="273" t="s">
        <v>5</v>
      </c>
      <c r="D134" s="274">
        <v>1378</v>
      </c>
      <c r="E134" s="274">
        <f t="shared" si="1"/>
        <v>10800</v>
      </c>
      <c r="F134" s="281"/>
      <c r="G134" s="281"/>
      <c r="H134" s="281">
        <v>10630</v>
      </c>
      <c r="I134" s="281">
        <v>170</v>
      </c>
      <c r="J134" s="281"/>
      <c r="K134" s="281"/>
      <c r="L134" s="281"/>
      <c r="M134" s="281"/>
      <c r="N134" s="282"/>
      <c r="O134" s="297"/>
    </row>
    <row r="135" spans="1:15" s="263" customFormat="1" ht="12" customHeight="1">
      <c r="A135" s="279">
        <v>842421</v>
      </c>
      <c r="B135" s="280" t="s">
        <v>296</v>
      </c>
      <c r="C135" s="273" t="s">
        <v>6</v>
      </c>
      <c r="D135" s="274"/>
      <c r="E135" s="274">
        <f t="shared" si="1"/>
        <v>3800</v>
      </c>
      <c r="F135" s="295"/>
      <c r="G135" s="295"/>
      <c r="H135" s="281"/>
      <c r="I135" s="295">
        <v>3800</v>
      </c>
      <c r="J135" s="295"/>
      <c r="K135" s="295"/>
      <c r="L135" s="295"/>
      <c r="M135" s="295"/>
      <c r="N135" s="282"/>
      <c r="O135" s="297"/>
    </row>
    <row r="136" spans="1:15" s="263" customFormat="1" ht="12" customHeight="1">
      <c r="A136" s="279"/>
      <c r="B136" s="280"/>
      <c r="C136" s="273" t="s">
        <v>102</v>
      </c>
      <c r="D136" s="274"/>
      <c r="E136" s="274">
        <f t="shared" si="1"/>
        <v>3800</v>
      </c>
      <c r="F136" s="295"/>
      <c r="G136" s="295"/>
      <c r="H136" s="281"/>
      <c r="I136" s="295">
        <v>3800</v>
      </c>
      <c r="J136" s="295"/>
      <c r="K136" s="295"/>
      <c r="L136" s="295"/>
      <c r="M136" s="295"/>
      <c r="N136" s="282"/>
      <c r="O136" s="297"/>
    </row>
    <row r="137" spans="1:15" s="263" customFormat="1" ht="12" customHeight="1">
      <c r="A137" s="279"/>
      <c r="B137" s="280"/>
      <c r="C137" s="273" t="s">
        <v>5</v>
      </c>
      <c r="D137" s="274"/>
      <c r="E137" s="274">
        <f t="shared" si="1"/>
        <v>3800</v>
      </c>
      <c r="F137" s="295"/>
      <c r="G137" s="295"/>
      <c r="H137" s="281"/>
      <c r="I137" s="295">
        <v>3800</v>
      </c>
      <c r="J137" s="295"/>
      <c r="K137" s="295"/>
      <c r="L137" s="295"/>
      <c r="M137" s="295"/>
      <c r="N137" s="282"/>
      <c r="O137" s="297"/>
    </row>
    <row r="138" spans="1:15" s="296" customFormat="1" ht="12" customHeight="1">
      <c r="A138" s="276">
        <v>842521</v>
      </c>
      <c r="B138" s="272" t="s">
        <v>297</v>
      </c>
      <c r="C138" s="273" t="s">
        <v>6</v>
      </c>
      <c r="D138" s="274"/>
      <c r="E138" s="274">
        <f t="shared" si="1"/>
        <v>250</v>
      </c>
      <c r="F138" s="274"/>
      <c r="G138" s="274"/>
      <c r="H138" s="274">
        <v>250</v>
      </c>
      <c r="I138" s="274"/>
      <c r="J138" s="274"/>
      <c r="K138" s="274"/>
      <c r="L138" s="274"/>
      <c r="M138" s="274"/>
      <c r="N138" s="275"/>
      <c r="O138" s="297"/>
    </row>
    <row r="139" spans="1:15" s="296" customFormat="1" ht="12" customHeight="1">
      <c r="A139" s="276"/>
      <c r="B139" s="272"/>
      <c r="C139" s="273" t="s">
        <v>102</v>
      </c>
      <c r="D139" s="274"/>
      <c r="E139" s="274">
        <f t="shared" si="1"/>
        <v>750</v>
      </c>
      <c r="F139" s="274"/>
      <c r="G139" s="274"/>
      <c r="H139" s="274">
        <v>250</v>
      </c>
      <c r="I139" s="274">
        <v>500</v>
      </c>
      <c r="J139" s="274"/>
      <c r="K139" s="274"/>
      <c r="L139" s="274"/>
      <c r="M139" s="274"/>
      <c r="N139" s="275"/>
      <c r="O139" s="297"/>
    </row>
    <row r="140" spans="1:15" s="296" customFormat="1" ht="12" customHeight="1">
      <c r="A140" s="276"/>
      <c r="B140" s="272"/>
      <c r="C140" s="273" t="s">
        <v>5</v>
      </c>
      <c r="D140" s="274"/>
      <c r="E140" s="274">
        <f t="shared" si="1"/>
        <v>750</v>
      </c>
      <c r="F140" s="274"/>
      <c r="G140" s="274"/>
      <c r="H140" s="274">
        <v>250</v>
      </c>
      <c r="I140" s="274">
        <v>500</v>
      </c>
      <c r="J140" s="274"/>
      <c r="K140" s="274"/>
      <c r="L140" s="274"/>
      <c r="M140" s="274"/>
      <c r="N140" s="275"/>
      <c r="O140" s="297"/>
    </row>
    <row r="141" spans="1:15" s="263" customFormat="1" ht="12" customHeight="1">
      <c r="A141" s="276">
        <v>851011</v>
      </c>
      <c r="B141" s="272" t="s">
        <v>298</v>
      </c>
      <c r="C141" s="273" t="s">
        <v>6</v>
      </c>
      <c r="D141" s="274"/>
      <c r="E141" s="274">
        <f t="shared" si="1"/>
        <v>9600</v>
      </c>
      <c r="F141" s="281"/>
      <c r="G141" s="281"/>
      <c r="H141" s="281"/>
      <c r="I141" s="281">
        <v>9600</v>
      </c>
      <c r="J141" s="281"/>
      <c r="K141" s="281"/>
      <c r="L141" s="281"/>
      <c r="M141" s="295"/>
      <c r="N141" s="282"/>
      <c r="O141" s="297"/>
    </row>
    <row r="142" spans="1:15" s="263" customFormat="1" ht="12" customHeight="1">
      <c r="A142" s="276"/>
      <c r="B142" s="272"/>
      <c r="C142" s="273" t="s">
        <v>102</v>
      </c>
      <c r="D142" s="274"/>
      <c r="E142" s="274">
        <f t="shared" si="1"/>
        <v>9600</v>
      </c>
      <c r="F142" s="281"/>
      <c r="G142" s="281"/>
      <c r="H142" s="281"/>
      <c r="I142" s="281">
        <v>9600</v>
      </c>
      <c r="J142" s="281"/>
      <c r="K142" s="281"/>
      <c r="L142" s="281"/>
      <c r="M142" s="295"/>
      <c r="N142" s="282"/>
      <c r="O142" s="297"/>
    </row>
    <row r="143" spans="1:15" s="263" customFormat="1" ht="12" customHeight="1">
      <c r="A143" s="276"/>
      <c r="B143" s="272"/>
      <c r="C143" s="273" t="s">
        <v>5</v>
      </c>
      <c r="D143" s="274">
        <v>10980</v>
      </c>
      <c r="E143" s="274">
        <f t="shared" si="1"/>
        <v>20580</v>
      </c>
      <c r="F143" s="281"/>
      <c r="G143" s="281"/>
      <c r="H143" s="281"/>
      <c r="I143" s="281">
        <v>9600</v>
      </c>
      <c r="J143" s="281"/>
      <c r="K143" s="281"/>
      <c r="L143" s="281"/>
      <c r="M143" s="295">
        <v>10980</v>
      </c>
      <c r="N143" s="282"/>
      <c r="O143" s="297"/>
    </row>
    <row r="144" spans="1:15" s="263" customFormat="1" ht="12" customHeight="1">
      <c r="A144" s="276">
        <v>852000</v>
      </c>
      <c r="B144" s="272" t="s">
        <v>299</v>
      </c>
      <c r="C144" s="273" t="s">
        <v>6</v>
      </c>
      <c r="D144" s="274">
        <v>32317</v>
      </c>
      <c r="E144" s="274">
        <f t="shared" si="1"/>
        <v>4000</v>
      </c>
      <c r="F144" s="281"/>
      <c r="G144" s="281"/>
      <c r="H144" s="281"/>
      <c r="I144" s="281">
        <v>4000</v>
      </c>
      <c r="J144" s="281"/>
      <c r="K144" s="281"/>
      <c r="L144" s="281"/>
      <c r="M144" s="295"/>
      <c r="N144" s="282"/>
      <c r="O144" s="297"/>
    </row>
    <row r="145" spans="1:15" s="263" customFormat="1" ht="12" customHeight="1">
      <c r="A145" s="276"/>
      <c r="B145" s="272"/>
      <c r="C145" s="273" t="s">
        <v>102</v>
      </c>
      <c r="D145" s="274">
        <v>32317</v>
      </c>
      <c r="E145" s="274">
        <f t="shared" si="1"/>
        <v>4400</v>
      </c>
      <c r="F145" s="281"/>
      <c r="G145" s="281"/>
      <c r="H145" s="281"/>
      <c r="I145" s="281">
        <v>4400</v>
      </c>
      <c r="J145" s="281"/>
      <c r="K145" s="281"/>
      <c r="L145" s="281"/>
      <c r="M145" s="295"/>
      <c r="N145" s="282"/>
      <c r="O145" s="297"/>
    </row>
    <row r="146" spans="1:15" s="263" customFormat="1" ht="12" customHeight="1">
      <c r="A146" s="276"/>
      <c r="B146" s="272"/>
      <c r="C146" s="273" t="s">
        <v>5</v>
      </c>
      <c r="D146" s="274">
        <v>33586</v>
      </c>
      <c r="E146" s="274">
        <f t="shared" si="1"/>
        <v>8541</v>
      </c>
      <c r="F146" s="281">
        <v>1973</v>
      </c>
      <c r="G146" s="281">
        <v>507</v>
      </c>
      <c r="H146" s="281">
        <v>80</v>
      </c>
      <c r="I146" s="281">
        <v>4100</v>
      </c>
      <c r="J146" s="281"/>
      <c r="K146" s="281"/>
      <c r="L146" s="281">
        <v>1881</v>
      </c>
      <c r="M146" s="295"/>
      <c r="N146" s="282"/>
      <c r="O146" s="297"/>
    </row>
    <row r="147" spans="1:15" s="263" customFormat="1" ht="12" customHeight="1">
      <c r="A147" s="276">
        <v>852000</v>
      </c>
      <c r="B147" s="272" t="s">
        <v>300</v>
      </c>
      <c r="C147" s="273" t="s">
        <v>6</v>
      </c>
      <c r="D147" s="274"/>
      <c r="E147" s="274">
        <f t="shared" si="1"/>
        <v>0</v>
      </c>
      <c r="F147" s="281"/>
      <c r="G147" s="281"/>
      <c r="H147" s="281"/>
      <c r="I147" s="281"/>
      <c r="J147" s="281"/>
      <c r="K147" s="281"/>
      <c r="L147" s="281"/>
      <c r="M147" s="295"/>
      <c r="N147" s="282"/>
      <c r="O147" s="297"/>
    </row>
    <row r="148" spans="1:15" s="263" customFormat="1" ht="12" customHeight="1">
      <c r="A148" s="276"/>
      <c r="B148" s="272"/>
      <c r="C148" s="273" t="s">
        <v>102</v>
      </c>
      <c r="D148" s="274"/>
      <c r="E148" s="274">
        <f t="shared" si="1"/>
        <v>0</v>
      </c>
      <c r="F148" s="281"/>
      <c r="G148" s="281"/>
      <c r="H148" s="281"/>
      <c r="I148" s="281"/>
      <c r="J148" s="281"/>
      <c r="K148" s="281"/>
      <c r="L148" s="281"/>
      <c r="M148" s="295"/>
      <c r="N148" s="282"/>
      <c r="O148" s="297"/>
    </row>
    <row r="149" spans="1:15" s="263" customFormat="1" ht="12" customHeight="1">
      <c r="A149" s="276"/>
      <c r="B149" s="272"/>
      <c r="C149" s="273" t="s">
        <v>5</v>
      </c>
      <c r="D149" s="274"/>
      <c r="E149" s="274">
        <f t="shared" si="1"/>
        <v>0</v>
      </c>
      <c r="F149" s="281"/>
      <c r="G149" s="281"/>
      <c r="H149" s="281"/>
      <c r="I149" s="281"/>
      <c r="J149" s="281"/>
      <c r="K149" s="281"/>
      <c r="L149" s="281"/>
      <c r="M149" s="295"/>
      <c r="N149" s="282"/>
      <c r="O149" s="297"/>
    </row>
    <row r="150" spans="1:15" s="263" customFormat="1" ht="12" customHeight="1">
      <c r="A150" s="276">
        <v>852000</v>
      </c>
      <c r="B150" s="272" t="s">
        <v>301</v>
      </c>
      <c r="C150" s="273" t="s">
        <v>6</v>
      </c>
      <c r="D150" s="274"/>
      <c r="E150" s="274">
        <f t="shared" si="1"/>
        <v>0</v>
      </c>
      <c r="F150" s="281"/>
      <c r="G150" s="281"/>
      <c r="H150" s="281"/>
      <c r="I150" s="281"/>
      <c r="J150" s="281"/>
      <c r="K150" s="281"/>
      <c r="L150" s="281"/>
      <c r="M150" s="281"/>
      <c r="N150" s="282"/>
      <c r="O150" s="297"/>
    </row>
    <row r="151" spans="1:15" s="263" customFormat="1" ht="12" customHeight="1">
      <c r="A151" s="276"/>
      <c r="B151" s="272"/>
      <c r="C151" s="273" t="s">
        <v>102</v>
      </c>
      <c r="D151" s="274"/>
      <c r="E151" s="274">
        <f t="shared" si="1"/>
        <v>0</v>
      </c>
      <c r="F151" s="281"/>
      <c r="G151" s="281"/>
      <c r="H151" s="281"/>
      <c r="I151" s="281"/>
      <c r="J151" s="281"/>
      <c r="K151" s="281"/>
      <c r="L151" s="281"/>
      <c r="M151" s="281"/>
      <c r="N151" s="282"/>
      <c r="O151" s="297"/>
    </row>
    <row r="152" spans="1:15" s="263" customFormat="1" ht="12" customHeight="1">
      <c r="A152" s="276"/>
      <c r="B152" s="272"/>
      <c r="C152" s="273" t="s">
        <v>5</v>
      </c>
      <c r="D152" s="274"/>
      <c r="E152" s="274">
        <f t="shared" si="1"/>
        <v>0</v>
      </c>
      <c r="F152" s="281"/>
      <c r="G152" s="281"/>
      <c r="H152" s="281"/>
      <c r="I152" s="281"/>
      <c r="J152" s="281"/>
      <c r="K152" s="281"/>
      <c r="L152" s="281"/>
      <c r="M152" s="281"/>
      <c r="N152" s="282"/>
      <c r="O152" s="297"/>
    </row>
    <row r="153" spans="1:15" s="263" customFormat="1" ht="12" customHeight="1">
      <c r="A153" s="276">
        <v>854233</v>
      </c>
      <c r="B153" s="272" t="s">
        <v>302</v>
      </c>
      <c r="C153" s="273" t="s">
        <v>6</v>
      </c>
      <c r="D153" s="274"/>
      <c r="E153" s="274">
        <f t="shared" si="1"/>
        <v>400</v>
      </c>
      <c r="F153" s="281">
        <v>400</v>
      </c>
      <c r="G153" s="281"/>
      <c r="H153" s="281"/>
      <c r="I153" s="281"/>
      <c r="J153" s="281"/>
      <c r="K153" s="281"/>
      <c r="L153" s="281"/>
      <c r="M153" s="295"/>
      <c r="N153" s="282"/>
      <c r="O153" s="297"/>
    </row>
    <row r="154" spans="1:15" s="263" customFormat="1" ht="12" customHeight="1">
      <c r="A154" s="276"/>
      <c r="B154" s="272"/>
      <c r="C154" s="273" t="s">
        <v>102</v>
      </c>
      <c r="D154" s="274"/>
      <c r="E154" s="274">
        <f t="shared" si="1"/>
        <v>400</v>
      </c>
      <c r="F154" s="281">
        <v>400</v>
      </c>
      <c r="G154" s="281"/>
      <c r="H154" s="281"/>
      <c r="I154" s="281"/>
      <c r="J154" s="281"/>
      <c r="K154" s="281"/>
      <c r="L154" s="281"/>
      <c r="M154" s="295"/>
      <c r="N154" s="282"/>
      <c r="O154" s="297"/>
    </row>
    <row r="155" spans="1:15" s="263" customFormat="1" ht="12" customHeight="1">
      <c r="A155" s="276"/>
      <c r="B155" s="272"/>
      <c r="C155" s="273" t="s">
        <v>5</v>
      </c>
      <c r="D155" s="274"/>
      <c r="E155" s="274">
        <f t="shared" si="1"/>
        <v>1400</v>
      </c>
      <c r="F155" s="281">
        <v>1400</v>
      </c>
      <c r="G155" s="281"/>
      <c r="H155" s="281"/>
      <c r="I155" s="281"/>
      <c r="J155" s="281"/>
      <c r="K155" s="281"/>
      <c r="L155" s="281"/>
      <c r="M155" s="295"/>
      <c r="N155" s="282"/>
      <c r="O155" s="297"/>
    </row>
    <row r="156" spans="1:15" s="263" customFormat="1" ht="12" customHeight="1">
      <c r="A156" s="276">
        <v>854234</v>
      </c>
      <c r="B156" s="272" t="s">
        <v>303</v>
      </c>
      <c r="C156" s="273" t="s">
        <v>6</v>
      </c>
      <c r="D156" s="274"/>
      <c r="E156" s="274">
        <f t="shared" si="1"/>
        <v>5500</v>
      </c>
      <c r="F156" s="281"/>
      <c r="G156" s="281"/>
      <c r="H156" s="281"/>
      <c r="I156" s="281">
        <v>5500</v>
      </c>
      <c r="J156" s="281"/>
      <c r="K156" s="281"/>
      <c r="L156" s="281"/>
      <c r="M156" s="295"/>
      <c r="N156" s="282"/>
      <c r="O156" s="297"/>
    </row>
    <row r="157" spans="1:15" s="263" customFormat="1" ht="12" customHeight="1">
      <c r="A157" s="276"/>
      <c r="B157" s="272"/>
      <c r="C157" s="273" t="s">
        <v>102</v>
      </c>
      <c r="D157" s="274">
        <v>0</v>
      </c>
      <c r="E157" s="274">
        <f t="shared" si="1"/>
        <v>5500</v>
      </c>
      <c r="F157" s="281"/>
      <c r="G157" s="281"/>
      <c r="H157" s="281"/>
      <c r="I157" s="281">
        <v>5500</v>
      </c>
      <c r="J157" s="281"/>
      <c r="K157" s="281"/>
      <c r="L157" s="281"/>
      <c r="M157" s="295"/>
      <c r="N157" s="282"/>
      <c r="O157" s="297"/>
    </row>
    <row r="158" spans="1:15" s="263" customFormat="1" ht="12" customHeight="1">
      <c r="A158" s="276"/>
      <c r="B158" s="272"/>
      <c r="C158" s="273" t="s">
        <v>5</v>
      </c>
      <c r="D158" s="274"/>
      <c r="E158" s="274">
        <f t="shared" si="1"/>
        <v>4500</v>
      </c>
      <c r="F158" s="281"/>
      <c r="G158" s="281"/>
      <c r="H158" s="281"/>
      <c r="I158" s="281">
        <v>4500</v>
      </c>
      <c r="J158" s="281"/>
      <c r="K158" s="281"/>
      <c r="L158" s="281"/>
      <c r="M158" s="295"/>
      <c r="N158" s="282"/>
      <c r="O158" s="297"/>
    </row>
    <row r="159" spans="1:15" s="263" customFormat="1" ht="12" customHeight="1">
      <c r="A159" s="276">
        <v>855100</v>
      </c>
      <c r="B159" s="272" t="s">
        <v>304</v>
      </c>
      <c r="C159" s="273" t="s">
        <v>6</v>
      </c>
      <c r="D159" s="274">
        <v>50</v>
      </c>
      <c r="E159" s="274">
        <f t="shared" si="1"/>
        <v>3450</v>
      </c>
      <c r="F159" s="281"/>
      <c r="G159" s="281"/>
      <c r="H159" s="281">
        <v>3450</v>
      </c>
      <c r="I159" s="281"/>
      <c r="J159" s="281"/>
      <c r="K159" s="281"/>
      <c r="L159" s="281"/>
      <c r="M159" s="281"/>
      <c r="N159" s="282"/>
      <c r="O159" s="297"/>
    </row>
    <row r="160" spans="1:15" s="263" customFormat="1" ht="12" customHeight="1">
      <c r="A160" s="276"/>
      <c r="B160" s="272"/>
      <c r="C160" s="273" t="s">
        <v>102</v>
      </c>
      <c r="D160" s="274">
        <v>50</v>
      </c>
      <c r="E160" s="274">
        <f t="shared" si="1"/>
        <v>3450</v>
      </c>
      <c r="F160" s="281"/>
      <c r="G160" s="281"/>
      <c r="H160" s="281">
        <v>3450</v>
      </c>
      <c r="I160" s="281"/>
      <c r="J160" s="281"/>
      <c r="K160" s="281"/>
      <c r="L160" s="281"/>
      <c r="M160" s="281"/>
      <c r="N160" s="282"/>
      <c r="O160" s="297"/>
    </row>
    <row r="161" spans="1:15" s="263" customFormat="1" ht="12" customHeight="1">
      <c r="A161" s="276"/>
      <c r="B161" s="272"/>
      <c r="C161" s="273" t="s">
        <v>5</v>
      </c>
      <c r="D161" s="274">
        <v>50</v>
      </c>
      <c r="E161" s="274">
        <f t="shared" si="1"/>
        <v>3450</v>
      </c>
      <c r="F161" s="281"/>
      <c r="G161" s="281"/>
      <c r="H161" s="281">
        <v>3450</v>
      </c>
      <c r="I161" s="281"/>
      <c r="J161" s="281"/>
      <c r="K161" s="281"/>
      <c r="L161" s="281"/>
      <c r="M161" s="281"/>
      <c r="N161" s="282"/>
      <c r="O161" s="297"/>
    </row>
    <row r="162" spans="1:15" s="306" customFormat="1" ht="12" customHeight="1">
      <c r="A162" s="276">
        <v>856000</v>
      </c>
      <c r="B162" s="272" t="s">
        <v>305</v>
      </c>
      <c r="C162" s="273" t="s">
        <v>6</v>
      </c>
      <c r="D162" s="274"/>
      <c r="E162" s="274">
        <f t="shared" si="1"/>
        <v>0</v>
      </c>
      <c r="F162" s="281"/>
      <c r="G162" s="281"/>
      <c r="H162" s="281"/>
      <c r="I162" s="281"/>
      <c r="J162" s="281"/>
      <c r="K162" s="281"/>
      <c r="L162" s="281"/>
      <c r="M162" s="281"/>
      <c r="N162" s="282"/>
      <c r="O162" s="297"/>
    </row>
    <row r="163" spans="1:15" s="263" customFormat="1" ht="12" customHeight="1">
      <c r="A163" s="276"/>
      <c r="B163" s="272"/>
      <c r="C163" s="273" t="s">
        <v>102</v>
      </c>
      <c r="D163" s="274"/>
      <c r="E163" s="274">
        <f t="shared" si="1"/>
        <v>0</v>
      </c>
      <c r="F163" s="281"/>
      <c r="G163" s="281"/>
      <c r="H163" s="281"/>
      <c r="I163" s="281"/>
      <c r="J163" s="281"/>
      <c r="K163" s="281"/>
      <c r="L163" s="281"/>
      <c r="M163" s="281"/>
      <c r="N163" s="282"/>
      <c r="O163" s="297"/>
    </row>
    <row r="164" spans="1:15" s="263" customFormat="1" ht="12" customHeight="1">
      <c r="A164" s="276"/>
      <c r="B164" s="272"/>
      <c r="C164" s="273" t="s">
        <v>5</v>
      </c>
      <c r="D164" s="274"/>
      <c r="E164" s="274">
        <f t="shared" si="1"/>
        <v>0</v>
      </c>
      <c r="F164" s="281"/>
      <c r="G164" s="281"/>
      <c r="H164" s="281"/>
      <c r="I164" s="281"/>
      <c r="J164" s="281"/>
      <c r="K164" s="281"/>
      <c r="L164" s="281"/>
      <c r="M164" s="281"/>
      <c r="N164" s="282"/>
      <c r="O164" s="297"/>
    </row>
    <row r="165" spans="1:15" s="263" customFormat="1" ht="12" customHeight="1">
      <c r="A165" s="276">
        <v>856020</v>
      </c>
      <c r="B165" s="272" t="s">
        <v>306</v>
      </c>
      <c r="C165" s="273" t="s">
        <v>6</v>
      </c>
      <c r="D165" s="274"/>
      <c r="E165" s="274">
        <f t="shared" si="1"/>
        <v>1500</v>
      </c>
      <c r="F165" s="281"/>
      <c r="G165" s="281"/>
      <c r="H165" s="281">
        <v>1500</v>
      </c>
      <c r="I165" s="281"/>
      <c r="J165" s="281"/>
      <c r="K165" s="281"/>
      <c r="L165" s="281"/>
      <c r="M165" s="281"/>
      <c r="N165" s="282"/>
      <c r="O165" s="297"/>
    </row>
    <row r="166" spans="1:15" s="263" customFormat="1" ht="12" customHeight="1">
      <c r="A166" s="276"/>
      <c r="B166" s="272"/>
      <c r="C166" s="273" t="s">
        <v>102</v>
      </c>
      <c r="D166" s="274"/>
      <c r="E166" s="274">
        <f t="shared" si="1"/>
        <v>1500</v>
      </c>
      <c r="F166" s="281"/>
      <c r="G166" s="281"/>
      <c r="H166" s="281">
        <v>1500</v>
      </c>
      <c r="I166" s="281"/>
      <c r="J166" s="281"/>
      <c r="K166" s="281"/>
      <c r="L166" s="281"/>
      <c r="M166" s="281"/>
      <c r="N166" s="282"/>
      <c r="O166" s="297"/>
    </row>
    <row r="167" spans="1:15" s="263" customFormat="1" ht="12" customHeight="1">
      <c r="A167" s="276"/>
      <c r="B167" s="272"/>
      <c r="C167" s="273" t="s">
        <v>5</v>
      </c>
      <c r="D167" s="274"/>
      <c r="E167" s="274">
        <f t="shared" si="1"/>
        <v>1500</v>
      </c>
      <c r="F167" s="281"/>
      <c r="G167" s="281"/>
      <c r="H167" s="281">
        <v>1500</v>
      </c>
      <c r="I167" s="281"/>
      <c r="J167" s="281"/>
      <c r="K167" s="281"/>
      <c r="L167" s="281"/>
      <c r="M167" s="281"/>
      <c r="N167" s="282"/>
      <c r="O167" s="297"/>
    </row>
    <row r="168" spans="1:15" s="263" customFormat="1" ht="12" customHeight="1">
      <c r="A168" s="276">
        <v>860000</v>
      </c>
      <c r="B168" s="272" t="s">
        <v>307</v>
      </c>
      <c r="C168" s="273" t="s">
        <v>6</v>
      </c>
      <c r="D168" s="274"/>
      <c r="E168" s="274">
        <f t="shared" si="1"/>
        <v>800</v>
      </c>
      <c r="F168" s="281"/>
      <c r="G168" s="281"/>
      <c r="H168" s="281"/>
      <c r="I168" s="281">
        <v>800</v>
      </c>
      <c r="J168" s="281"/>
      <c r="K168" s="281"/>
      <c r="L168" s="281"/>
      <c r="M168" s="281"/>
      <c r="N168" s="282"/>
      <c r="O168" s="297"/>
    </row>
    <row r="169" spans="1:15" s="263" customFormat="1" ht="12" customHeight="1">
      <c r="A169" s="276"/>
      <c r="B169" s="272"/>
      <c r="C169" s="273" t="s">
        <v>102</v>
      </c>
      <c r="D169" s="274"/>
      <c r="E169" s="274">
        <f t="shared" si="1"/>
        <v>800</v>
      </c>
      <c r="F169" s="281"/>
      <c r="G169" s="281"/>
      <c r="H169" s="281"/>
      <c r="I169" s="281">
        <v>800</v>
      </c>
      <c r="J169" s="281"/>
      <c r="K169" s="281"/>
      <c r="L169" s="281"/>
      <c r="M169" s="281"/>
      <c r="N169" s="282"/>
      <c r="O169" s="297"/>
    </row>
    <row r="170" spans="1:15" s="263" customFormat="1" ht="12" customHeight="1">
      <c r="A170" s="276"/>
      <c r="B170" s="272"/>
      <c r="C170" s="273" t="s">
        <v>5</v>
      </c>
      <c r="D170" s="274"/>
      <c r="E170" s="274">
        <f t="shared" si="1"/>
        <v>800</v>
      </c>
      <c r="F170" s="281"/>
      <c r="G170" s="281"/>
      <c r="H170" s="281"/>
      <c r="I170" s="281">
        <v>800</v>
      </c>
      <c r="J170" s="281"/>
      <c r="K170" s="281"/>
      <c r="L170" s="281"/>
      <c r="M170" s="281"/>
      <c r="N170" s="282"/>
      <c r="O170" s="297"/>
    </row>
    <row r="171" spans="1:15" s="263" customFormat="1" ht="12" customHeight="1">
      <c r="A171" s="276">
        <v>862000</v>
      </c>
      <c r="B171" s="272" t="s">
        <v>308</v>
      </c>
      <c r="C171" s="273" t="s">
        <v>6</v>
      </c>
      <c r="D171" s="274"/>
      <c r="E171" s="274">
        <f t="shared" si="1"/>
        <v>5950</v>
      </c>
      <c r="F171" s="281"/>
      <c r="G171" s="281"/>
      <c r="H171" s="281"/>
      <c r="I171" s="281">
        <v>5950</v>
      </c>
      <c r="J171" s="281"/>
      <c r="K171" s="281"/>
      <c r="L171" s="281"/>
      <c r="M171" s="281"/>
      <c r="N171" s="282"/>
      <c r="O171" s="297"/>
    </row>
    <row r="172" spans="1:15" s="307" customFormat="1" ht="12" customHeight="1">
      <c r="A172" s="276"/>
      <c r="B172" s="272"/>
      <c r="C172" s="273" t="s">
        <v>102</v>
      </c>
      <c r="D172" s="274"/>
      <c r="E172" s="274">
        <f t="shared" si="1"/>
        <v>5950</v>
      </c>
      <c r="F172" s="281"/>
      <c r="G172" s="281"/>
      <c r="H172" s="281"/>
      <c r="I172" s="281">
        <v>5950</v>
      </c>
      <c r="J172" s="281"/>
      <c r="K172" s="281"/>
      <c r="L172" s="281"/>
      <c r="M172" s="281"/>
      <c r="N172" s="282"/>
      <c r="O172" s="297"/>
    </row>
    <row r="173" spans="1:15" s="296" customFormat="1" ht="12" customHeight="1">
      <c r="A173" s="276"/>
      <c r="B173" s="272"/>
      <c r="C173" s="273" t="s">
        <v>5</v>
      </c>
      <c r="D173" s="274"/>
      <c r="E173" s="274">
        <f t="shared" si="1"/>
        <v>5950</v>
      </c>
      <c r="F173" s="281"/>
      <c r="G173" s="281"/>
      <c r="H173" s="281"/>
      <c r="I173" s="281">
        <v>5950</v>
      </c>
      <c r="J173" s="281"/>
      <c r="K173" s="281"/>
      <c r="L173" s="281"/>
      <c r="M173" s="281"/>
      <c r="N173" s="282"/>
      <c r="O173" s="297"/>
    </row>
    <row r="174" spans="1:15" s="296" customFormat="1" ht="12" customHeight="1">
      <c r="A174" s="276">
        <v>869045</v>
      </c>
      <c r="B174" s="272" t="s">
        <v>309</v>
      </c>
      <c r="C174" s="273" t="s">
        <v>6</v>
      </c>
      <c r="D174" s="274"/>
      <c r="E174" s="274">
        <f>SUM(F174:N174)</f>
        <v>0</v>
      </c>
      <c r="F174" s="281"/>
      <c r="G174" s="281"/>
      <c r="H174" s="281"/>
      <c r="I174" s="281"/>
      <c r="J174" s="281"/>
      <c r="K174" s="281"/>
      <c r="L174" s="281"/>
      <c r="M174" s="281"/>
      <c r="N174" s="282"/>
      <c r="O174" s="297"/>
    </row>
    <row r="175" spans="1:15" s="296" customFormat="1" ht="12" customHeight="1">
      <c r="A175" s="276"/>
      <c r="B175" s="272"/>
      <c r="C175" s="273" t="s">
        <v>102</v>
      </c>
      <c r="D175" s="274"/>
      <c r="E175" s="274">
        <f>SUM(F175:N175)</f>
        <v>0</v>
      </c>
      <c r="F175" s="281"/>
      <c r="G175" s="281"/>
      <c r="H175" s="281"/>
      <c r="I175" s="281"/>
      <c r="J175" s="281"/>
      <c r="K175" s="281"/>
      <c r="L175" s="281"/>
      <c r="M175" s="281"/>
      <c r="N175" s="282"/>
      <c r="O175" s="297"/>
    </row>
    <row r="176" spans="1:15" s="296" customFormat="1" ht="12" customHeight="1">
      <c r="A176" s="276"/>
      <c r="B176" s="272"/>
      <c r="C176" s="273" t="s">
        <v>5</v>
      </c>
      <c r="D176" s="274">
        <v>559</v>
      </c>
      <c r="E176" s="274">
        <f>SUM(F176:N176)</f>
        <v>559</v>
      </c>
      <c r="F176" s="281"/>
      <c r="G176" s="281"/>
      <c r="H176" s="281"/>
      <c r="I176" s="281"/>
      <c r="J176" s="281"/>
      <c r="K176" s="281"/>
      <c r="L176" s="281"/>
      <c r="M176" s="281"/>
      <c r="N176" s="282">
        <v>559</v>
      </c>
      <c r="O176" s="297"/>
    </row>
    <row r="177" spans="1:15" s="263" customFormat="1" ht="12" customHeight="1">
      <c r="A177" s="276">
        <v>881011</v>
      </c>
      <c r="B177" s="272" t="s">
        <v>310</v>
      </c>
      <c r="C177" s="273" t="s">
        <v>6</v>
      </c>
      <c r="D177" s="274"/>
      <c r="E177" s="274">
        <f t="shared" si="1"/>
        <v>1500</v>
      </c>
      <c r="F177" s="281"/>
      <c r="G177" s="281"/>
      <c r="H177" s="281"/>
      <c r="I177" s="281">
        <v>1500</v>
      </c>
      <c r="J177" s="281"/>
      <c r="K177" s="281"/>
      <c r="L177" s="281"/>
      <c r="M177" s="281"/>
      <c r="N177" s="282"/>
      <c r="O177" s="297"/>
    </row>
    <row r="178" spans="1:15" s="263" customFormat="1" ht="12" customHeight="1">
      <c r="A178" s="276"/>
      <c r="B178" s="272"/>
      <c r="C178" s="273" t="s">
        <v>102</v>
      </c>
      <c r="D178" s="274"/>
      <c r="E178" s="274">
        <f t="shared" si="1"/>
        <v>1500</v>
      </c>
      <c r="F178" s="281"/>
      <c r="G178" s="281"/>
      <c r="H178" s="281"/>
      <c r="I178" s="281">
        <v>1500</v>
      </c>
      <c r="J178" s="281"/>
      <c r="K178" s="281"/>
      <c r="L178" s="281"/>
      <c r="M178" s="281"/>
      <c r="N178" s="282"/>
      <c r="O178" s="297"/>
    </row>
    <row r="179" spans="1:15" s="263" customFormat="1" ht="12" customHeight="1">
      <c r="A179" s="276"/>
      <c r="B179" s="272"/>
      <c r="C179" s="273" t="s">
        <v>5</v>
      </c>
      <c r="D179" s="274"/>
      <c r="E179" s="274">
        <f t="shared" si="1"/>
        <v>1500</v>
      </c>
      <c r="F179" s="281"/>
      <c r="G179" s="281"/>
      <c r="H179" s="281"/>
      <c r="I179" s="281">
        <v>1500</v>
      </c>
      <c r="J179" s="281"/>
      <c r="K179" s="281"/>
      <c r="L179" s="281"/>
      <c r="M179" s="281"/>
      <c r="N179" s="282"/>
      <c r="O179" s="297"/>
    </row>
    <row r="180" spans="1:15" s="263" customFormat="1" ht="12" customHeight="1">
      <c r="A180" s="276">
        <v>882000</v>
      </c>
      <c r="B180" s="272" t="s">
        <v>311</v>
      </c>
      <c r="C180" s="273" t="s">
        <v>6</v>
      </c>
      <c r="D180" s="274"/>
      <c r="E180" s="274">
        <f t="shared" si="1"/>
        <v>38500</v>
      </c>
      <c r="F180" s="281"/>
      <c r="G180" s="281"/>
      <c r="H180" s="281"/>
      <c r="I180" s="281">
        <v>38500</v>
      </c>
      <c r="J180" s="281"/>
      <c r="K180" s="281"/>
      <c r="L180" s="281"/>
      <c r="M180" s="281"/>
      <c r="N180" s="282"/>
      <c r="O180" s="297"/>
    </row>
    <row r="181" spans="1:15" s="263" customFormat="1" ht="12" customHeight="1">
      <c r="A181" s="276"/>
      <c r="B181" s="272"/>
      <c r="C181" s="273" t="s">
        <v>102</v>
      </c>
      <c r="D181" s="274"/>
      <c r="E181" s="274">
        <f t="shared" si="1"/>
        <v>12850</v>
      </c>
      <c r="F181" s="281"/>
      <c r="G181" s="281"/>
      <c r="H181" s="281"/>
      <c r="I181" s="281">
        <v>12850</v>
      </c>
      <c r="J181" s="281"/>
      <c r="K181" s="281"/>
      <c r="L181" s="281"/>
      <c r="M181" s="281"/>
      <c r="N181" s="282"/>
      <c r="O181" s="297"/>
    </row>
    <row r="182" spans="1:15" s="263" customFormat="1" ht="12" customHeight="1">
      <c r="A182" s="276"/>
      <c r="B182" s="272"/>
      <c r="C182" s="273" t="s">
        <v>5</v>
      </c>
      <c r="D182" s="274"/>
      <c r="E182" s="274">
        <f t="shared" si="1"/>
        <v>13010</v>
      </c>
      <c r="F182" s="281"/>
      <c r="G182" s="281"/>
      <c r="H182" s="281"/>
      <c r="I182" s="281">
        <v>13010</v>
      </c>
      <c r="J182" s="281"/>
      <c r="K182" s="281"/>
      <c r="L182" s="281"/>
      <c r="M182" s="281"/>
      <c r="N182" s="282"/>
      <c r="O182" s="297"/>
    </row>
    <row r="183" spans="1:15" s="263" customFormat="1" ht="12" customHeight="1">
      <c r="A183" s="276">
        <v>882111</v>
      </c>
      <c r="B183" s="272" t="s">
        <v>312</v>
      </c>
      <c r="C183" s="273" t="s">
        <v>6</v>
      </c>
      <c r="D183" s="274">
        <v>48060</v>
      </c>
      <c r="E183" s="274">
        <f t="shared" si="1"/>
        <v>62200</v>
      </c>
      <c r="F183" s="281"/>
      <c r="G183" s="281"/>
      <c r="H183" s="281"/>
      <c r="I183" s="281"/>
      <c r="J183" s="281">
        <v>62200</v>
      </c>
      <c r="K183" s="281"/>
      <c r="L183" s="281"/>
      <c r="M183" s="281"/>
      <c r="N183" s="282"/>
      <c r="O183" s="297"/>
    </row>
    <row r="184" spans="1:15" s="296" customFormat="1" ht="12" customHeight="1">
      <c r="A184" s="308"/>
      <c r="B184" s="309"/>
      <c r="C184" s="294" t="s">
        <v>102</v>
      </c>
      <c r="D184" s="310">
        <v>51660</v>
      </c>
      <c r="E184" s="310">
        <f t="shared" si="1"/>
        <v>62200</v>
      </c>
      <c r="F184" s="311"/>
      <c r="G184" s="311"/>
      <c r="H184" s="311"/>
      <c r="I184" s="311"/>
      <c r="J184" s="311">
        <v>62200</v>
      </c>
      <c r="K184" s="311"/>
      <c r="L184" s="311"/>
      <c r="M184" s="311"/>
      <c r="N184" s="312"/>
      <c r="O184" s="297"/>
    </row>
    <row r="185" spans="1:15" s="285" customFormat="1" ht="12" customHeight="1">
      <c r="A185" s="283"/>
      <c r="B185" s="284"/>
      <c r="C185" s="285" t="s">
        <v>5</v>
      </c>
      <c r="D185" s="286">
        <v>51660</v>
      </c>
      <c r="E185" s="286">
        <f t="shared" si="1"/>
        <v>62200</v>
      </c>
      <c r="F185" s="298"/>
      <c r="G185" s="298"/>
      <c r="H185" s="298"/>
      <c r="I185" s="298" t="s">
        <v>313</v>
      </c>
      <c r="J185" s="298">
        <v>62200</v>
      </c>
      <c r="K185" s="298"/>
      <c r="L185" s="298"/>
      <c r="M185" s="298"/>
      <c r="N185" s="299"/>
      <c r="O185" s="313"/>
    </row>
    <row r="186" spans="1:14" s="263" customFormat="1" ht="12" customHeight="1">
      <c r="A186" s="300">
        <v>882112</v>
      </c>
      <c r="B186" s="301" t="s">
        <v>314</v>
      </c>
      <c r="C186" s="302" t="s">
        <v>6</v>
      </c>
      <c r="D186" s="303">
        <v>1170</v>
      </c>
      <c r="E186" s="303">
        <f t="shared" si="1"/>
        <v>1300</v>
      </c>
      <c r="F186" s="303"/>
      <c r="G186" s="303"/>
      <c r="H186" s="303"/>
      <c r="I186" s="303"/>
      <c r="J186" s="303">
        <v>1300</v>
      </c>
      <c r="K186" s="303"/>
      <c r="L186" s="303"/>
      <c r="M186" s="303"/>
      <c r="N186" s="314"/>
    </row>
    <row r="187" spans="1:14" s="263" customFormat="1" ht="12" customHeight="1">
      <c r="A187" s="276"/>
      <c r="B187" s="272"/>
      <c r="C187" s="273" t="s">
        <v>102</v>
      </c>
      <c r="D187" s="274">
        <v>1170</v>
      </c>
      <c r="E187" s="274">
        <f t="shared" si="1"/>
        <v>1300</v>
      </c>
      <c r="F187" s="274"/>
      <c r="G187" s="274"/>
      <c r="H187" s="274"/>
      <c r="I187" s="274"/>
      <c r="J187" s="274">
        <v>1300</v>
      </c>
      <c r="K187" s="274"/>
      <c r="L187" s="274"/>
      <c r="M187" s="274"/>
      <c r="N187" s="275"/>
    </row>
    <row r="188" spans="1:14" s="263" customFormat="1" ht="12" customHeight="1">
      <c r="A188" s="276"/>
      <c r="B188" s="272"/>
      <c r="C188" s="273" t="s">
        <v>5</v>
      </c>
      <c r="D188" s="274">
        <v>1170</v>
      </c>
      <c r="E188" s="274">
        <f t="shared" si="1"/>
        <v>1300</v>
      </c>
      <c r="F188" s="274"/>
      <c r="G188" s="274"/>
      <c r="H188" s="274"/>
      <c r="I188" s="274"/>
      <c r="J188" s="274">
        <v>1300</v>
      </c>
      <c r="K188" s="274"/>
      <c r="L188" s="274"/>
      <c r="M188" s="274"/>
      <c r="N188" s="275"/>
    </row>
    <row r="189" spans="1:14" s="263" customFormat="1" ht="12" customHeight="1">
      <c r="A189" s="276">
        <v>882113</v>
      </c>
      <c r="B189" s="272" t="s">
        <v>315</v>
      </c>
      <c r="C189" s="273" t="s">
        <v>6</v>
      </c>
      <c r="D189" s="274">
        <v>15120</v>
      </c>
      <c r="E189" s="274">
        <f aca="true" t="shared" si="2" ref="E189:E287">SUM(F189:N189)</f>
        <v>16800</v>
      </c>
      <c r="F189" s="274"/>
      <c r="G189" s="274"/>
      <c r="H189" s="274"/>
      <c r="I189" s="274"/>
      <c r="J189" s="274">
        <v>16800</v>
      </c>
      <c r="K189" s="274"/>
      <c r="L189" s="274"/>
      <c r="M189" s="274"/>
      <c r="N189" s="275"/>
    </row>
    <row r="190" spans="1:14" s="263" customFormat="1" ht="12" customHeight="1">
      <c r="A190" s="276"/>
      <c r="B190" s="272"/>
      <c r="C190" s="273" t="s">
        <v>102</v>
      </c>
      <c r="D190" s="274">
        <v>15120</v>
      </c>
      <c r="E190" s="274">
        <f t="shared" si="2"/>
        <v>16800</v>
      </c>
      <c r="F190" s="274"/>
      <c r="G190" s="274"/>
      <c r="H190" s="274"/>
      <c r="I190" s="274"/>
      <c r="J190" s="274">
        <v>16800</v>
      </c>
      <c r="K190" s="274"/>
      <c r="L190" s="274"/>
      <c r="M190" s="274"/>
      <c r="N190" s="275"/>
    </row>
    <row r="191" spans="1:14" s="263" customFormat="1" ht="12" customHeight="1">
      <c r="A191" s="276"/>
      <c r="B191" s="272"/>
      <c r="C191" s="273" t="s">
        <v>5</v>
      </c>
      <c r="D191" s="274">
        <v>15120</v>
      </c>
      <c r="E191" s="274">
        <f t="shared" si="2"/>
        <v>16800</v>
      </c>
      <c r="F191" s="274"/>
      <c r="G191" s="274"/>
      <c r="H191" s="274"/>
      <c r="I191" s="274"/>
      <c r="J191" s="274">
        <v>16800</v>
      </c>
      <c r="K191" s="274"/>
      <c r="L191" s="274"/>
      <c r="M191" s="274"/>
      <c r="N191" s="275"/>
    </row>
    <row r="192" spans="1:14" s="263" customFormat="1" ht="12" customHeight="1">
      <c r="A192" s="276">
        <v>882114</v>
      </c>
      <c r="B192" s="272" t="s">
        <v>316</v>
      </c>
      <c r="C192" s="273" t="s">
        <v>6</v>
      </c>
      <c r="D192" s="274"/>
      <c r="E192" s="274">
        <f t="shared" si="2"/>
        <v>4000</v>
      </c>
      <c r="F192" s="281"/>
      <c r="G192" s="281"/>
      <c r="H192" s="281"/>
      <c r="I192" s="281"/>
      <c r="J192" s="281">
        <v>4000</v>
      </c>
      <c r="K192" s="281"/>
      <c r="L192" s="281"/>
      <c r="M192" s="281"/>
      <c r="N192" s="282"/>
    </row>
    <row r="193" spans="1:14" s="263" customFormat="1" ht="12" customHeight="1">
      <c r="A193" s="276"/>
      <c r="B193" s="272"/>
      <c r="C193" s="273" t="s">
        <v>102</v>
      </c>
      <c r="D193" s="274"/>
      <c r="E193" s="274">
        <f t="shared" si="2"/>
        <v>4000</v>
      </c>
      <c r="F193" s="281"/>
      <c r="G193" s="281"/>
      <c r="H193" s="281"/>
      <c r="I193" s="281"/>
      <c r="J193" s="281">
        <v>4000</v>
      </c>
      <c r="K193" s="281"/>
      <c r="L193" s="281"/>
      <c r="M193" s="281"/>
      <c r="N193" s="282"/>
    </row>
    <row r="194" spans="1:14" s="263" customFormat="1" ht="12" customHeight="1">
      <c r="A194" s="276"/>
      <c r="B194" s="272"/>
      <c r="C194" s="273" t="s">
        <v>5</v>
      </c>
      <c r="D194" s="274"/>
      <c r="E194" s="274">
        <f t="shared" si="2"/>
        <v>4000</v>
      </c>
      <c r="F194" s="281"/>
      <c r="G194" s="281"/>
      <c r="H194" s="281"/>
      <c r="I194" s="281"/>
      <c r="J194" s="281">
        <v>4000</v>
      </c>
      <c r="K194" s="281"/>
      <c r="L194" s="281"/>
      <c r="M194" s="281"/>
      <c r="N194" s="282"/>
    </row>
    <row r="195" spans="1:14" s="263" customFormat="1" ht="12" customHeight="1">
      <c r="A195" s="276">
        <v>882115</v>
      </c>
      <c r="B195" s="272" t="s">
        <v>317</v>
      </c>
      <c r="C195" s="273" t="s">
        <v>6</v>
      </c>
      <c r="D195" s="274">
        <v>26970</v>
      </c>
      <c r="E195" s="274">
        <f t="shared" si="2"/>
        <v>35960</v>
      </c>
      <c r="F195" s="281"/>
      <c r="G195" s="281">
        <v>6960</v>
      </c>
      <c r="H195" s="281"/>
      <c r="I195" s="281"/>
      <c r="J195" s="281">
        <v>29000</v>
      </c>
      <c r="K195" s="281"/>
      <c r="L195" s="281"/>
      <c r="M195" s="281"/>
      <c r="N195" s="282"/>
    </row>
    <row r="196" spans="1:14" s="263" customFormat="1" ht="12" customHeight="1">
      <c r="A196" s="276"/>
      <c r="B196" s="272"/>
      <c r="C196" s="273" t="s">
        <v>102</v>
      </c>
      <c r="D196" s="274">
        <v>26970</v>
      </c>
      <c r="E196" s="274">
        <f t="shared" si="2"/>
        <v>35960</v>
      </c>
      <c r="F196" s="281"/>
      <c r="G196" s="281">
        <v>6960</v>
      </c>
      <c r="H196" s="281"/>
      <c r="I196" s="281"/>
      <c r="J196" s="281">
        <v>29000</v>
      </c>
      <c r="K196" s="281"/>
      <c r="L196" s="281"/>
      <c r="M196" s="281"/>
      <c r="N196" s="282"/>
    </row>
    <row r="197" spans="1:14" s="263" customFormat="1" ht="12" customHeight="1">
      <c r="A197" s="276"/>
      <c r="B197" s="272"/>
      <c r="C197" s="273" t="s">
        <v>5</v>
      </c>
      <c r="D197" s="274">
        <v>26970</v>
      </c>
      <c r="E197" s="274">
        <f t="shared" si="2"/>
        <v>35960</v>
      </c>
      <c r="F197" s="281"/>
      <c r="G197" s="281">
        <v>6960</v>
      </c>
      <c r="H197" s="281"/>
      <c r="I197" s="281"/>
      <c r="J197" s="281">
        <v>29000</v>
      </c>
      <c r="K197" s="281"/>
      <c r="L197" s="281"/>
      <c r="M197" s="281"/>
      <c r="N197" s="282"/>
    </row>
    <row r="198" spans="1:14" s="263" customFormat="1" ht="12" customHeight="1">
      <c r="A198" s="276">
        <v>882116</v>
      </c>
      <c r="B198" s="272" t="s">
        <v>318</v>
      </c>
      <c r="C198" s="273" t="s">
        <v>6</v>
      </c>
      <c r="D198" s="274"/>
      <c r="E198" s="274">
        <f t="shared" si="2"/>
        <v>5080</v>
      </c>
      <c r="F198" s="281"/>
      <c r="G198" s="281">
        <v>1080</v>
      </c>
      <c r="H198" s="281"/>
      <c r="I198" s="281"/>
      <c r="J198" s="281">
        <v>4000</v>
      </c>
      <c r="K198" s="281"/>
      <c r="L198" s="281"/>
      <c r="M198" s="281"/>
      <c r="N198" s="282"/>
    </row>
    <row r="199" spans="1:14" s="263" customFormat="1" ht="12" customHeight="1">
      <c r="A199" s="276"/>
      <c r="B199" s="272"/>
      <c r="C199" s="273" t="s">
        <v>102</v>
      </c>
      <c r="D199" s="274"/>
      <c r="E199" s="274">
        <f t="shared" si="2"/>
        <v>5080</v>
      </c>
      <c r="F199" s="281"/>
      <c r="G199" s="281">
        <v>1080</v>
      </c>
      <c r="H199" s="281"/>
      <c r="I199" s="281"/>
      <c r="J199" s="281">
        <v>4000</v>
      </c>
      <c r="K199" s="281"/>
      <c r="L199" s="281"/>
      <c r="M199" s="281"/>
      <c r="N199" s="282"/>
    </row>
    <row r="200" spans="1:14" s="263" customFormat="1" ht="12" customHeight="1">
      <c r="A200" s="276"/>
      <c r="B200" s="272"/>
      <c r="C200" s="273" t="s">
        <v>5</v>
      </c>
      <c r="D200" s="274"/>
      <c r="E200" s="274">
        <f t="shared" si="2"/>
        <v>5080</v>
      </c>
      <c r="F200" s="281"/>
      <c r="G200" s="281">
        <v>1080</v>
      </c>
      <c r="H200" s="281"/>
      <c r="I200" s="281"/>
      <c r="J200" s="281">
        <v>4000</v>
      </c>
      <c r="K200" s="281"/>
      <c r="L200" s="281"/>
      <c r="M200" s="281"/>
      <c r="N200" s="282"/>
    </row>
    <row r="201" spans="1:14" s="263" customFormat="1" ht="12" customHeight="1">
      <c r="A201" s="276">
        <v>882117</v>
      </c>
      <c r="B201" s="272" t="s">
        <v>319</v>
      </c>
      <c r="C201" s="273" t="s">
        <v>6</v>
      </c>
      <c r="D201" s="274">
        <v>7500</v>
      </c>
      <c r="E201" s="274">
        <f t="shared" si="2"/>
        <v>7500</v>
      </c>
      <c r="F201" s="281"/>
      <c r="G201" s="281"/>
      <c r="H201" s="281"/>
      <c r="I201" s="281"/>
      <c r="J201" s="281">
        <v>7500</v>
      </c>
      <c r="K201" s="281"/>
      <c r="L201" s="281"/>
      <c r="M201" s="281"/>
      <c r="N201" s="282"/>
    </row>
    <row r="202" spans="1:14" s="263" customFormat="1" ht="12" customHeight="1">
      <c r="A202" s="276"/>
      <c r="B202" s="272"/>
      <c r="C202" s="273" t="s">
        <v>102</v>
      </c>
      <c r="D202" s="274">
        <v>7500</v>
      </c>
      <c r="E202" s="274">
        <f t="shared" si="2"/>
        <v>7500</v>
      </c>
      <c r="F202" s="281"/>
      <c r="G202" s="281"/>
      <c r="H202" s="281"/>
      <c r="I202" s="281"/>
      <c r="J202" s="281">
        <v>7500</v>
      </c>
      <c r="K202" s="281"/>
      <c r="L202" s="281"/>
      <c r="M202" s="281"/>
      <c r="N202" s="282"/>
    </row>
    <row r="203" spans="1:14" s="263" customFormat="1" ht="12" customHeight="1">
      <c r="A203" s="276"/>
      <c r="B203" s="272"/>
      <c r="C203" s="273" t="s">
        <v>5</v>
      </c>
      <c r="D203" s="274">
        <v>7500</v>
      </c>
      <c r="E203" s="274">
        <f t="shared" si="2"/>
        <v>7500</v>
      </c>
      <c r="F203" s="281"/>
      <c r="G203" s="281"/>
      <c r="H203" s="281"/>
      <c r="I203" s="281"/>
      <c r="J203" s="281">
        <v>7500</v>
      </c>
      <c r="K203" s="281"/>
      <c r="L203" s="281"/>
      <c r="M203" s="281"/>
      <c r="N203" s="282"/>
    </row>
    <row r="204" spans="1:14" s="263" customFormat="1" ht="12" customHeight="1">
      <c r="A204" s="276">
        <v>882119</v>
      </c>
      <c r="B204" s="272" t="s">
        <v>320</v>
      </c>
      <c r="C204" s="273" t="s">
        <v>6</v>
      </c>
      <c r="D204" s="274">
        <v>300</v>
      </c>
      <c r="E204" s="274">
        <f t="shared" si="2"/>
        <v>300</v>
      </c>
      <c r="F204" s="281"/>
      <c r="G204" s="281"/>
      <c r="H204" s="281"/>
      <c r="I204" s="281"/>
      <c r="J204" s="281">
        <v>300</v>
      </c>
      <c r="K204" s="281"/>
      <c r="L204" s="281"/>
      <c r="M204" s="281"/>
      <c r="N204" s="282"/>
    </row>
    <row r="205" spans="1:14" s="263" customFormat="1" ht="12" customHeight="1">
      <c r="A205" s="276"/>
      <c r="B205" s="272"/>
      <c r="C205" s="273" t="s">
        <v>102</v>
      </c>
      <c r="D205" s="274">
        <v>300</v>
      </c>
      <c r="E205" s="274">
        <f t="shared" si="2"/>
        <v>300</v>
      </c>
      <c r="F205" s="281"/>
      <c r="G205" s="281"/>
      <c r="H205" s="281"/>
      <c r="I205" s="281"/>
      <c r="J205" s="281">
        <v>300</v>
      </c>
      <c r="K205" s="281"/>
      <c r="L205" s="281"/>
      <c r="M205" s="281"/>
      <c r="N205" s="282"/>
    </row>
    <row r="206" spans="1:14" s="263" customFormat="1" ht="12" customHeight="1">
      <c r="A206" s="276"/>
      <c r="B206" s="272"/>
      <c r="C206" s="273" t="s">
        <v>5</v>
      </c>
      <c r="D206" s="274">
        <v>300</v>
      </c>
      <c r="E206" s="274">
        <f t="shared" si="2"/>
        <v>300</v>
      </c>
      <c r="F206" s="281"/>
      <c r="G206" s="281"/>
      <c r="H206" s="281"/>
      <c r="I206" s="281"/>
      <c r="J206" s="281">
        <v>300</v>
      </c>
      <c r="K206" s="281"/>
      <c r="L206" s="281"/>
      <c r="M206" s="281"/>
      <c r="N206" s="282"/>
    </row>
    <row r="207" spans="1:14" s="263" customFormat="1" ht="12" customHeight="1">
      <c r="A207" s="276">
        <v>882122</v>
      </c>
      <c r="B207" s="272" t="s">
        <v>321</v>
      </c>
      <c r="C207" s="273" t="s">
        <v>6</v>
      </c>
      <c r="D207" s="274"/>
      <c r="E207" s="274">
        <f t="shared" si="2"/>
        <v>10515</v>
      </c>
      <c r="F207" s="281"/>
      <c r="G207" s="281"/>
      <c r="H207" s="281"/>
      <c r="I207" s="281"/>
      <c r="J207" s="281">
        <v>10515</v>
      </c>
      <c r="K207" s="281"/>
      <c r="L207" s="281"/>
      <c r="M207" s="281"/>
      <c r="N207" s="282"/>
    </row>
    <row r="208" spans="1:14" s="263" customFormat="1" ht="12" customHeight="1">
      <c r="A208" s="276"/>
      <c r="B208" s="272"/>
      <c r="C208" s="273" t="s">
        <v>102</v>
      </c>
      <c r="D208" s="274"/>
      <c r="E208" s="274">
        <f t="shared" si="2"/>
        <v>10515</v>
      </c>
      <c r="F208" s="281"/>
      <c r="G208" s="281"/>
      <c r="H208" s="281"/>
      <c r="I208" s="281"/>
      <c r="J208" s="281">
        <v>10515</v>
      </c>
      <c r="K208" s="281"/>
      <c r="L208" s="281"/>
      <c r="M208" s="281"/>
      <c r="N208" s="282"/>
    </row>
    <row r="209" spans="1:14" s="263" customFormat="1" ht="12" customHeight="1">
      <c r="A209" s="276"/>
      <c r="B209" s="272"/>
      <c r="C209" s="273" t="s">
        <v>5</v>
      </c>
      <c r="D209" s="274"/>
      <c r="E209" s="274">
        <f t="shared" si="2"/>
        <v>16315</v>
      </c>
      <c r="F209" s="281"/>
      <c r="G209" s="281"/>
      <c r="H209" s="281"/>
      <c r="I209" s="281"/>
      <c r="J209" s="281">
        <v>16315</v>
      </c>
      <c r="K209" s="281"/>
      <c r="L209" s="281"/>
      <c r="M209" s="281"/>
      <c r="N209" s="282"/>
    </row>
    <row r="210" spans="1:14" s="263" customFormat="1" ht="12" customHeight="1">
      <c r="A210" s="276">
        <v>882123</v>
      </c>
      <c r="B210" s="272" t="s">
        <v>322</v>
      </c>
      <c r="C210" s="273" t="s">
        <v>6</v>
      </c>
      <c r="D210" s="274"/>
      <c r="E210" s="274">
        <f t="shared" si="2"/>
        <v>2100</v>
      </c>
      <c r="F210" s="281"/>
      <c r="G210" s="281"/>
      <c r="H210" s="281"/>
      <c r="I210" s="281"/>
      <c r="J210" s="281">
        <v>2100</v>
      </c>
      <c r="K210" s="281"/>
      <c r="L210" s="281"/>
      <c r="M210" s="281"/>
      <c r="N210" s="282"/>
    </row>
    <row r="211" spans="1:14" s="263" customFormat="1" ht="12" customHeight="1">
      <c r="A211" s="276"/>
      <c r="B211" s="272"/>
      <c r="C211" s="273" t="s">
        <v>102</v>
      </c>
      <c r="D211" s="274"/>
      <c r="E211" s="274">
        <f t="shared" si="2"/>
        <v>2100</v>
      </c>
      <c r="F211" s="281"/>
      <c r="G211" s="281"/>
      <c r="H211" s="281"/>
      <c r="I211" s="281"/>
      <c r="J211" s="281">
        <v>2100</v>
      </c>
      <c r="K211" s="281"/>
      <c r="L211" s="281"/>
      <c r="M211" s="281"/>
      <c r="N211" s="282"/>
    </row>
    <row r="212" spans="1:14" s="263" customFormat="1" ht="12" customHeight="1">
      <c r="A212" s="276"/>
      <c r="B212" s="272"/>
      <c r="C212" s="273" t="s">
        <v>5</v>
      </c>
      <c r="D212" s="274"/>
      <c r="E212" s="274">
        <f t="shared" si="2"/>
        <v>2100</v>
      </c>
      <c r="F212" s="281"/>
      <c r="G212" s="281"/>
      <c r="H212" s="281"/>
      <c r="I212" s="281"/>
      <c r="J212" s="281">
        <v>2100</v>
      </c>
      <c r="K212" s="281"/>
      <c r="L212" s="281"/>
      <c r="M212" s="281"/>
      <c r="N212" s="282"/>
    </row>
    <row r="213" spans="1:14" s="263" customFormat="1" ht="12" customHeight="1">
      <c r="A213" s="276">
        <v>882124</v>
      </c>
      <c r="B213" s="272" t="s">
        <v>323</v>
      </c>
      <c r="C213" s="273" t="s">
        <v>6</v>
      </c>
      <c r="D213" s="274"/>
      <c r="E213" s="274">
        <f t="shared" si="2"/>
        <v>2000</v>
      </c>
      <c r="F213" s="281"/>
      <c r="G213" s="281"/>
      <c r="H213" s="281"/>
      <c r="I213" s="281"/>
      <c r="J213" s="281">
        <v>2000</v>
      </c>
      <c r="K213" s="281"/>
      <c r="L213" s="281"/>
      <c r="M213" s="281"/>
      <c r="N213" s="282"/>
    </row>
    <row r="214" spans="1:14" s="263" customFormat="1" ht="12" customHeight="1">
      <c r="A214" s="276"/>
      <c r="B214" s="272"/>
      <c r="C214" s="273" t="s">
        <v>102</v>
      </c>
      <c r="D214" s="274"/>
      <c r="E214" s="274">
        <f t="shared" si="2"/>
        <v>27000</v>
      </c>
      <c r="F214" s="281"/>
      <c r="G214" s="281"/>
      <c r="H214" s="281"/>
      <c r="I214" s="281"/>
      <c r="J214" s="281">
        <v>27000</v>
      </c>
      <c r="K214" s="281"/>
      <c r="L214" s="281"/>
      <c r="M214" s="281"/>
      <c r="N214" s="282"/>
    </row>
    <row r="215" spans="1:14" s="263" customFormat="1" ht="12" customHeight="1">
      <c r="A215" s="276"/>
      <c r="B215" s="272"/>
      <c r="C215" s="273" t="s">
        <v>5</v>
      </c>
      <c r="D215" s="274"/>
      <c r="E215" s="274">
        <f t="shared" si="2"/>
        <v>27600</v>
      </c>
      <c r="F215" s="281"/>
      <c r="G215" s="281"/>
      <c r="H215" s="281"/>
      <c r="I215" s="281"/>
      <c r="J215" s="281">
        <v>27600</v>
      </c>
      <c r="K215" s="281"/>
      <c r="L215" s="281"/>
      <c r="M215" s="281"/>
      <c r="N215" s="282"/>
    </row>
    <row r="216" spans="1:14" s="263" customFormat="1" ht="12" customHeight="1">
      <c r="A216" s="276">
        <v>882125</v>
      </c>
      <c r="B216" s="272" t="s">
        <v>324</v>
      </c>
      <c r="C216" s="273" t="s">
        <v>6</v>
      </c>
      <c r="D216" s="274">
        <v>1500</v>
      </c>
      <c r="E216" s="274">
        <f t="shared" si="2"/>
        <v>1500</v>
      </c>
      <c r="F216" s="281"/>
      <c r="G216" s="281"/>
      <c r="H216" s="281"/>
      <c r="I216" s="281"/>
      <c r="J216" s="281">
        <v>1500</v>
      </c>
      <c r="K216" s="281"/>
      <c r="L216" s="281"/>
      <c r="M216" s="281"/>
      <c r="N216" s="282"/>
    </row>
    <row r="217" spans="1:14" s="263" customFormat="1" ht="12" customHeight="1">
      <c r="A217" s="276"/>
      <c r="B217" s="272"/>
      <c r="C217" s="273" t="s">
        <v>102</v>
      </c>
      <c r="D217" s="274">
        <v>1500</v>
      </c>
      <c r="E217" s="274">
        <f t="shared" si="2"/>
        <v>1500</v>
      </c>
      <c r="F217" s="281"/>
      <c r="G217" s="281"/>
      <c r="H217" s="281"/>
      <c r="I217" s="281"/>
      <c r="J217" s="281">
        <v>1500</v>
      </c>
      <c r="K217" s="281"/>
      <c r="L217" s="281"/>
      <c r="M217" s="281"/>
      <c r="N217" s="282"/>
    </row>
    <row r="218" spans="1:14" s="263" customFormat="1" ht="12" customHeight="1">
      <c r="A218" s="276"/>
      <c r="B218" s="272"/>
      <c r="C218" s="273" t="s">
        <v>5</v>
      </c>
      <c r="D218" s="274">
        <v>1500</v>
      </c>
      <c r="E218" s="274">
        <f t="shared" si="2"/>
        <v>1500</v>
      </c>
      <c r="F218" s="281"/>
      <c r="G218" s="281"/>
      <c r="H218" s="281"/>
      <c r="I218" s="281"/>
      <c r="J218" s="281">
        <v>1500</v>
      </c>
      <c r="K218" s="281"/>
      <c r="L218" s="281"/>
      <c r="M218" s="281"/>
      <c r="N218" s="282"/>
    </row>
    <row r="219" spans="1:14" s="263" customFormat="1" ht="12" customHeight="1">
      <c r="A219" s="276">
        <v>882129</v>
      </c>
      <c r="B219" s="272" t="s">
        <v>325</v>
      </c>
      <c r="C219" s="273" t="s">
        <v>6</v>
      </c>
      <c r="D219" s="274"/>
      <c r="E219" s="274">
        <f t="shared" si="2"/>
        <v>5296</v>
      </c>
      <c r="F219" s="281">
        <v>3696</v>
      </c>
      <c r="G219" s="281">
        <v>1020</v>
      </c>
      <c r="H219" s="281">
        <v>580</v>
      </c>
      <c r="I219" s="281"/>
      <c r="J219" s="281"/>
      <c r="K219" s="281"/>
      <c r="L219" s="281"/>
      <c r="M219" s="295"/>
      <c r="N219" s="282"/>
    </row>
    <row r="220" spans="1:14" s="263" customFormat="1" ht="12" customHeight="1">
      <c r="A220" s="276"/>
      <c r="B220" s="272"/>
      <c r="C220" s="273" t="s">
        <v>102</v>
      </c>
      <c r="D220" s="274"/>
      <c r="E220" s="274">
        <f t="shared" si="2"/>
        <v>5296</v>
      </c>
      <c r="F220" s="281">
        <v>3696</v>
      </c>
      <c r="G220" s="281">
        <v>1020</v>
      </c>
      <c r="H220" s="281">
        <v>580</v>
      </c>
      <c r="I220" s="281"/>
      <c r="J220" s="281"/>
      <c r="K220" s="281"/>
      <c r="L220" s="281"/>
      <c r="M220" s="295"/>
      <c r="N220" s="282"/>
    </row>
    <row r="221" spans="1:14" s="263" customFormat="1" ht="12" customHeight="1">
      <c r="A221" s="276"/>
      <c r="B221" s="272"/>
      <c r="C221" s="273" t="s">
        <v>5</v>
      </c>
      <c r="D221" s="274"/>
      <c r="E221" s="274">
        <f t="shared" si="2"/>
        <v>5296</v>
      </c>
      <c r="F221" s="281">
        <v>3696</v>
      </c>
      <c r="G221" s="281">
        <v>1020</v>
      </c>
      <c r="H221" s="281">
        <v>580</v>
      </c>
      <c r="I221" s="281"/>
      <c r="J221" s="281"/>
      <c r="K221" s="281"/>
      <c r="L221" s="281"/>
      <c r="M221" s="295"/>
      <c r="N221" s="282"/>
    </row>
    <row r="222" spans="1:14" s="263" customFormat="1" ht="12" customHeight="1">
      <c r="A222" s="276">
        <v>882129</v>
      </c>
      <c r="B222" s="272" t="s">
        <v>326</v>
      </c>
      <c r="C222" s="273" t="s">
        <v>6</v>
      </c>
      <c r="D222" s="274"/>
      <c r="E222" s="274">
        <f t="shared" si="2"/>
        <v>200</v>
      </c>
      <c r="F222" s="281"/>
      <c r="G222" s="281"/>
      <c r="H222" s="281"/>
      <c r="I222" s="281"/>
      <c r="J222" s="281">
        <v>200</v>
      </c>
      <c r="K222" s="281"/>
      <c r="L222" s="281"/>
      <c r="M222" s="281"/>
      <c r="N222" s="282"/>
    </row>
    <row r="223" spans="1:14" s="263" customFormat="1" ht="12" customHeight="1">
      <c r="A223" s="276"/>
      <c r="B223" s="272"/>
      <c r="C223" s="273" t="s">
        <v>102</v>
      </c>
      <c r="D223" s="274"/>
      <c r="E223" s="274">
        <f t="shared" si="2"/>
        <v>200</v>
      </c>
      <c r="F223" s="281"/>
      <c r="G223" s="281"/>
      <c r="H223" s="281"/>
      <c r="I223" s="281"/>
      <c r="J223" s="281">
        <v>200</v>
      </c>
      <c r="K223" s="281"/>
      <c r="L223" s="281"/>
      <c r="M223" s="281"/>
      <c r="N223" s="282"/>
    </row>
    <row r="224" spans="1:14" s="263" customFormat="1" ht="12" customHeight="1">
      <c r="A224" s="276"/>
      <c r="B224" s="272"/>
      <c r="C224" s="273" t="s">
        <v>5</v>
      </c>
      <c r="D224" s="274"/>
      <c r="E224" s="274">
        <f t="shared" si="2"/>
        <v>200</v>
      </c>
      <c r="F224" s="281"/>
      <c r="G224" s="281"/>
      <c r="H224" s="281"/>
      <c r="I224" s="281"/>
      <c r="J224" s="281">
        <v>200</v>
      </c>
      <c r="K224" s="281"/>
      <c r="L224" s="281"/>
      <c r="M224" s="281"/>
      <c r="N224" s="282"/>
    </row>
    <row r="225" spans="1:14" s="263" customFormat="1" ht="12" customHeight="1">
      <c r="A225" s="276">
        <v>882201</v>
      </c>
      <c r="B225" s="272" t="s">
        <v>327</v>
      </c>
      <c r="C225" s="273" t="s">
        <v>6</v>
      </c>
      <c r="D225" s="274">
        <v>4500</v>
      </c>
      <c r="E225" s="274">
        <f t="shared" si="2"/>
        <v>5000</v>
      </c>
      <c r="F225" s="281"/>
      <c r="G225" s="281"/>
      <c r="H225" s="281"/>
      <c r="I225" s="281"/>
      <c r="J225" s="281">
        <v>5000</v>
      </c>
      <c r="K225" s="281"/>
      <c r="L225" s="281"/>
      <c r="M225" s="281"/>
      <c r="N225" s="282"/>
    </row>
    <row r="226" spans="1:14" s="263" customFormat="1" ht="12" customHeight="1">
      <c r="A226" s="276"/>
      <c r="B226" s="272"/>
      <c r="C226" s="273" t="s">
        <v>102</v>
      </c>
      <c r="D226" s="274">
        <v>4500</v>
      </c>
      <c r="E226" s="274">
        <f t="shared" si="2"/>
        <v>5000</v>
      </c>
      <c r="F226" s="281"/>
      <c r="G226" s="281"/>
      <c r="H226" s="281"/>
      <c r="I226" s="281"/>
      <c r="J226" s="281">
        <v>5000</v>
      </c>
      <c r="K226" s="281"/>
      <c r="L226" s="281"/>
      <c r="M226" s="281"/>
      <c r="N226" s="282"/>
    </row>
    <row r="227" spans="1:14" s="263" customFormat="1" ht="12" customHeight="1">
      <c r="A227" s="276"/>
      <c r="B227" s="272"/>
      <c r="C227" s="273" t="s">
        <v>5</v>
      </c>
      <c r="D227" s="274">
        <v>4500</v>
      </c>
      <c r="E227" s="274">
        <f t="shared" si="2"/>
        <v>5000</v>
      </c>
      <c r="F227" s="281"/>
      <c r="G227" s="281"/>
      <c r="H227" s="281"/>
      <c r="I227" s="281"/>
      <c r="J227" s="281">
        <v>5000</v>
      </c>
      <c r="K227" s="281"/>
      <c r="L227" s="281"/>
      <c r="M227" s="281"/>
      <c r="N227" s="282"/>
    </row>
    <row r="228" spans="1:14" s="263" customFormat="1" ht="12" customHeight="1">
      <c r="A228" s="276">
        <v>882202</v>
      </c>
      <c r="B228" s="272" t="s">
        <v>328</v>
      </c>
      <c r="C228" s="273" t="s">
        <v>6</v>
      </c>
      <c r="D228" s="274"/>
      <c r="E228" s="274">
        <f t="shared" si="2"/>
        <v>1000</v>
      </c>
      <c r="F228" s="281"/>
      <c r="G228" s="281"/>
      <c r="H228" s="281"/>
      <c r="I228" s="281"/>
      <c r="J228" s="281">
        <v>1000</v>
      </c>
      <c r="K228" s="281"/>
      <c r="L228" s="281"/>
      <c r="M228" s="281"/>
      <c r="N228" s="282"/>
    </row>
    <row r="229" spans="1:14" s="263" customFormat="1" ht="12" customHeight="1">
      <c r="A229" s="276"/>
      <c r="B229" s="272"/>
      <c r="C229" s="273" t="s">
        <v>102</v>
      </c>
      <c r="D229" s="274"/>
      <c r="E229" s="274">
        <f t="shared" si="2"/>
        <v>3000</v>
      </c>
      <c r="F229" s="281"/>
      <c r="G229" s="281"/>
      <c r="H229" s="281"/>
      <c r="I229" s="281"/>
      <c r="J229" s="281">
        <v>3000</v>
      </c>
      <c r="K229" s="281"/>
      <c r="L229" s="281"/>
      <c r="M229" s="281"/>
      <c r="N229" s="282"/>
    </row>
    <row r="230" spans="1:14" s="263" customFormat="1" ht="12" customHeight="1">
      <c r="A230" s="276"/>
      <c r="B230" s="272"/>
      <c r="C230" s="273" t="s">
        <v>5</v>
      </c>
      <c r="D230" s="274"/>
      <c r="E230" s="274">
        <f t="shared" si="2"/>
        <v>3000</v>
      </c>
      <c r="F230" s="281"/>
      <c r="G230" s="281"/>
      <c r="H230" s="281"/>
      <c r="I230" s="281"/>
      <c r="J230" s="281">
        <v>3000</v>
      </c>
      <c r="K230" s="281"/>
      <c r="L230" s="281"/>
      <c r="M230" s="281"/>
      <c r="N230" s="282"/>
    </row>
    <row r="231" spans="1:14" s="263" customFormat="1" ht="12" customHeight="1">
      <c r="A231" s="276">
        <v>882203</v>
      </c>
      <c r="B231" s="272" t="s">
        <v>329</v>
      </c>
      <c r="C231" s="273" t="s">
        <v>6</v>
      </c>
      <c r="D231" s="274"/>
      <c r="E231" s="274">
        <f t="shared" si="2"/>
        <v>1200</v>
      </c>
      <c r="F231" s="281"/>
      <c r="G231" s="281"/>
      <c r="H231" s="281"/>
      <c r="I231" s="281"/>
      <c r="J231" s="281">
        <v>1200</v>
      </c>
      <c r="K231" s="281"/>
      <c r="L231" s="281"/>
      <c r="M231" s="281"/>
      <c r="N231" s="282"/>
    </row>
    <row r="232" spans="1:14" s="263" customFormat="1" ht="12" customHeight="1">
      <c r="A232" s="276"/>
      <c r="B232" s="272"/>
      <c r="C232" s="273" t="s">
        <v>102</v>
      </c>
      <c r="D232" s="274"/>
      <c r="E232" s="274">
        <f t="shared" si="2"/>
        <v>1200</v>
      </c>
      <c r="F232" s="281"/>
      <c r="G232" s="281"/>
      <c r="H232" s="281"/>
      <c r="I232" s="281"/>
      <c r="J232" s="281">
        <v>1200</v>
      </c>
      <c r="K232" s="281"/>
      <c r="L232" s="281"/>
      <c r="M232" s="281"/>
      <c r="N232" s="282"/>
    </row>
    <row r="233" spans="1:14" s="263" customFormat="1" ht="12" customHeight="1">
      <c r="A233" s="276"/>
      <c r="B233" s="272"/>
      <c r="C233" s="273" t="s">
        <v>5</v>
      </c>
      <c r="D233" s="274"/>
      <c r="E233" s="274">
        <f t="shared" si="2"/>
        <v>1200</v>
      </c>
      <c r="F233" s="281"/>
      <c r="G233" s="281"/>
      <c r="H233" s="281"/>
      <c r="I233" s="281"/>
      <c r="J233" s="281">
        <v>1200</v>
      </c>
      <c r="K233" s="281"/>
      <c r="L233" s="281"/>
      <c r="M233" s="281"/>
      <c r="N233" s="282"/>
    </row>
    <row r="234" spans="1:14" s="263" customFormat="1" ht="12" customHeight="1">
      <c r="A234" s="276">
        <v>889101</v>
      </c>
      <c r="B234" s="272" t="s">
        <v>330</v>
      </c>
      <c r="C234" s="273" t="s">
        <v>6</v>
      </c>
      <c r="D234" s="274">
        <v>39686</v>
      </c>
      <c r="E234" s="274">
        <f t="shared" si="2"/>
        <v>66352</v>
      </c>
      <c r="F234" s="281"/>
      <c r="G234" s="281"/>
      <c r="H234" s="281"/>
      <c r="I234" s="281">
        <v>7000</v>
      </c>
      <c r="J234" s="281"/>
      <c r="K234" s="281"/>
      <c r="L234" s="281">
        <v>59352</v>
      </c>
      <c r="M234" s="281"/>
      <c r="N234" s="282"/>
    </row>
    <row r="235" spans="1:14" s="263" customFormat="1" ht="12" customHeight="1">
      <c r="A235" s="276"/>
      <c r="B235" s="272"/>
      <c r="C235" s="273" t="s">
        <v>102</v>
      </c>
      <c r="D235" s="274">
        <v>39686</v>
      </c>
      <c r="E235" s="274">
        <f t="shared" si="2"/>
        <v>67452</v>
      </c>
      <c r="F235" s="281"/>
      <c r="G235" s="281"/>
      <c r="H235" s="281"/>
      <c r="I235" s="281">
        <v>7000</v>
      </c>
      <c r="J235" s="281"/>
      <c r="K235" s="281"/>
      <c r="L235" s="281">
        <v>60452</v>
      </c>
      <c r="M235" s="281"/>
      <c r="N235" s="282"/>
    </row>
    <row r="236" spans="1:14" s="263" customFormat="1" ht="12" customHeight="1">
      <c r="A236" s="276"/>
      <c r="B236" s="272"/>
      <c r="C236" s="273" t="s">
        <v>5</v>
      </c>
      <c r="D236" s="274">
        <v>39686</v>
      </c>
      <c r="E236" s="274">
        <f t="shared" si="2"/>
        <v>67452</v>
      </c>
      <c r="F236" s="281">
        <v>777</v>
      </c>
      <c r="G236" s="281">
        <v>189</v>
      </c>
      <c r="H236" s="281"/>
      <c r="I236" s="281">
        <v>7000</v>
      </c>
      <c r="J236" s="281"/>
      <c r="K236" s="281"/>
      <c r="L236" s="281">
        <v>59486</v>
      </c>
      <c r="M236" s="281"/>
      <c r="N236" s="282"/>
    </row>
    <row r="237" spans="1:14" s="263" customFormat="1" ht="12" customHeight="1">
      <c r="A237" s="276">
        <v>889102</v>
      </c>
      <c r="B237" s="272" t="s">
        <v>331</v>
      </c>
      <c r="C237" s="273" t="s">
        <v>6</v>
      </c>
      <c r="D237" s="274"/>
      <c r="E237" s="274">
        <f t="shared" si="2"/>
        <v>0</v>
      </c>
      <c r="F237" s="281"/>
      <c r="G237" s="281"/>
      <c r="H237" s="281"/>
      <c r="I237" s="281"/>
      <c r="J237" s="281"/>
      <c r="K237" s="281"/>
      <c r="L237" s="281"/>
      <c r="M237" s="281"/>
      <c r="N237" s="282"/>
    </row>
    <row r="238" spans="1:14" s="263" customFormat="1" ht="12" customHeight="1">
      <c r="A238" s="276"/>
      <c r="B238" s="272"/>
      <c r="C238" s="273" t="s">
        <v>102</v>
      </c>
      <c r="D238" s="274"/>
      <c r="E238" s="274">
        <f t="shared" si="2"/>
        <v>0</v>
      </c>
      <c r="F238" s="281"/>
      <c r="G238" s="281"/>
      <c r="H238" s="281"/>
      <c r="I238" s="281"/>
      <c r="J238" s="281"/>
      <c r="K238" s="281"/>
      <c r="L238" s="281"/>
      <c r="M238" s="281"/>
      <c r="N238" s="282"/>
    </row>
    <row r="239" spans="1:14" s="263" customFormat="1" ht="12" customHeight="1">
      <c r="A239" s="276"/>
      <c r="B239" s="272"/>
      <c r="C239" s="273" t="s">
        <v>5</v>
      </c>
      <c r="D239" s="274"/>
      <c r="E239" s="274">
        <f t="shared" si="2"/>
        <v>0</v>
      </c>
      <c r="F239" s="281"/>
      <c r="G239" s="281"/>
      <c r="H239" s="281"/>
      <c r="I239" s="281"/>
      <c r="J239" s="281"/>
      <c r="K239" s="281"/>
      <c r="L239" s="281"/>
      <c r="M239" s="281"/>
      <c r="N239" s="282"/>
    </row>
    <row r="240" spans="1:14" s="263" customFormat="1" ht="12" customHeight="1">
      <c r="A240" s="276">
        <v>889922</v>
      </c>
      <c r="B240" s="272" t="s">
        <v>332</v>
      </c>
      <c r="C240" s="273" t="s">
        <v>6</v>
      </c>
      <c r="D240" s="274">
        <v>2450</v>
      </c>
      <c r="E240" s="274">
        <f>SUM(F240:N240)</f>
        <v>0</v>
      </c>
      <c r="F240" s="281"/>
      <c r="G240" s="281"/>
      <c r="H240" s="281"/>
      <c r="I240" s="281"/>
      <c r="J240" s="281"/>
      <c r="K240" s="281"/>
      <c r="L240" s="281"/>
      <c r="M240" s="281"/>
      <c r="N240" s="282"/>
    </row>
    <row r="241" spans="1:14" s="263" customFormat="1" ht="12" customHeight="1">
      <c r="A241" s="308"/>
      <c r="B241" s="309"/>
      <c r="C241" s="294" t="s">
        <v>102</v>
      </c>
      <c r="D241" s="310">
        <v>3338</v>
      </c>
      <c r="E241" s="310">
        <f>SUM(F241:N241)</f>
        <v>388</v>
      </c>
      <c r="F241" s="311"/>
      <c r="G241" s="311"/>
      <c r="H241" s="311">
        <v>388</v>
      </c>
      <c r="I241" s="311"/>
      <c r="J241" s="311"/>
      <c r="K241" s="311"/>
      <c r="L241" s="311"/>
      <c r="M241" s="311"/>
      <c r="N241" s="312"/>
    </row>
    <row r="242" spans="1:15" s="285" customFormat="1" ht="12" customHeight="1">
      <c r="A242" s="283"/>
      <c r="B242" s="284"/>
      <c r="C242" s="285" t="s">
        <v>5</v>
      </c>
      <c r="D242" s="286">
        <v>3338</v>
      </c>
      <c r="E242" s="286">
        <f>SUM(F242:N242)</f>
        <v>388</v>
      </c>
      <c r="F242" s="298"/>
      <c r="G242" s="298"/>
      <c r="H242" s="298">
        <v>388</v>
      </c>
      <c r="I242" s="298"/>
      <c r="J242" s="298"/>
      <c r="K242" s="298"/>
      <c r="L242" s="298"/>
      <c r="M242" s="298"/>
      <c r="N242" s="299"/>
      <c r="O242" s="313"/>
    </row>
    <row r="243" spans="1:14" s="263" customFormat="1" ht="12" customHeight="1">
      <c r="A243" s="300">
        <v>889925</v>
      </c>
      <c r="B243" s="301" t="s">
        <v>333</v>
      </c>
      <c r="C243" s="302" t="s">
        <v>6</v>
      </c>
      <c r="D243" s="303">
        <v>17002</v>
      </c>
      <c r="E243" s="303">
        <f t="shared" si="2"/>
        <v>0</v>
      </c>
      <c r="F243" s="304"/>
      <c r="G243" s="304"/>
      <c r="H243" s="304"/>
      <c r="I243" s="304"/>
      <c r="J243" s="304"/>
      <c r="K243" s="304"/>
      <c r="L243" s="304"/>
      <c r="M243" s="304"/>
      <c r="N243" s="305"/>
    </row>
    <row r="244" spans="1:14" s="263" customFormat="1" ht="12" customHeight="1">
      <c r="A244" s="276"/>
      <c r="B244" s="272"/>
      <c r="C244" s="273" t="s">
        <v>102</v>
      </c>
      <c r="D244" s="274">
        <v>17200</v>
      </c>
      <c r="E244" s="274">
        <f t="shared" si="2"/>
        <v>400</v>
      </c>
      <c r="F244" s="281"/>
      <c r="G244" s="281"/>
      <c r="H244" s="281">
        <v>400</v>
      </c>
      <c r="I244" s="281"/>
      <c r="J244" s="281"/>
      <c r="K244" s="281"/>
      <c r="L244" s="281"/>
      <c r="M244" s="281"/>
      <c r="N244" s="282"/>
    </row>
    <row r="245" spans="1:14" s="263" customFormat="1" ht="12" customHeight="1">
      <c r="A245" s="276"/>
      <c r="B245" s="272"/>
      <c r="C245" s="273" t="s">
        <v>5</v>
      </c>
      <c r="D245" s="274">
        <v>17200</v>
      </c>
      <c r="E245" s="274">
        <f t="shared" si="2"/>
        <v>400</v>
      </c>
      <c r="F245" s="281"/>
      <c r="G245" s="281"/>
      <c r="H245" s="281">
        <v>400</v>
      </c>
      <c r="I245" s="281"/>
      <c r="J245" s="281"/>
      <c r="K245" s="281"/>
      <c r="L245" s="281"/>
      <c r="M245" s="281"/>
      <c r="N245" s="282"/>
    </row>
    <row r="246" spans="1:14" s="263" customFormat="1" ht="12" customHeight="1">
      <c r="A246" s="276">
        <v>889926</v>
      </c>
      <c r="B246" s="272" t="s">
        <v>334</v>
      </c>
      <c r="C246" s="273" t="s">
        <v>6</v>
      </c>
      <c r="D246" s="274">
        <v>133177</v>
      </c>
      <c r="E246" s="274">
        <f t="shared" si="2"/>
        <v>152610</v>
      </c>
      <c r="F246" s="281"/>
      <c r="G246" s="281"/>
      <c r="H246" s="281"/>
      <c r="I246" s="281">
        <v>6267</v>
      </c>
      <c r="J246" s="281"/>
      <c r="K246" s="281"/>
      <c r="L246" s="281">
        <v>146343</v>
      </c>
      <c r="M246" s="295"/>
      <c r="N246" s="282"/>
    </row>
    <row r="247" spans="1:14" s="263" customFormat="1" ht="12" customHeight="1">
      <c r="A247" s="276"/>
      <c r="B247" s="272"/>
      <c r="C247" s="273" t="s">
        <v>102</v>
      </c>
      <c r="D247" s="274">
        <v>133392</v>
      </c>
      <c r="E247" s="274">
        <f t="shared" si="2"/>
        <v>152825</v>
      </c>
      <c r="F247" s="281"/>
      <c r="G247" s="281"/>
      <c r="H247" s="281">
        <v>215</v>
      </c>
      <c r="I247" s="281">
        <v>6267</v>
      </c>
      <c r="J247" s="281"/>
      <c r="K247" s="281"/>
      <c r="L247" s="281">
        <v>146343</v>
      </c>
      <c r="M247" s="295"/>
      <c r="N247" s="282"/>
    </row>
    <row r="248" spans="1:14" s="263" customFormat="1" ht="12" customHeight="1">
      <c r="A248" s="276"/>
      <c r="B248" s="272"/>
      <c r="C248" s="273" t="s">
        <v>5</v>
      </c>
      <c r="D248" s="274">
        <v>133392</v>
      </c>
      <c r="E248" s="274">
        <f t="shared" si="2"/>
        <v>146558</v>
      </c>
      <c r="F248" s="281">
        <v>2260</v>
      </c>
      <c r="G248" s="281">
        <v>549</v>
      </c>
      <c r="H248" s="281">
        <v>215</v>
      </c>
      <c r="I248" s="281">
        <v>0</v>
      </c>
      <c r="J248" s="281"/>
      <c r="K248" s="281"/>
      <c r="L248" s="281">
        <v>143534</v>
      </c>
      <c r="M248" s="295"/>
      <c r="N248" s="282"/>
    </row>
    <row r="249" spans="1:14" s="263" customFormat="1" ht="12" customHeight="1">
      <c r="A249" s="276">
        <v>889935</v>
      </c>
      <c r="B249" s="272" t="s">
        <v>335</v>
      </c>
      <c r="C249" s="273" t="s">
        <v>6</v>
      </c>
      <c r="D249" s="274">
        <v>1710</v>
      </c>
      <c r="E249" s="274">
        <f t="shared" si="2"/>
        <v>0</v>
      </c>
      <c r="F249" s="281"/>
      <c r="G249" s="281"/>
      <c r="H249" s="281"/>
      <c r="I249" s="281"/>
      <c r="J249" s="281"/>
      <c r="K249" s="281"/>
      <c r="L249" s="281"/>
      <c r="M249" s="295"/>
      <c r="N249" s="282"/>
    </row>
    <row r="250" spans="1:14" s="263" customFormat="1" ht="12" customHeight="1">
      <c r="A250" s="276"/>
      <c r="B250" s="272"/>
      <c r="C250" s="273" t="s">
        <v>102</v>
      </c>
      <c r="D250" s="274">
        <v>1710</v>
      </c>
      <c r="E250" s="274">
        <f t="shared" si="2"/>
        <v>0</v>
      </c>
      <c r="F250" s="281"/>
      <c r="G250" s="281"/>
      <c r="H250" s="281"/>
      <c r="I250" s="281"/>
      <c r="J250" s="281"/>
      <c r="K250" s="281"/>
      <c r="L250" s="281"/>
      <c r="M250" s="295"/>
      <c r="N250" s="282"/>
    </row>
    <row r="251" spans="1:14" s="263" customFormat="1" ht="12" customHeight="1">
      <c r="A251" s="276"/>
      <c r="B251" s="272"/>
      <c r="C251" s="273" t="s">
        <v>5</v>
      </c>
      <c r="D251" s="274">
        <v>1710</v>
      </c>
      <c r="E251" s="274">
        <f t="shared" si="2"/>
        <v>0</v>
      </c>
      <c r="F251" s="281"/>
      <c r="G251" s="281"/>
      <c r="H251" s="281"/>
      <c r="I251" s="281"/>
      <c r="J251" s="281"/>
      <c r="K251" s="281"/>
      <c r="L251" s="281"/>
      <c r="M251" s="295"/>
      <c r="N251" s="282"/>
    </row>
    <row r="252" spans="1:14" s="263" customFormat="1" ht="12" customHeight="1">
      <c r="A252" s="276">
        <v>889942</v>
      </c>
      <c r="B252" s="272" t="s">
        <v>336</v>
      </c>
      <c r="C252" s="273" t="s">
        <v>6</v>
      </c>
      <c r="D252" s="274">
        <v>2500</v>
      </c>
      <c r="E252" s="274">
        <f t="shared" si="2"/>
        <v>6300</v>
      </c>
      <c r="F252" s="274"/>
      <c r="G252" s="274"/>
      <c r="H252" s="274"/>
      <c r="I252" s="274">
        <v>1000</v>
      </c>
      <c r="J252" s="274"/>
      <c r="K252" s="274"/>
      <c r="L252" s="274"/>
      <c r="M252" s="274">
        <v>5300</v>
      </c>
      <c r="N252" s="275"/>
    </row>
    <row r="253" spans="1:14" s="263" customFormat="1" ht="12" customHeight="1">
      <c r="A253" s="276"/>
      <c r="B253" s="272"/>
      <c r="C253" s="273" t="s">
        <v>102</v>
      </c>
      <c r="D253" s="274">
        <v>2500</v>
      </c>
      <c r="E253" s="274">
        <f t="shared" si="2"/>
        <v>4300</v>
      </c>
      <c r="F253" s="274"/>
      <c r="G253" s="274"/>
      <c r="H253" s="274"/>
      <c r="I253" s="274">
        <v>1000</v>
      </c>
      <c r="J253" s="274"/>
      <c r="K253" s="274"/>
      <c r="L253" s="274"/>
      <c r="M253" s="274">
        <v>3300</v>
      </c>
      <c r="N253" s="275"/>
    </row>
    <row r="254" spans="1:14" s="263" customFormat="1" ht="12" customHeight="1">
      <c r="A254" s="276"/>
      <c r="B254" s="272"/>
      <c r="C254" s="273" t="s">
        <v>5</v>
      </c>
      <c r="D254" s="274">
        <v>2500</v>
      </c>
      <c r="E254" s="274">
        <f t="shared" si="2"/>
        <v>4300</v>
      </c>
      <c r="F254" s="274"/>
      <c r="G254" s="274"/>
      <c r="H254" s="274"/>
      <c r="I254" s="274">
        <v>1000</v>
      </c>
      <c r="J254" s="274"/>
      <c r="K254" s="274"/>
      <c r="L254" s="274"/>
      <c r="M254" s="274">
        <v>3300</v>
      </c>
      <c r="N254" s="275"/>
    </row>
    <row r="255" spans="1:14" s="263" customFormat="1" ht="12" customHeight="1">
      <c r="A255" s="276">
        <v>889943</v>
      </c>
      <c r="B255" s="272" t="s">
        <v>337</v>
      </c>
      <c r="C255" s="273" t="s">
        <v>6</v>
      </c>
      <c r="D255" s="274">
        <v>1500</v>
      </c>
      <c r="E255" s="274">
        <f t="shared" si="2"/>
        <v>1500</v>
      </c>
      <c r="F255" s="274"/>
      <c r="G255" s="274"/>
      <c r="H255" s="274"/>
      <c r="I255" s="274"/>
      <c r="J255" s="274"/>
      <c r="K255" s="274"/>
      <c r="L255" s="274"/>
      <c r="M255" s="274">
        <v>1500</v>
      </c>
      <c r="N255" s="275"/>
    </row>
    <row r="256" spans="1:14" s="263" customFormat="1" ht="12" customHeight="1">
      <c r="A256" s="276"/>
      <c r="B256" s="272"/>
      <c r="C256" s="273" t="s">
        <v>102</v>
      </c>
      <c r="D256" s="274">
        <v>1500</v>
      </c>
      <c r="E256" s="274">
        <f t="shared" si="2"/>
        <v>1500</v>
      </c>
      <c r="F256" s="274"/>
      <c r="G256" s="274"/>
      <c r="H256" s="274"/>
      <c r="I256" s="274"/>
      <c r="J256" s="274"/>
      <c r="K256" s="274"/>
      <c r="L256" s="274"/>
      <c r="M256" s="274">
        <v>1500</v>
      </c>
      <c r="N256" s="275"/>
    </row>
    <row r="257" spans="1:14" s="263" customFormat="1" ht="12" customHeight="1">
      <c r="A257" s="276"/>
      <c r="B257" s="272"/>
      <c r="C257" s="273" t="s">
        <v>5</v>
      </c>
      <c r="D257" s="274">
        <v>1500</v>
      </c>
      <c r="E257" s="274">
        <f t="shared" si="2"/>
        <v>1500</v>
      </c>
      <c r="F257" s="274"/>
      <c r="G257" s="274"/>
      <c r="H257" s="274"/>
      <c r="I257" s="274"/>
      <c r="J257" s="274"/>
      <c r="K257" s="274"/>
      <c r="L257" s="274"/>
      <c r="M257" s="274">
        <v>1500</v>
      </c>
      <c r="N257" s="275"/>
    </row>
    <row r="258" spans="1:14" s="263" customFormat="1" ht="12" customHeight="1">
      <c r="A258" s="276">
        <v>890216</v>
      </c>
      <c r="B258" s="272" t="s">
        <v>338</v>
      </c>
      <c r="C258" s="273" t="s">
        <v>6</v>
      </c>
      <c r="D258" s="274"/>
      <c r="E258" s="274">
        <f t="shared" si="2"/>
        <v>7550</v>
      </c>
      <c r="F258" s="281"/>
      <c r="G258" s="281"/>
      <c r="H258" s="281">
        <v>3050</v>
      </c>
      <c r="I258" s="281"/>
      <c r="J258" s="281">
        <v>4500</v>
      </c>
      <c r="K258" s="281"/>
      <c r="L258" s="281"/>
      <c r="M258" s="281"/>
      <c r="N258" s="282"/>
    </row>
    <row r="259" spans="1:14" s="263" customFormat="1" ht="12" customHeight="1">
      <c r="A259" s="276"/>
      <c r="B259" s="272"/>
      <c r="C259" s="273" t="s">
        <v>102</v>
      </c>
      <c r="D259" s="274"/>
      <c r="E259" s="274">
        <f t="shared" si="2"/>
        <v>7550</v>
      </c>
      <c r="F259" s="281"/>
      <c r="G259" s="281"/>
      <c r="H259" s="281">
        <v>3050</v>
      </c>
      <c r="I259" s="281"/>
      <c r="J259" s="281">
        <v>4500</v>
      </c>
      <c r="K259" s="281"/>
      <c r="L259" s="281"/>
      <c r="M259" s="281"/>
      <c r="N259" s="282"/>
    </row>
    <row r="260" spans="1:14" s="263" customFormat="1" ht="12" customHeight="1">
      <c r="A260" s="276"/>
      <c r="B260" s="272"/>
      <c r="C260" s="273" t="s">
        <v>5</v>
      </c>
      <c r="D260" s="274"/>
      <c r="E260" s="274">
        <f t="shared" si="2"/>
        <v>7550</v>
      </c>
      <c r="F260" s="281"/>
      <c r="G260" s="281"/>
      <c r="H260" s="281">
        <v>3050</v>
      </c>
      <c r="I260" s="281"/>
      <c r="J260" s="281">
        <v>4500</v>
      </c>
      <c r="K260" s="281"/>
      <c r="L260" s="281"/>
      <c r="M260" s="281"/>
      <c r="N260" s="282"/>
    </row>
    <row r="261" spans="1:14" s="263" customFormat="1" ht="12" customHeight="1">
      <c r="A261" s="276">
        <v>890441</v>
      </c>
      <c r="B261" s="272" t="s">
        <v>339</v>
      </c>
      <c r="C261" s="273" t="s">
        <v>6</v>
      </c>
      <c r="D261" s="274"/>
      <c r="E261" s="274">
        <f t="shared" si="2"/>
        <v>0</v>
      </c>
      <c r="F261" s="281"/>
      <c r="G261" s="281"/>
      <c r="H261" s="281"/>
      <c r="I261" s="281"/>
      <c r="J261" s="281"/>
      <c r="K261" s="281"/>
      <c r="L261" s="281"/>
      <c r="M261" s="281"/>
      <c r="N261" s="282"/>
    </row>
    <row r="262" spans="1:14" s="263" customFormat="1" ht="12" customHeight="1">
      <c r="A262" s="276"/>
      <c r="B262" s="272"/>
      <c r="C262" s="273" t="s">
        <v>102</v>
      </c>
      <c r="D262" s="274"/>
      <c r="E262" s="274">
        <f t="shared" si="2"/>
        <v>0</v>
      </c>
      <c r="F262" s="281"/>
      <c r="G262" s="281"/>
      <c r="H262" s="281"/>
      <c r="I262" s="281"/>
      <c r="J262" s="281"/>
      <c r="K262" s="281"/>
      <c r="L262" s="281"/>
      <c r="M262" s="281"/>
      <c r="N262" s="282"/>
    </row>
    <row r="263" spans="1:14" s="263" customFormat="1" ht="12" customHeight="1">
      <c r="A263" s="276"/>
      <c r="B263" s="272"/>
      <c r="C263" s="273" t="s">
        <v>5</v>
      </c>
      <c r="D263" s="274"/>
      <c r="E263" s="274">
        <f t="shared" si="2"/>
        <v>0</v>
      </c>
      <c r="F263" s="281"/>
      <c r="G263" s="281"/>
      <c r="H263" s="281"/>
      <c r="I263" s="281"/>
      <c r="J263" s="281"/>
      <c r="K263" s="281"/>
      <c r="L263" s="281"/>
      <c r="M263" s="281"/>
      <c r="N263" s="282"/>
    </row>
    <row r="264" spans="1:14" s="263" customFormat="1" ht="12" customHeight="1">
      <c r="A264" s="276">
        <v>890442</v>
      </c>
      <c r="B264" s="272" t="s">
        <v>340</v>
      </c>
      <c r="C264" s="273" t="s">
        <v>6</v>
      </c>
      <c r="D264" s="274">
        <v>40302</v>
      </c>
      <c r="E264" s="274">
        <f t="shared" si="2"/>
        <v>49250</v>
      </c>
      <c r="F264" s="281">
        <v>41796</v>
      </c>
      <c r="G264" s="281">
        <v>5978</v>
      </c>
      <c r="H264" s="281">
        <v>1476</v>
      </c>
      <c r="I264" s="281"/>
      <c r="J264" s="281"/>
      <c r="K264" s="281"/>
      <c r="L264" s="281"/>
      <c r="M264" s="295"/>
      <c r="N264" s="282"/>
    </row>
    <row r="265" spans="1:14" s="263" customFormat="1" ht="12" customHeight="1">
      <c r="A265" s="276"/>
      <c r="B265" s="272"/>
      <c r="C265" s="273" t="s">
        <v>102</v>
      </c>
      <c r="D265" s="274">
        <v>40302</v>
      </c>
      <c r="E265" s="274">
        <f t="shared" si="2"/>
        <v>49250</v>
      </c>
      <c r="F265" s="281">
        <v>41796</v>
      </c>
      <c r="G265" s="281">
        <v>5978</v>
      </c>
      <c r="H265" s="281">
        <v>1476</v>
      </c>
      <c r="I265" s="281"/>
      <c r="J265" s="281"/>
      <c r="K265" s="281"/>
      <c r="L265" s="281"/>
      <c r="M265" s="295"/>
      <c r="N265" s="282"/>
    </row>
    <row r="266" spans="1:14" s="263" customFormat="1" ht="12" customHeight="1">
      <c r="A266" s="276"/>
      <c r="B266" s="272"/>
      <c r="C266" s="273" t="s">
        <v>5</v>
      </c>
      <c r="D266" s="274">
        <v>40302</v>
      </c>
      <c r="E266" s="274">
        <f t="shared" si="2"/>
        <v>49250</v>
      </c>
      <c r="F266" s="281">
        <v>41796</v>
      </c>
      <c r="G266" s="281">
        <v>5978</v>
      </c>
      <c r="H266" s="281">
        <v>1476</v>
      </c>
      <c r="I266" s="281"/>
      <c r="J266" s="281"/>
      <c r="K266" s="281"/>
      <c r="L266" s="281"/>
      <c r="M266" s="295"/>
      <c r="N266" s="282"/>
    </row>
    <row r="267" spans="1:14" s="263" customFormat="1" ht="12" customHeight="1">
      <c r="A267" s="276">
        <v>910501</v>
      </c>
      <c r="B267" s="272" t="s">
        <v>341</v>
      </c>
      <c r="C267" s="273" t="s">
        <v>6</v>
      </c>
      <c r="D267" s="274">
        <v>2000</v>
      </c>
      <c r="E267" s="274">
        <f t="shared" si="2"/>
        <v>146890</v>
      </c>
      <c r="F267" s="281"/>
      <c r="G267" s="281"/>
      <c r="H267" s="281"/>
      <c r="I267" s="281">
        <v>139890</v>
      </c>
      <c r="J267" s="281"/>
      <c r="K267" s="281"/>
      <c r="L267" s="281">
        <v>5000</v>
      </c>
      <c r="M267" s="281">
        <v>2000</v>
      </c>
      <c r="N267" s="282"/>
    </row>
    <row r="268" spans="1:14" s="263" customFormat="1" ht="12" customHeight="1">
      <c r="A268" s="276"/>
      <c r="B268" s="272"/>
      <c r="C268" s="273" t="s">
        <v>102</v>
      </c>
      <c r="D268" s="274">
        <v>2000</v>
      </c>
      <c r="E268" s="274">
        <f t="shared" si="2"/>
        <v>149065</v>
      </c>
      <c r="F268" s="281"/>
      <c r="G268" s="281"/>
      <c r="H268" s="281">
        <v>767</v>
      </c>
      <c r="I268" s="281">
        <v>146298</v>
      </c>
      <c r="J268" s="281"/>
      <c r="K268" s="281"/>
      <c r="L268" s="281">
        <v>0</v>
      </c>
      <c r="M268" s="281">
        <v>2000</v>
      </c>
      <c r="N268" s="282"/>
    </row>
    <row r="269" spans="1:14" s="263" customFormat="1" ht="12" customHeight="1">
      <c r="A269" s="276"/>
      <c r="B269" s="272"/>
      <c r="C269" s="273" t="s">
        <v>5</v>
      </c>
      <c r="D269" s="274">
        <v>2000</v>
      </c>
      <c r="E269" s="274">
        <f t="shared" si="2"/>
        <v>156557</v>
      </c>
      <c r="F269" s="281"/>
      <c r="G269" s="281"/>
      <c r="H269" s="281">
        <v>1920</v>
      </c>
      <c r="I269" s="281">
        <v>151510</v>
      </c>
      <c r="J269" s="281"/>
      <c r="K269" s="281">
        <v>1000</v>
      </c>
      <c r="L269" s="281">
        <v>127</v>
      </c>
      <c r="M269" s="281">
        <v>2000</v>
      </c>
      <c r="N269" s="282"/>
    </row>
    <row r="270" spans="1:14" s="263" customFormat="1" ht="12" customHeight="1">
      <c r="A270" s="276">
        <v>931202</v>
      </c>
      <c r="B270" s="272" t="s">
        <v>342</v>
      </c>
      <c r="C270" s="273" t="s">
        <v>6</v>
      </c>
      <c r="D270" s="274"/>
      <c r="E270" s="274">
        <f t="shared" si="2"/>
        <v>5300</v>
      </c>
      <c r="F270" s="281"/>
      <c r="G270" s="281"/>
      <c r="H270" s="281">
        <v>4500</v>
      </c>
      <c r="I270" s="281">
        <v>800</v>
      </c>
      <c r="J270" s="281"/>
      <c r="K270" s="281"/>
      <c r="L270" s="281"/>
      <c r="M270" s="295"/>
      <c r="N270" s="282"/>
    </row>
    <row r="271" spans="1:14" s="263" customFormat="1" ht="12" customHeight="1">
      <c r="A271" s="276"/>
      <c r="B271" s="272"/>
      <c r="C271" s="273" t="s">
        <v>102</v>
      </c>
      <c r="D271" s="274"/>
      <c r="E271" s="274">
        <f t="shared" si="2"/>
        <v>7800</v>
      </c>
      <c r="F271" s="281"/>
      <c r="G271" s="281"/>
      <c r="H271" s="281">
        <v>7000</v>
      </c>
      <c r="I271" s="281">
        <v>800</v>
      </c>
      <c r="J271" s="281"/>
      <c r="K271" s="281"/>
      <c r="L271" s="281"/>
      <c r="M271" s="295"/>
      <c r="N271" s="282"/>
    </row>
    <row r="272" spans="1:14" s="263" customFormat="1" ht="12" customHeight="1">
      <c r="A272" s="276"/>
      <c r="B272" s="272"/>
      <c r="C272" s="273" t="s">
        <v>5</v>
      </c>
      <c r="D272" s="274"/>
      <c r="E272" s="274">
        <f t="shared" si="2"/>
        <v>7800</v>
      </c>
      <c r="F272" s="281"/>
      <c r="G272" s="281"/>
      <c r="H272" s="281">
        <v>7000</v>
      </c>
      <c r="I272" s="281">
        <v>800</v>
      </c>
      <c r="J272" s="281"/>
      <c r="K272" s="281"/>
      <c r="L272" s="281"/>
      <c r="M272" s="295"/>
      <c r="N272" s="282"/>
    </row>
    <row r="273" spans="1:20" s="315" customFormat="1" ht="12" customHeight="1">
      <c r="A273" s="276">
        <v>931903</v>
      </c>
      <c r="B273" s="272" t="s">
        <v>343</v>
      </c>
      <c r="C273" s="273" t="s">
        <v>6</v>
      </c>
      <c r="D273" s="274">
        <v>1000</v>
      </c>
      <c r="E273" s="274">
        <f t="shared" si="2"/>
        <v>19100</v>
      </c>
      <c r="F273" s="281"/>
      <c r="G273" s="281"/>
      <c r="H273" s="281">
        <v>4500</v>
      </c>
      <c r="I273" s="281">
        <v>9800</v>
      </c>
      <c r="J273" s="281"/>
      <c r="K273" s="281"/>
      <c r="L273" s="281"/>
      <c r="M273" s="295"/>
      <c r="N273" s="282">
        <v>4800</v>
      </c>
      <c r="O273" s="297"/>
      <c r="P273" s="296"/>
      <c r="Q273" s="296"/>
      <c r="R273" s="296"/>
      <c r="S273" s="296"/>
      <c r="T273" s="296"/>
    </row>
    <row r="274" spans="1:14" s="263" customFormat="1" ht="12" customHeight="1">
      <c r="A274" s="276"/>
      <c r="B274" s="272"/>
      <c r="C274" s="273" t="s">
        <v>102</v>
      </c>
      <c r="D274" s="274">
        <v>1000</v>
      </c>
      <c r="E274" s="274">
        <f t="shared" si="2"/>
        <v>19180</v>
      </c>
      <c r="F274" s="281"/>
      <c r="G274" s="281"/>
      <c r="H274" s="281">
        <v>4580</v>
      </c>
      <c r="I274" s="281">
        <v>9800</v>
      </c>
      <c r="J274" s="281"/>
      <c r="K274" s="281"/>
      <c r="L274" s="281"/>
      <c r="M274" s="295"/>
      <c r="N274" s="282">
        <v>4800</v>
      </c>
    </row>
    <row r="275" spans="1:14" s="263" customFormat="1" ht="12" customHeight="1">
      <c r="A275" s="276"/>
      <c r="B275" s="272"/>
      <c r="C275" s="273" t="s">
        <v>5</v>
      </c>
      <c r="D275" s="274">
        <v>1350</v>
      </c>
      <c r="E275" s="274">
        <f t="shared" si="2"/>
        <v>67324</v>
      </c>
      <c r="F275" s="281"/>
      <c r="G275" s="281"/>
      <c r="H275" s="281">
        <v>4750</v>
      </c>
      <c r="I275" s="281">
        <f>72511-5200-4800</f>
        <v>62511</v>
      </c>
      <c r="J275" s="281"/>
      <c r="K275" s="281"/>
      <c r="L275" s="281">
        <v>63</v>
      </c>
      <c r="M275" s="295"/>
      <c r="N275" s="282">
        <v>0</v>
      </c>
    </row>
    <row r="276" spans="1:14" s="263" customFormat="1" ht="12" customHeight="1">
      <c r="A276" s="276">
        <v>932911</v>
      </c>
      <c r="B276" s="272" t="s">
        <v>344</v>
      </c>
      <c r="C276" s="273" t="s">
        <v>6</v>
      </c>
      <c r="D276" s="274">
        <v>224863</v>
      </c>
      <c r="E276" s="274">
        <f t="shared" si="2"/>
        <v>13726</v>
      </c>
      <c r="F276" s="274"/>
      <c r="G276" s="274"/>
      <c r="H276" s="274">
        <v>4538</v>
      </c>
      <c r="I276" s="274">
        <v>2938</v>
      </c>
      <c r="J276" s="274"/>
      <c r="K276" s="274">
        <v>6250</v>
      </c>
      <c r="L276" s="274"/>
      <c r="M276" s="274"/>
      <c r="N276" s="275"/>
    </row>
    <row r="277" spans="1:14" s="263" customFormat="1" ht="12" customHeight="1">
      <c r="A277" s="276"/>
      <c r="B277" s="272"/>
      <c r="C277" s="273" t="s">
        <v>102</v>
      </c>
      <c r="D277" s="274">
        <v>224863</v>
      </c>
      <c r="E277" s="274">
        <f t="shared" si="2"/>
        <v>24676</v>
      </c>
      <c r="F277" s="274"/>
      <c r="G277" s="274"/>
      <c r="H277" s="274">
        <v>5788</v>
      </c>
      <c r="I277" s="274">
        <v>2938</v>
      </c>
      <c r="J277" s="274"/>
      <c r="K277" s="274">
        <v>6250</v>
      </c>
      <c r="L277" s="274"/>
      <c r="M277" s="274">
        <v>9700</v>
      </c>
      <c r="N277" s="275"/>
    </row>
    <row r="278" spans="1:14" s="263" customFormat="1" ht="12" customHeight="1">
      <c r="A278" s="276"/>
      <c r="B278" s="272"/>
      <c r="C278" s="273" t="s">
        <v>5</v>
      </c>
      <c r="D278" s="274">
        <v>224863</v>
      </c>
      <c r="E278" s="274">
        <f t="shared" si="2"/>
        <v>59547</v>
      </c>
      <c r="F278" s="274"/>
      <c r="G278" s="274"/>
      <c r="H278" s="274">
        <v>5788</v>
      </c>
      <c r="I278" s="274">
        <v>2938</v>
      </c>
      <c r="J278" s="274"/>
      <c r="K278" s="274">
        <v>1250</v>
      </c>
      <c r="L278" s="274"/>
      <c r="M278" s="274">
        <v>49571</v>
      </c>
      <c r="N278" s="275"/>
    </row>
    <row r="279" spans="1:14" s="263" customFormat="1" ht="12" customHeight="1">
      <c r="A279" s="276">
        <v>949900</v>
      </c>
      <c r="B279" s="272" t="s">
        <v>345</v>
      </c>
      <c r="C279" s="273" t="s">
        <v>6</v>
      </c>
      <c r="D279" s="274"/>
      <c r="E279" s="274">
        <f t="shared" si="2"/>
        <v>15000</v>
      </c>
      <c r="F279" s="274"/>
      <c r="G279" s="274"/>
      <c r="H279" s="274"/>
      <c r="I279" s="274">
        <v>15000</v>
      </c>
      <c r="J279" s="274"/>
      <c r="K279" s="274"/>
      <c r="L279" s="274"/>
      <c r="M279" s="274"/>
      <c r="N279" s="275"/>
    </row>
    <row r="280" spans="1:14" s="263" customFormat="1" ht="12" customHeight="1">
      <c r="A280" s="276"/>
      <c r="B280" s="272"/>
      <c r="C280" s="273" t="s">
        <v>102</v>
      </c>
      <c r="D280" s="274"/>
      <c r="E280" s="274">
        <f t="shared" si="2"/>
        <v>15000</v>
      </c>
      <c r="F280" s="274"/>
      <c r="G280" s="274"/>
      <c r="H280" s="274"/>
      <c r="I280" s="274">
        <v>15000</v>
      </c>
      <c r="J280" s="274"/>
      <c r="K280" s="274"/>
      <c r="L280" s="274"/>
      <c r="M280" s="274"/>
      <c r="N280" s="275"/>
    </row>
    <row r="281" spans="1:14" s="263" customFormat="1" ht="12" customHeight="1">
      <c r="A281" s="276"/>
      <c r="B281" s="272"/>
      <c r="C281" s="273" t="s">
        <v>5</v>
      </c>
      <c r="D281" s="274"/>
      <c r="E281" s="274">
        <f t="shared" si="2"/>
        <v>15000</v>
      </c>
      <c r="F281" s="274"/>
      <c r="G281" s="274"/>
      <c r="H281" s="274"/>
      <c r="I281" s="274">
        <v>15000</v>
      </c>
      <c r="J281" s="274"/>
      <c r="K281" s="274"/>
      <c r="L281" s="274"/>
      <c r="M281" s="274"/>
      <c r="N281" s="275"/>
    </row>
    <row r="282" spans="1:14" s="263" customFormat="1" ht="12" customHeight="1">
      <c r="A282" s="276">
        <v>960302</v>
      </c>
      <c r="B282" s="272" t="s">
        <v>346</v>
      </c>
      <c r="C282" s="273" t="s">
        <v>6</v>
      </c>
      <c r="D282" s="274">
        <v>6000</v>
      </c>
      <c r="E282" s="274">
        <f t="shared" si="2"/>
        <v>13155</v>
      </c>
      <c r="F282" s="274"/>
      <c r="G282" s="274"/>
      <c r="H282" s="274">
        <v>11000</v>
      </c>
      <c r="I282" s="274">
        <v>155</v>
      </c>
      <c r="J282" s="274"/>
      <c r="K282" s="274">
        <v>2000</v>
      </c>
      <c r="L282" s="274"/>
      <c r="M282" s="274"/>
      <c r="N282" s="275"/>
    </row>
    <row r="283" spans="1:14" s="263" customFormat="1" ht="12" customHeight="1">
      <c r="A283" s="276"/>
      <c r="B283" s="272"/>
      <c r="C283" s="273" t="s">
        <v>102</v>
      </c>
      <c r="D283" s="274">
        <v>6000</v>
      </c>
      <c r="E283" s="274">
        <f t="shared" si="2"/>
        <v>13155</v>
      </c>
      <c r="F283" s="274"/>
      <c r="G283" s="274"/>
      <c r="H283" s="274">
        <v>11000</v>
      </c>
      <c r="I283" s="274">
        <v>155</v>
      </c>
      <c r="J283" s="274"/>
      <c r="K283" s="274">
        <v>2000</v>
      </c>
      <c r="L283" s="274"/>
      <c r="M283" s="274"/>
      <c r="N283" s="275"/>
    </row>
    <row r="284" spans="1:14" s="263" customFormat="1" ht="12" customHeight="1">
      <c r="A284" s="276"/>
      <c r="B284" s="272"/>
      <c r="C284" s="273" t="s">
        <v>5</v>
      </c>
      <c r="D284" s="274">
        <v>6000</v>
      </c>
      <c r="E284" s="274">
        <f t="shared" si="2"/>
        <v>13155</v>
      </c>
      <c r="F284" s="274"/>
      <c r="G284" s="274"/>
      <c r="H284" s="274">
        <v>11000</v>
      </c>
      <c r="I284" s="274">
        <v>155</v>
      </c>
      <c r="J284" s="274"/>
      <c r="K284" s="274">
        <v>2000</v>
      </c>
      <c r="L284" s="274"/>
      <c r="M284" s="274"/>
      <c r="N284" s="275"/>
    </row>
    <row r="285" spans="1:14" s="263" customFormat="1" ht="12" customHeight="1">
      <c r="A285" s="276">
        <v>960900</v>
      </c>
      <c r="B285" s="272" t="s">
        <v>347</v>
      </c>
      <c r="C285" s="273" t="s">
        <v>6</v>
      </c>
      <c r="D285" s="274">
        <v>3000</v>
      </c>
      <c r="E285" s="274">
        <f t="shared" si="2"/>
        <v>3000</v>
      </c>
      <c r="F285" s="281">
        <v>1600</v>
      </c>
      <c r="G285" s="281">
        <v>425</v>
      </c>
      <c r="H285" s="281">
        <v>975</v>
      </c>
      <c r="I285" s="281"/>
      <c r="J285" s="281"/>
      <c r="K285" s="281"/>
      <c r="L285" s="281"/>
      <c r="M285" s="295"/>
      <c r="N285" s="282"/>
    </row>
    <row r="286" spans="1:14" s="263" customFormat="1" ht="12" customHeight="1">
      <c r="A286" s="276"/>
      <c r="B286" s="272"/>
      <c r="C286" s="273" t="s">
        <v>102</v>
      </c>
      <c r="D286" s="274">
        <v>3000</v>
      </c>
      <c r="E286" s="274">
        <f t="shared" si="2"/>
        <v>3000</v>
      </c>
      <c r="F286" s="281">
        <v>1600</v>
      </c>
      <c r="G286" s="281">
        <v>425</v>
      </c>
      <c r="H286" s="281">
        <v>975</v>
      </c>
      <c r="I286" s="281"/>
      <c r="J286" s="281"/>
      <c r="K286" s="281"/>
      <c r="L286" s="281"/>
      <c r="M286" s="295"/>
      <c r="N286" s="282"/>
    </row>
    <row r="287" spans="1:14" s="263" customFormat="1" ht="12" customHeight="1">
      <c r="A287" s="276"/>
      <c r="B287" s="272"/>
      <c r="C287" s="273" t="s">
        <v>5</v>
      </c>
      <c r="D287" s="274">
        <v>3000</v>
      </c>
      <c r="E287" s="274">
        <f t="shared" si="2"/>
        <v>3000</v>
      </c>
      <c r="F287" s="281">
        <v>1600</v>
      </c>
      <c r="G287" s="281">
        <v>425</v>
      </c>
      <c r="H287" s="281">
        <v>975</v>
      </c>
      <c r="I287" s="281"/>
      <c r="J287" s="281"/>
      <c r="K287" s="281"/>
      <c r="L287" s="281"/>
      <c r="M287" s="295"/>
      <c r="N287" s="282"/>
    </row>
    <row r="288" spans="1:14" s="263" customFormat="1" ht="12" customHeight="1">
      <c r="A288" s="316" t="s">
        <v>348</v>
      </c>
      <c r="B288" s="316"/>
      <c r="C288" s="317" t="s">
        <v>6</v>
      </c>
      <c r="D288" s="278">
        <f aca="true" t="shared" si="3" ref="D288:N288">SUM(D9+D12+D15+D18+D21+D24+D27+D30+D33+D36+D39+D42+D45+D48+D51+D54+D57+D60+D63+D66+D72+D75+D78+D81+D84+D87+D90+D93+D96+D99+D102+D105+D108+D111+D114+D117+D120+D123+D126+D129+D132+D135+D138+D141+D144+D147+D150+D153+D156+D159+D162+D165+D168+D171+D177+D180+D183+D186+D189+D192+D195+D198+D201+D204+D207+D210+D213+D216+D219+D222+D225+D228+D231+D234+D237+D240+D243+D246+D249+D252+D255+D258+D261+D264+D267+D270+D273+D276+D279+D282+D285)</f>
        <v>6693300</v>
      </c>
      <c r="E288" s="278">
        <f t="shared" si="3"/>
        <v>5277870</v>
      </c>
      <c r="F288" s="278">
        <f t="shared" si="3"/>
        <v>449650</v>
      </c>
      <c r="G288" s="278">
        <f t="shared" si="3"/>
        <v>134571</v>
      </c>
      <c r="H288" s="278">
        <f t="shared" si="3"/>
        <v>660181</v>
      </c>
      <c r="I288" s="278">
        <f t="shared" si="3"/>
        <v>630515</v>
      </c>
      <c r="J288" s="278">
        <f t="shared" si="3"/>
        <v>153115</v>
      </c>
      <c r="K288" s="278">
        <f t="shared" si="3"/>
        <v>99646</v>
      </c>
      <c r="L288" s="278">
        <f t="shared" si="3"/>
        <v>2517144</v>
      </c>
      <c r="M288" s="278">
        <f t="shared" si="3"/>
        <v>101777</v>
      </c>
      <c r="N288" s="318">
        <f t="shared" si="3"/>
        <v>531271</v>
      </c>
    </row>
    <row r="289" spans="1:14" s="263" customFormat="1" ht="12" customHeight="1">
      <c r="A289" s="319"/>
      <c r="B289" s="320"/>
      <c r="C289" s="321" t="s">
        <v>102</v>
      </c>
      <c r="D289" s="322">
        <f aca="true" t="shared" si="4" ref="D289:N289">SUM(D10+D13+D16+D19+D22+D25+D28+D31+D34+D37+D40+D43+D46+D49+D52+D55+D58+D61+D64+D67+D73+D76+D79+D82+D85+D88+D91+D94+D97+D100+D103+D106+D109+D112+D115+D118+D121+D124+D127+D130+D133+D136+D139+D142+D145+D148+D151+D154+D157+D160+D163+D166+D169+D172+D178+D181+D184+D187+D190+D193+D196+D199+D202+D205+D208+D211+D214+D217+D220+D223+D226+D229+D232+D235+D238+D241+D244+D247+D250+D253+D256+D259+D262+D265+D268+D271+D274+D277+D280+D283+D286)</f>
        <v>6940861</v>
      </c>
      <c r="E289" s="322">
        <f t="shared" si="4"/>
        <v>5486262</v>
      </c>
      <c r="F289" s="322">
        <f t="shared" si="4"/>
        <v>456696</v>
      </c>
      <c r="G289" s="322">
        <f t="shared" si="4"/>
        <v>136396</v>
      </c>
      <c r="H289" s="322">
        <f t="shared" si="4"/>
        <v>677199</v>
      </c>
      <c r="I289" s="322">
        <f t="shared" si="4"/>
        <v>602786</v>
      </c>
      <c r="J289" s="322">
        <f t="shared" si="4"/>
        <v>180115</v>
      </c>
      <c r="K289" s="322">
        <f t="shared" si="4"/>
        <v>99646</v>
      </c>
      <c r="L289" s="322">
        <f t="shared" si="4"/>
        <v>2653845</v>
      </c>
      <c r="M289" s="322">
        <f t="shared" si="4"/>
        <v>67877</v>
      </c>
      <c r="N289" s="323">
        <f t="shared" si="4"/>
        <v>611702</v>
      </c>
    </row>
    <row r="290" spans="1:16" s="326" customFormat="1" ht="12" customHeight="1">
      <c r="A290" s="324"/>
      <c r="B290" s="325"/>
      <c r="C290" s="326" t="s">
        <v>5</v>
      </c>
      <c r="D290" s="327">
        <f>SUM(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+D203+D206+D209+D212+D215+D218+D221+D224+D227+D230+D233+D236+D239+D242+D245+D248+D251+D254+D257+D260+D263+D266+D269+D272+D275+D278+D281+D284+D287)</f>
        <v>4885418</v>
      </c>
      <c r="E290" s="327">
        <f aca="true" t="shared" si="5" ref="E290:N290">SUM(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+E218+E221+E224+E227+E230+E233+E236+E239+E242+E245+E248+E251+E254+E257+E260+E263+E266+E269+E272+E275+E278+E281+E284+E287)</f>
        <v>3436177</v>
      </c>
      <c r="F290" s="327">
        <f t="shared" si="5"/>
        <v>477148</v>
      </c>
      <c r="G290" s="327">
        <f t="shared" si="5"/>
        <v>141699</v>
      </c>
      <c r="H290" s="327">
        <f t="shared" si="5"/>
        <v>722460</v>
      </c>
      <c r="I290" s="327">
        <f>I11+I14+I17+I20+I23+I26+I29+I32+I41+I56+I62+I80+I107+I110+I113+I131+I134+I137+I140+I143+I146+I158+I170+I173+I179+I182+I236+I248+I254+I269+I272+I275+I278+I281+I284</f>
        <v>598419</v>
      </c>
      <c r="J290" s="327">
        <f t="shared" si="5"/>
        <v>186515</v>
      </c>
      <c r="K290" s="327">
        <f t="shared" si="5"/>
        <v>81396</v>
      </c>
      <c r="L290" s="327">
        <f t="shared" si="5"/>
        <v>857277</v>
      </c>
      <c r="M290" s="327">
        <f t="shared" si="5"/>
        <v>171728</v>
      </c>
      <c r="N290" s="328">
        <f t="shared" si="5"/>
        <v>199535</v>
      </c>
      <c r="O290" s="329"/>
      <c r="P290" s="327"/>
    </row>
    <row r="291" spans="1:16" s="337" customFormat="1" ht="12" customHeight="1">
      <c r="A291" s="330"/>
      <c r="B291" s="331"/>
      <c r="C291" s="332"/>
      <c r="D291" s="333"/>
      <c r="E291" s="303"/>
      <c r="F291" s="334"/>
      <c r="G291" s="334"/>
      <c r="H291" s="334"/>
      <c r="I291" s="334"/>
      <c r="J291" s="334"/>
      <c r="K291" s="334"/>
      <c r="L291" s="334"/>
      <c r="M291" s="334"/>
      <c r="N291" s="335"/>
      <c r="O291" s="336"/>
      <c r="P291" s="336"/>
    </row>
    <row r="292" spans="1:14" s="337" customFormat="1" ht="12" customHeight="1">
      <c r="A292" s="316" t="s">
        <v>349</v>
      </c>
      <c r="B292" s="316"/>
      <c r="C292" s="317" t="s">
        <v>6</v>
      </c>
      <c r="D292" s="278">
        <v>3000</v>
      </c>
      <c r="E292" s="278">
        <f>SUM(F292:N292)</f>
        <v>21489</v>
      </c>
      <c r="F292" s="281">
        <v>12532</v>
      </c>
      <c r="G292" s="281">
        <v>2976</v>
      </c>
      <c r="H292" s="281">
        <v>5281</v>
      </c>
      <c r="I292" s="281">
        <v>700</v>
      </c>
      <c r="J292" s="338"/>
      <c r="K292" s="338"/>
      <c r="L292" s="338"/>
      <c r="M292" s="338"/>
      <c r="N292" s="339"/>
    </row>
    <row r="293" spans="1:14" s="337" customFormat="1" ht="12" customHeight="1">
      <c r="A293" s="316"/>
      <c r="B293" s="340"/>
      <c r="C293" s="317" t="s">
        <v>102</v>
      </c>
      <c r="D293" s="278">
        <v>3000</v>
      </c>
      <c r="E293" s="278">
        <f>SUM(F293:N293)</f>
        <v>21489</v>
      </c>
      <c r="F293" s="281">
        <v>12532</v>
      </c>
      <c r="G293" s="281">
        <v>2976</v>
      </c>
      <c r="H293" s="281">
        <v>5281</v>
      </c>
      <c r="I293" s="281">
        <v>700</v>
      </c>
      <c r="J293" s="338"/>
      <c r="K293" s="338"/>
      <c r="L293" s="338"/>
      <c r="M293" s="338"/>
      <c r="N293" s="339"/>
    </row>
    <row r="294" spans="1:14" s="337" customFormat="1" ht="12" customHeight="1">
      <c r="A294" s="316"/>
      <c r="B294" s="340"/>
      <c r="C294" s="317" t="s">
        <v>5</v>
      </c>
      <c r="D294" s="278">
        <v>3550</v>
      </c>
      <c r="E294" s="278">
        <f>SUM(F294:N294)</f>
        <v>22139</v>
      </c>
      <c r="F294" s="281">
        <v>12532</v>
      </c>
      <c r="G294" s="281">
        <v>2976</v>
      </c>
      <c r="H294" s="281">
        <v>5931</v>
      </c>
      <c r="I294" s="281">
        <v>700</v>
      </c>
      <c r="J294" s="338"/>
      <c r="K294" s="338"/>
      <c r="L294" s="338"/>
      <c r="M294" s="338"/>
      <c r="N294" s="339"/>
    </row>
    <row r="295" spans="1:14" s="337" customFormat="1" ht="12" customHeight="1">
      <c r="A295" s="316"/>
      <c r="B295" s="341"/>
      <c r="C295" s="317"/>
      <c r="D295" s="278"/>
      <c r="E295" s="278"/>
      <c r="F295" s="338"/>
      <c r="G295" s="338"/>
      <c r="H295" s="338"/>
      <c r="I295" s="281"/>
      <c r="J295" s="281"/>
      <c r="K295" s="281"/>
      <c r="L295" s="281"/>
      <c r="M295" s="338"/>
      <c r="N295" s="339"/>
    </row>
    <row r="296" spans="1:14" s="337" customFormat="1" ht="12" customHeight="1">
      <c r="A296" s="342" t="s">
        <v>350</v>
      </c>
      <c r="B296" s="342"/>
      <c r="C296" s="273"/>
      <c r="D296" s="278"/>
      <c r="E296" s="274"/>
      <c r="F296" s="281"/>
      <c r="G296" s="281"/>
      <c r="H296" s="281"/>
      <c r="I296" s="281"/>
      <c r="J296" s="281"/>
      <c r="K296" s="281"/>
      <c r="L296" s="281"/>
      <c r="M296" s="281"/>
      <c r="N296" s="282"/>
    </row>
    <row r="297" spans="1:14" s="337" customFormat="1" ht="12" customHeight="1">
      <c r="A297" s="271" t="s">
        <v>351</v>
      </c>
      <c r="B297" s="272" t="s">
        <v>352</v>
      </c>
      <c r="C297" s="273" t="s">
        <v>6</v>
      </c>
      <c r="D297" s="274">
        <v>816</v>
      </c>
      <c r="E297" s="274">
        <v>816</v>
      </c>
      <c r="F297" s="281"/>
      <c r="G297" s="281"/>
      <c r="H297" s="281">
        <v>816</v>
      </c>
      <c r="I297" s="281"/>
      <c r="J297" s="281"/>
      <c r="K297" s="281"/>
      <c r="L297" s="281"/>
      <c r="M297" s="281"/>
      <c r="N297" s="282"/>
    </row>
    <row r="298" spans="1:14" s="337" customFormat="1" ht="12" customHeight="1">
      <c r="A298" s="271"/>
      <c r="B298" s="272"/>
      <c r="C298" s="273" t="s">
        <v>102</v>
      </c>
      <c r="D298" s="274">
        <v>1142</v>
      </c>
      <c r="E298" s="274">
        <f>SUM(F298:N298)</f>
        <v>1142</v>
      </c>
      <c r="F298" s="281"/>
      <c r="G298" s="281"/>
      <c r="H298" s="281">
        <v>1142</v>
      </c>
      <c r="I298" s="281"/>
      <c r="J298" s="281"/>
      <c r="K298" s="281"/>
      <c r="L298" s="281"/>
      <c r="M298" s="281"/>
      <c r="N298" s="282"/>
    </row>
    <row r="299" spans="1:14" s="337" customFormat="1" ht="12" customHeight="1">
      <c r="A299" s="271"/>
      <c r="B299" s="272"/>
      <c r="C299" s="273" t="s">
        <v>5</v>
      </c>
      <c r="D299" s="274">
        <v>1187</v>
      </c>
      <c r="E299" s="274">
        <f>SUM(F299:N299)</f>
        <v>1187</v>
      </c>
      <c r="F299" s="281"/>
      <c r="G299" s="281"/>
      <c r="H299" s="281">
        <v>1187</v>
      </c>
      <c r="I299" s="281"/>
      <c r="J299" s="281"/>
      <c r="K299" s="281"/>
      <c r="L299" s="281"/>
      <c r="M299" s="281"/>
      <c r="N299" s="282"/>
    </row>
    <row r="300" spans="1:14" s="263" customFormat="1" ht="12" customHeight="1">
      <c r="A300" s="271" t="s">
        <v>351</v>
      </c>
      <c r="B300" s="272" t="s">
        <v>353</v>
      </c>
      <c r="C300" s="273" t="s">
        <v>6</v>
      </c>
      <c r="D300" s="274">
        <v>816</v>
      </c>
      <c r="E300" s="274">
        <v>816</v>
      </c>
      <c r="F300" s="281"/>
      <c r="G300" s="281"/>
      <c r="H300" s="281">
        <v>816</v>
      </c>
      <c r="I300" s="281"/>
      <c r="J300" s="281"/>
      <c r="K300" s="281"/>
      <c r="L300" s="281"/>
      <c r="M300" s="281"/>
      <c r="N300" s="282"/>
    </row>
    <row r="301" spans="1:14" s="263" customFormat="1" ht="12" customHeight="1">
      <c r="A301" s="271"/>
      <c r="B301" s="272"/>
      <c r="C301" s="273" t="s">
        <v>102</v>
      </c>
      <c r="D301" s="274">
        <v>624</v>
      </c>
      <c r="E301" s="274">
        <f>SUM(F301:N301)</f>
        <v>624</v>
      </c>
      <c r="F301" s="281"/>
      <c r="G301" s="281"/>
      <c r="H301" s="281">
        <v>624</v>
      </c>
      <c r="I301" s="281"/>
      <c r="J301" s="281"/>
      <c r="K301" s="281"/>
      <c r="L301" s="281"/>
      <c r="M301" s="281"/>
      <c r="N301" s="282"/>
    </row>
    <row r="302" spans="1:14" s="263" customFormat="1" ht="12" customHeight="1">
      <c r="A302" s="271"/>
      <c r="B302" s="272"/>
      <c r="C302" s="273" t="s">
        <v>5</v>
      </c>
      <c r="D302" s="274">
        <v>946</v>
      </c>
      <c r="E302" s="274">
        <f>SUM(F302:N302)</f>
        <v>946</v>
      </c>
      <c r="F302" s="281"/>
      <c r="G302" s="281"/>
      <c r="H302" s="281">
        <v>946</v>
      </c>
      <c r="I302" s="281"/>
      <c r="J302" s="281"/>
      <c r="K302" s="281"/>
      <c r="L302" s="281"/>
      <c r="M302" s="281"/>
      <c r="N302" s="282"/>
    </row>
    <row r="303" spans="1:14" s="263" customFormat="1" ht="12" customHeight="1">
      <c r="A303" s="271" t="s">
        <v>351</v>
      </c>
      <c r="B303" s="272" t="s">
        <v>354</v>
      </c>
      <c r="C303" s="273" t="s">
        <v>6</v>
      </c>
      <c r="D303" s="274">
        <v>816</v>
      </c>
      <c r="E303" s="274">
        <v>816</v>
      </c>
      <c r="F303" s="281"/>
      <c r="G303" s="281"/>
      <c r="H303" s="281">
        <v>816</v>
      </c>
      <c r="I303" s="281"/>
      <c r="J303" s="281"/>
      <c r="K303" s="281"/>
      <c r="L303" s="281"/>
      <c r="M303" s="281"/>
      <c r="N303" s="282"/>
    </row>
    <row r="304" spans="1:14" s="263" customFormat="1" ht="12" customHeight="1">
      <c r="A304" s="271"/>
      <c r="B304" s="272"/>
      <c r="C304" s="273" t="s">
        <v>102</v>
      </c>
      <c r="D304" s="274">
        <v>615</v>
      </c>
      <c r="E304" s="274">
        <f>SUM(F304:N304)</f>
        <v>615</v>
      </c>
      <c r="F304" s="281"/>
      <c r="G304" s="281"/>
      <c r="H304" s="281">
        <v>615</v>
      </c>
      <c r="I304" s="281"/>
      <c r="J304" s="281"/>
      <c r="K304" s="281"/>
      <c r="L304" s="281"/>
      <c r="M304" s="281"/>
      <c r="N304" s="282"/>
    </row>
    <row r="305" spans="1:14" s="263" customFormat="1" ht="12" customHeight="1">
      <c r="A305" s="271"/>
      <c r="B305" s="272"/>
      <c r="C305" s="273" t="s">
        <v>5</v>
      </c>
      <c r="D305" s="274">
        <v>552</v>
      </c>
      <c r="E305" s="274">
        <f>SUM(F305:N305)</f>
        <v>552</v>
      </c>
      <c r="F305" s="281"/>
      <c r="G305" s="281"/>
      <c r="H305" s="281">
        <v>552</v>
      </c>
      <c r="I305" s="281"/>
      <c r="J305" s="281"/>
      <c r="K305" s="281"/>
      <c r="L305" s="281"/>
      <c r="M305" s="281"/>
      <c r="N305" s="282"/>
    </row>
    <row r="306" spans="1:14" s="263" customFormat="1" ht="12" customHeight="1">
      <c r="A306" s="271"/>
      <c r="B306" s="272"/>
      <c r="C306" s="273"/>
      <c r="D306" s="274"/>
      <c r="E306" s="274"/>
      <c r="F306" s="281"/>
      <c r="G306" s="281"/>
      <c r="H306" s="281"/>
      <c r="I306" s="281"/>
      <c r="J306" s="281"/>
      <c r="K306" s="281"/>
      <c r="L306" s="281"/>
      <c r="M306" s="281"/>
      <c r="N306" s="282"/>
    </row>
    <row r="307" spans="1:17" s="263" customFormat="1" ht="12" customHeight="1">
      <c r="A307" s="316" t="s">
        <v>355</v>
      </c>
      <c r="B307" s="316"/>
      <c r="C307" s="317" t="s">
        <v>6</v>
      </c>
      <c r="D307" s="278">
        <f aca="true" t="shared" si="6" ref="D307:N307">SUM(D297+D300+D303)</f>
        <v>2448</v>
      </c>
      <c r="E307" s="278">
        <f t="shared" si="6"/>
        <v>2448</v>
      </c>
      <c r="F307" s="338">
        <f t="shared" si="6"/>
        <v>0</v>
      </c>
      <c r="G307" s="338">
        <f t="shared" si="6"/>
        <v>0</v>
      </c>
      <c r="H307" s="338">
        <f t="shared" si="6"/>
        <v>2448</v>
      </c>
      <c r="I307" s="338">
        <f t="shared" si="6"/>
        <v>0</v>
      </c>
      <c r="J307" s="338">
        <f t="shared" si="6"/>
        <v>0</v>
      </c>
      <c r="K307" s="338">
        <f t="shared" si="6"/>
        <v>0</v>
      </c>
      <c r="L307" s="338">
        <f t="shared" si="6"/>
        <v>0</v>
      </c>
      <c r="M307" s="338">
        <f t="shared" si="6"/>
        <v>0</v>
      </c>
      <c r="N307" s="339">
        <f t="shared" si="6"/>
        <v>0</v>
      </c>
      <c r="P307" s="296"/>
      <c r="Q307" s="296"/>
    </row>
    <row r="308" spans="1:17" s="263" customFormat="1" ht="12" customHeight="1">
      <c r="A308" s="316"/>
      <c r="B308" s="340"/>
      <c r="C308" s="317" t="s">
        <v>102</v>
      </c>
      <c r="D308" s="278">
        <f aca="true" t="shared" si="7" ref="D308:N309">SUM(D298+D301+D304)</f>
        <v>2381</v>
      </c>
      <c r="E308" s="278">
        <f t="shared" si="7"/>
        <v>2381</v>
      </c>
      <c r="F308" s="278">
        <f t="shared" si="7"/>
        <v>0</v>
      </c>
      <c r="G308" s="278">
        <f t="shared" si="7"/>
        <v>0</v>
      </c>
      <c r="H308" s="278">
        <f t="shared" si="7"/>
        <v>2381</v>
      </c>
      <c r="I308" s="278">
        <f t="shared" si="7"/>
        <v>0</v>
      </c>
      <c r="J308" s="278">
        <f t="shared" si="7"/>
        <v>0</v>
      </c>
      <c r="K308" s="278">
        <f t="shared" si="7"/>
        <v>0</v>
      </c>
      <c r="L308" s="278">
        <f t="shared" si="7"/>
        <v>0</v>
      </c>
      <c r="M308" s="278">
        <f t="shared" si="7"/>
        <v>0</v>
      </c>
      <c r="N308" s="318">
        <f t="shared" si="7"/>
        <v>0</v>
      </c>
      <c r="O308" s="297"/>
      <c r="P308" s="296"/>
      <c r="Q308" s="296"/>
    </row>
    <row r="309" spans="1:17" s="263" customFormat="1" ht="12" customHeight="1">
      <c r="A309" s="316"/>
      <c r="B309" s="340"/>
      <c r="C309" s="317" t="s">
        <v>5</v>
      </c>
      <c r="D309" s="278">
        <f>SUM(D299+D302+D305)</f>
        <v>2685</v>
      </c>
      <c r="E309" s="278">
        <f t="shared" si="7"/>
        <v>2685</v>
      </c>
      <c r="F309" s="278">
        <f aca="true" t="shared" si="8" ref="F309:N309">SUM(F299+F302+F306)</f>
        <v>0</v>
      </c>
      <c r="G309" s="278">
        <f t="shared" si="8"/>
        <v>0</v>
      </c>
      <c r="H309" s="278">
        <f>SUM(H299+H302+H305)</f>
        <v>2685</v>
      </c>
      <c r="I309" s="278">
        <f t="shared" si="8"/>
        <v>0</v>
      </c>
      <c r="J309" s="278">
        <f t="shared" si="8"/>
        <v>0</v>
      </c>
      <c r="K309" s="278">
        <f t="shared" si="8"/>
        <v>0</v>
      </c>
      <c r="L309" s="278">
        <f t="shared" si="8"/>
        <v>0</v>
      </c>
      <c r="M309" s="278">
        <f t="shared" si="8"/>
        <v>0</v>
      </c>
      <c r="N309" s="318">
        <f t="shared" si="8"/>
        <v>0</v>
      </c>
      <c r="O309" s="297"/>
      <c r="P309" s="296"/>
      <c r="Q309" s="296"/>
    </row>
    <row r="310" spans="1:17" ht="12" customHeight="1">
      <c r="A310" s="316"/>
      <c r="B310" s="343"/>
      <c r="C310" s="317"/>
      <c r="D310" s="278"/>
      <c r="E310" s="278"/>
      <c r="F310" s="338"/>
      <c r="G310" s="338"/>
      <c r="H310" s="338"/>
      <c r="I310" s="338"/>
      <c r="J310" s="338"/>
      <c r="K310" s="338"/>
      <c r="L310" s="338"/>
      <c r="M310" s="338"/>
      <c r="N310" s="339"/>
      <c r="O310" s="344"/>
      <c r="P310" s="345"/>
      <c r="Q310" s="345"/>
    </row>
    <row r="311" spans="1:15" s="345" customFormat="1" ht="12" customHeight="1">
      <c r="A311" s="316" t="s">
        <v>143</v>
      </c>
      <c r="B311" s="316"/>
      <c r="C311" s="317" t="s">
        <v>3</v>
      </c>
      <c r="D311" s="338">
        <f aca="true" t="shared" si="9" ref="D311:N311">SUM(D288+D292+D307)</f>
        <v>6698748</v>
      </c>
      <c r="E311" s="338">
        <f t="shared" si="9"/>
        <v>5301807</v>
      </c>
      <c r="F311" s="338">
        <f t="shared" si="9"/>
        <v>462182</v>
      </c>
      <c r="G311" s="338">
        <f t="shared" si="9"/>
        <v>137547</v>
      </c>
      <c r="H311" s="338">
        <f t="shared" si="9"/>
        <v>667910</v>
      </c>
      <c r="I311" s="338">
        <f t="shared" si="9"/>
        <v>631215</v>
      </c>
      <c r="J311" s="338">
        <f t="shared" si="9"/>
        <v>153115</v>
      </c>
      <c r="K311" s="338">
        <f t="shared" si="9"/>
        <v>99646</v>
      </c>
      <c r="L311" s="338">
        <f t="shared" si="9"/>
        <v>2517144</v>
      </c>
      <c r="M311" s="338">
        <f t="shared" si="9"/>
        <v>101777</v>
      </c>
      <c r="N311" s="339">
        <f t="shared" si="9"/>
        <v>531271</v>
      </c>
      <c r="O311" s="344"/>
    </row>
    <row r="312" spans="1:15" s="345" customFormat="1" ht="12" customHeight="1">
      <c r="A312" s="316"/>
      <c r="B312" s="340"/>
      <c r="C312" s="317" t="s">
        <v>102</v>
      </c>
      <c r="D312" s="338">
        <f aca="true" t="shared" si="10" ref="D312:N312">SUM(D289+D293+D308)</f>
        <v>6946242</v>
      </c>
      <c r="E312" s="338">
        <f t="shared" si="10"/>
        <v>5510132</v>
      </c>
      <c r="F312" s="338">
        <f t="shared" si="10"/>
        <v>469228</v>
      </c>
      <c r="G312" s="338">
        <f t="shared" si="10"/>
        <v>139372</v>
      </c>
      <c r="H312" s="338">
        <f t="shared" si="10"/>
        <v>684861</v>
      </c>
      <c r="I312" s="338">
        <f t="shared" si="10"/>
        <v>603486</v>
      </c>
      <c r="J312" s="338">
        <f t="shared" si="10"/>
        <v>180115</v>
      </c>
      <c r="K312" s="338">
        <f t="shared" si="10"/>
        <v>99646</v>
      </c>
      <c r="L312" s="338">
        <f t="shared" si="10"/>
        <v>2653845</v>
      </c>
      <c r="M312" s="338">
        <f t="shared" si="10"/>
        <v>67877</v>
      </c>
      <c r="N312" s="339">
        <f t="shared" si="10"/>
        <v>611702</v>
      </c>
      <c r="O312" s="344"/>
    </row>
    <row r="313" spans="1:14" s="345" customFormat="1" ht="12" customHeight="1">
      <c r="A313" s="316"/>
      <c r="B313" s="340"/>
      <c r="C313" s="317" t="s">
        <v>5</v>
      </c>
      <c r="D313" s="338">
        <f aca="true" t="shared" si="11" ref="D313:N313">SUM(D290+D294+D309)</f>
        <v>4891653</v>
      </c>
      <c r="E313" s="338">
        <f t="shared" si="11"/>
        <v>3461001</v>
      </c>
      <c r="F313" s="338">
        <f t="shared" si="11"/>
        <v>489680</v>
      </c>
      <c r="G313" s="338">
        <f t="shared" si="11"/>
        <v>144675</v>
      </c>
      <c r="H313" s="338">
        <f t="shared" si="11"/>
        <v>731076</v>
      </c>
      <c r="I313" s="338">
        <f t="shared" si="11"/>
        <v>599119</v>
      </c>
      <c r="J313" s="338">
        <f t="shared" si="11"/>
        <v>186515</v>
      </c>
      <c r="K313" s="338">
        <f t="shared" si="11"/>
        <v>81396</v>
      </c>
      <c r="L313" s="338">
        <f t="shared" si="11"/>
        <v>857277</v>
      </c>
      <c r="M313" s="338">
        <f t="shared" si="11"/>
        <v>171728</v>
      </c>
      <c r="N313" s="339">
        <f t="shared" si="11"/>
        <v>199535</v>
      </c>
    </row>
    <row r="314" spans="1:14" ht="12.75">
      <c r="A314" s="346"/>
      <c r="B314" s="347"/>
      <c r="C314" s="348"/>
      <c r="D314" s="349"/>
      <c r="E314" s="347"/>
      <c r="F314" s="295"/>
      <c r="G314" s="295"/>
      <c r="H314" s="295"/>
      <c r="I314" s="295"/>
      <c r="J314" s="295"/>
      <c r="K314" s="295"/>
      <c r="L314" s="295"/>
      <c r="M314" s="281"/>
      <c r="N314" s="350"/>
    </row>
    <row r="315" spans="1:14" ht="12.75">
      <c r="A315" s="351">
        <v>841126</v>
      </c>
      <c r="B315" s="347" t="s">
        <v>356</v>
      </c>
      <c r="C315" s="273" t="s">
        <v>6</v>
      </c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2"/>
    </row>
    <row r="316" spans="1:14" ht="12.75">
      <c r="A316" s="346"/>
      <c r="B316" s="347"/>
      <c r="C316" s="273" t="s">
        <v>102</v>
      </c>
      <c r="D316" s="281"/>
      <c r="E316" s="281">
        <f>SUM(N316+F316)</f>
        <v>0</v>
      </c>
      <c r="F316" s="281"/>
      <c r="G316" s="281"/>
      <c r="H316" s="281"/>
      <c r="I316" s="281"/>
      <c r="J316" s="281"/>
      <c r="K316" s="281"/>
      <c r="L316" s="281"/>
      <c r="M316" s="281"/>
      <c r="N316" s="282"/>
    </row>
    <row r="317" spans="1:14" ht="12.75">
      <c r="A317" s="346"/>
      <c r="B317" s="347"/>
      <c r="C317" s="273" t="s">
        <v>5</v>
      </c>
      <c r="D317" s="281">
        <v>2069332</v>
      </c>
      <c r="E317" s="281">
        <f>SUM(N317+F317)</f>
        <v>2069332</v>
      </c>
      <c r="F317" s="281"/>
      <c r="G317" s="281"/>
      <c r="H317" s="281"/>
      <c r="I317" s="281"/>
      <c r="J317" s="281"/>
      <c r="K317" s="281"/>
      <c r="L317" s="281"/>
      <c r="M317" s="281"/>
      <c r="N317" s="282">
        <v>2069332</v>
      </c>
    </row>
    <row r="318" spans="1:14" ht="12.75">
      <c r="A318" s="346"/>
      <c r="B318" s="347"/>
      <c r="C318" s="348"/>
      <c r="D318" s="349"/>
      <c r="E318" s="347"/>
      <c r="F318" s="295"/>
      <c r="G318" s="295"/>
      <c r="H318" s="295"/>
      <c r="I318" s="295"/>
      <c r="J318" s="295"/>
      <c r="K318" s="295"/>
      <c r="L318" s="295"/>
      <c r="M318" s="281"/>
      <c r="N318" s="350"/>
    </row>
    <row r="319" spans="1:14" ht="12.75">
      <c r="A319" s="316" t="s">
        <v>143</v>
      </c>
      <c r="B319" s="316"/>
      <c r="C319" s="317" t="s">
        <v>3</v>
      </c>
      <c r="D319" s="338">
        <f>SUM(D288+D292+D307+D315)</f>
        <v>6698748</v>
      </c>
      <c r="E319" s="338">
        <f>SUM(E288+E292+E307+E315)</f>
        <v>5301807</v>
      </c>
      <c r="F319" s="338">
        <f aca="true" t="shared" si="12" ref="F319:N319">SUM(F288+F292+F307+F315)</f>
        <v>462182</v>
      </c>
      <c r="G319" s="338">
        <f t="shared" si="12"/>
        <v>137547</v>
      </c>
      <c r="H319" s="338">
        <f t="shared" si="12"/>
        <v>667910</v>
      </c>
      <c r="I319" s="338">
        <f t="shared" si="12"/>
        <v>631215</v>
      </c>
      <c r="J319" s="338">
        <f t="shared" si="12"/>
        <v>153115</v>
      </c>
      <c r="K319" s="338">
        <f t="shared" si="12"/>
        <v>99646</v>
      </c>
      <c r="L319" s="338">
        <f t="shared" si="12"/>
        <v>2517144</v>
      </c>
      <c r="M319" s="338">
        <f t="shared" si="12"/>
        <v>101777</v>
      </c>
      <c r="N319" s="339">
        <f t="shared" si="12"/>
        <v>531271</v>
      </c>
    </row>
    <row r="320" spans="1:14" ht="12.75">
      <c r="A320" s="346"/>
      <c r="B320" s="347"/>
      <c r="C320" s="317" t="s">
        <v>102</v>
      </c>
      <c r="D320" s="338">
        <f aca="true" t="shared" si="13" ref="D320:N321">SUM(D289+D293+D308+D316)</f>
        <v>6946242</v>
      </c>
      <c r="E320" s="338">
        <f t="shared" si="13"/>
        <v>5510132</v>
      </c>
      <c r="F320" s="338">
        <f t="shared" si="13"/>
        <v>469228</v>
      </c>
      <c r="G320" s="338">
        <f t="shared" si="13"/>
        <v>139372</v>
      </c>
      <c r="H320" s="338">
        <f t="shared" si="13"/>
        <v>684861</v>
      </c>
      <c r="I320" s="338">
        <f t="shared" si="13"/>
        <v>603486</v>
      </c>
      <c r="J320" s="338">
        <f t="shared" si="13"/>
        <v>180115</v>
      </c>
      <c r="K320" s="338">
        <f t="shared" si="13"/>
        <v>99646</v>
      </c>
      <c r="L320" s="338">
        <f t="shared" si="13"/>
        <v>2653845</v>
      </c>
      <c r="M320" s="338">
        <f t="shared" si="13"/>
        <v>67877</v>
      </c>
      <c r="N320" s="339">
        <f t="shared" si="13"/>
        <v>611702</v>
      </c>
    </row>
    <row r="321" spans="1:14" ht="13.5">
      <c r="A321" s="352"/>
      <c r="B321" s="353"/>
      <c r="C321" s="326" t="s">
        <v>5</v>
      </c>
      <c r="D321" s="354">
        <f t="shared" si="13"/>
        <v>6960985</v>
      </c>
      <c r="E321" s="354">
        <f t="shared" si="13"/>
        <v>5530333</v>
      </c>
      <c r="F321" s="354">
        <f t="shared" si="13"/>
        <v>489680</v>
      </c>
      <c r="G321" s="354">
        <f t="shared" si="13"/>
        <v>144675</v>
      </c>
      <c r="H321" s="354">
        <f t="shared" si="13"/>
        <v>731076</v>
      </c>
      <c r="I321" s="354">
        <f t="shared" si="13"/>
        <v>599119</v>
      </c>
      <c r="J321" s="354">
        <f t="shared" si="13"/>
        <v>186515</v>
      </c>
      <c r="K321" s="354">
        <f t="shared" si="13"/>
        <v>81396</v>
      </c>
      <c r="L321" s="354">
        <f t="shared" si="13"/>
        <v>857277</v>
      </c>
      <c r="M321" s="354">
        <f t="shared" si="13"/>
        <v>171728</v>
      </c>
      <c r="N321" s="355">
        <f t="shared" si="13"/>
        <v>2268867</v>
      </c>
    </row>
  </sheetData>
  <sheetProtection selectLockedCells="1" selectUnlockedCells="1"/>
  <mergeCells count="23">
    <mergeCell ref="A1:B1"/>
    <mergeCell ref="A3:N3"/>
    <mergeCell ref="A4:N4"/>
    <mergeCell ref="A6:C8"/>
    <mergeCell ref="D6:D8"/>
    <mergeCell ref="E6:E8"/>
    <mergeCell ref="F6:J6"/>
    <mergeCell ref="K6:L6"/>
    <mergeCell ref="M6:M8"/>
    <mergeCell ref="N6:N8"/>
    <mergeCell ref="F7:F8"/>
    <mergeCell ref="G7:G8"/>
    <mergeCell ref="H7:H8"/>
    <mergeCell ref="I7:I8"/>
    <mergeCell ref="J7:J8"/>
    <mergeCell ref="K7:K8"/>
    <mergeCell ref="L7:L8"/>
    <mergeCell ref="A288:B288"/>
    <mergeCell ref="A292:B292"/>
    <mergeCell ref="A296:B296"/>
    <mergeCell ref="A307:B307"/>
    <mergeCell ref="A311:B311"/>
    <mergeCell ref="A319:B319"/>
  </mergeCells>
  <printOptions horizontalCentered="1"/>
  <pageMargins left="0.19652777777777777" right="0.15763888888888888" top="0.7479166666666667" bottom="0.15763888888888888" header="0.5513888888888889" footer="0.5118055555555555"/>
  <pageSetup horizontalDpi="300" verticalDpi="300" orientation="landscape" paperSize="9" scale="59"/>
  <headerFooter alignWithMargins="0">
    <oddHeader>&amp;L 4. melléklet a 30/2011.(X.28.) önkormányzati rendelethez</oddHeader>
  </headerFooter>
  <rowBreaks count="5" manualBreakCount="5">
    <brk id="65" max="255" man="1"/>
    <brk id="125" max="255" man="1"/>
    <brk id="185" max="255" man="1"/>
    <brk id="242" max="255" man="1"/>
    <brk id="2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97"/>
  <sheetViews>
    <sheetView view="pageBreakPreview" zoomScaleSheetLayoutView="100" workbookViewId="0" topLeftCell="K1">
      <selection activeCell="V52" sqref="V52"/>
    </sheetView>
  </sheetViews>
  <sheetFormatPr defaultColWidth="9.00390625" defaultRowHeight="12.75" zeroHeight="1"/>
  <cols>
    <col min="1" max="1" width="23.375" style="0" customWidth="1"/>
    <col min="2" max="2" width="10.00390625" style="0" customWidth="1"/>
    <col min="3" max="3" width="9.375" style="0" customWidth="1"/>
    <col min="4" max="4" width="10.875" style="0" customWidth="1"/>
    <col min="5" max="5" width="8.75390625" style="0" customWidth="1"/>
    <col min="6" max="6" width="8.25390625" style="0" customWidth="1"/>
    <col min="15" max="15" width="11.125" style="0" customWidth="1"/>
    <col min="16" max="16" width="11.25390625" style="0" customWidth="1"/>
    <col min="17" max="17" width="12.00390625" style="0" customWidth="1"/>
    <col min="18" max="18" width="12.25390625" style="0" customWidth="1"/>
    <col min="19" max="19" width="10.25390625" style="0" customWidth="1"/>
    <col min="20" max="20" width="10.625" style="0" customWidth="1"/>
    <col min="21" max="21" width="10.375" style="0" customWidth="1"/>
    <col min="22" max="22" width="10.625" style="0" customWidth="1"/>
    <col min="23" max="23" width="13.75390625" style="0" customWidth="1"/>
    <col min="24" max="25" width="0" style="0" hidden="1" customWidth="1"/>
  </cols>
  <sheetData>
    <row r="1" spans="1:23" ht="12.75">
      <c r="A1" s="356" t="s">
        <v>357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 t="s">
        <v>358</v>
      </c>
      <c r="P1" s="356"/>
      <c r="Q1" s="356"/>
      <c r="R1" s="356"/>
      <c r="S1" s="356"/>
      <c r="T1" s="356"/>
      <c r="U1" s="356"/>
      <c r="V1" s="356"/>
      <c r="W1" s="356"/>
    </row>
    <row r="2" spans="1:23" ht="12.75" customHeight="1">
      <c r="A2" s="357" t="s">
        <v>359</v>
      </c>
      <c r="B2" s="357"/>
      <c r="C2" s="357" t="s">
        <v>360</v>
      </c>
      <c r="D2" s="357" t="s">
        <v>361</v>
      </c>
      <c r="E2" s="357" t="s">
        <v>362</v>
      </c>
      <c r="F2" s="357" t="s">
        <v>363</v>
      </c>
      <c r="G2" s="357" t="s">
        <v>364</v>
      </c>
      <c r="H2" s="357"/>
      <c r="I2" s="357" t="s">
        <v>365</v>
      </c>
      <c r="J2" s="357"/>
      <c r="K2" s="357" t="s">
        <v>366</v>
      </c>
      <c r="L2" s="357" t="s">
        <v>367</v>
      </c>
      <c r="M2" s="357"/>
      <c r="N2" s="357" t="s">
        <v>368</v>
      </c>
      <c r="O2" s="358" t="s">
        <v>245</v>
      </c>
      <c r="P2" s="358"/>
      <c r="Q2" s="358"/>
      <c r="R2" s="358"/>
      <c r="S2" s="358"/>
      <c r="T2" s="358"/>
      <c r="U2" s="358" t="s">
        <v>246</v>
      </c>
      <c r="V2" s="358"/>
      <c r="W2" s="357" t="s">
        <v>369</v>
      </c>
    </row>
    <row r="3" spans="1:25" ht="51" customHeight="1">
      <c r="A3" s="357"/>
      <c r="B3" s="357"/>
      <c r="C3" s="357"/>
      <c r="D3" s="357"/>
      <c r="E3" s="357"/>
      <c r="F3" s="357"/>
      <c r="G3" s="357" t="s">
        <v>370</v>
      </c>
      <c r="H3" s="357" t="s">
        <v>371</v>
      </c>
      <c r="I3" s="357" t="s">
        <v>370</v>
      </c>
      <c r="J3" s="357" t="s">
        <v>371</v>
      </c>
      <c r="K3" s="357"/>
      <c r="L3" s="357" t="s">
        <v>372</v>
      </c>
      <c r="M3" s="357" t="s">
        <v>373</v>
      </c>
      <c r="N3" s="357"/>
      <c r="O3" s="357" t="s">
        <v>103</v>
      </c>
      <c r="P3" s="357" t="s">
        <v>374</v>
      </c>
      <c r="Q3" s="357" t="s">
        <v>375</v>
      </c>
      <c r="R3" s="357" t="s">
        <v>376</v>
      </c>
      <c r="S3" s="357" t="s">
        <v>377</v>
      </c>
      <c r="T3" s="357" t="s">
        <v>378</v>
      </c>
      <c r="U3" s="357" t="s">
        <v>146</v>
      </c>
      <c r="V3" s="357" t="s">
        <v>148</v>
      </c>
      <c r="W3" s="357"/>
      <c r="Y3" s="359" t="s">
        <v>379</v>
      </c>
    </row>
    <row r="4" spans="1:25" ht="12.75">
      <c r="A4" s="360">
        <f>'[1]Eredeti Ft'!A4</f>
        <v>0</v>
      </c>
      <c r="B4" s="361">
        <f>'[1]Eredeti Ft'!B4</f>
        <v>0</v>
      </c>
      <c r="C4" s="362">
        <f>ROUND('[1]Eredeti Ft'!C4,-3)/1000</f>
        <v>6203</v>
      </c>
      <c r="D4" s="362">
        <f>ROUND('[1]Eredeti Ft'!D4,-3)/1000</f>
        <v>4470</v>
      </c>
      <c r="E4" s="362">
        <f>ROUND('[1]Eredeti Ft'!E4,-3)/1000</f>
        <v>1551</v>
      </c>
      <c r="F4" s="362">
        <f>ROUND('[1]Eredeti Ft'!F4,-3)/1000</f>
        <v>0</v>
      </c>
      <c r="G4" s="362">
        <f>ROUND('[1]Eredeti Ft'!G4,-3)/1000</f>
        <v>0</v>
      </c>
      <c r="H4" s="362">
        <f>ROUND('[1]Eredeti Ft'!H4,-3)/1000</f>
        <v>0</v>
      </c>
      <c r="I4" s="362">
        <f>ROUND('[1]Eredeti Ft'!I4,-3)/1000</f>
        <v>0</v>
      </c>
      <c r="J4" s="362">
        <f>ROUND('[1]Eredeti Ft'!J4,-3)/1000</f>
        <v>0</v>
      </c>
      <c r="K4" s="362">
        <f>ROUND('[1]Eredeti Ft'!K4,-3)/1000</f>
        <v>0</v>
      </c>
      <c r="L4" s="362">
        <f>ROUND('[1]Eredeti Ft'!L4,-3)/1000</f>
        <v>0</v>
      </c>
      <c r="M4" s="362">
        <f>ROUND('[1]Eredeti Ft'!M4,-3)/1000</f>
        <v>0</v>
      </c>
      <c r="N4" s="362">
        <f aca="true" t="shared" si="0" ref="N4:N67">SUM(C4:M4)-D4</f>
        <v>7754</v>
      </c>
      <c r="O4" s="362">
        <f>ROUND('[1]Eredeti Ft'!O4,-3)/1000</f>
        <v>37169</v>
      </c>
      <c r="P4" s="362">
        <f>ROUND('[1]Eredeti Ft'!P4,-3)/1000-1</f>
        <v>9865</v>
      </c>
      <c r="Q4" s="362">
        <f>ROUND('[1]Eredeti Ft'!Q4,-3)/1000</f>
        <v>12933</v>
      </c>
      <c r="R4" s="362">
        <f>ROUND('[1]Eredeti Ft'!R4,-3)/1000</f>
        <v>5631</v>
      </c>
      <c r="S4" s="362">
        <f>ROUND('[1]Eredeti Ft'!S4,-3)/1000</f>
        <v>0</v>
      </c>
      <c r="T4" s="362">
        <f>ROUND('[1]Eredeti Ft'!T4,-3)/1000</f>
        <v>0</v>
      </c>
      <c r="U4" s="362">
        <f>ROUND('[1]Eredeti Ft'!U4,-3)/1000</f>
        <v>0</v>
      </c>
      <c r="V4" s="362">
        <f>ROUND('[1]Eredeti Ft'!V4,-3)/1000</f>
        <v>0</v>
      </c>
      <c r="W4" s="362">
        <f aca="true" t="shared" si="1" ref="W4:W67">SUM(O4:V4)-R4</f>
        <v>59967</v>
      </c>
      <c r="Y4" s="363">
        <f>SUM(O4:V4)-R4</f>
        <v>59967</v>
      </c>
    </row>
    <row r="5" spans="1:25" ht="19.5" customHeight="1">
      <c r="A5" s="360"/>
      <c r="B5" s="361" t="s">
        <v>380</v>
      </c>
      <c r="C5" s="362">
        <f aca="true" t="shared" si="2" ref="C5:K6">C4</f>
        <v>6203</v>
      </c>
      <c r="D5" s="362">
        <f t="shared" si="2"/>
        <v>4470</v>
      </c>
      <c r="E5" s="362">
        <f t="shared" si="2"/>
        <v>1551</v>
      </c>
      <c r="F5" s="362">
        <f t="shared" si="2"/>
        <v>0</v>
      </c>
      <c r="G5" s="362">
        <f t="shared" si="2"/>
        <v>0</v>
      </c>
      <c r="H5" s="362">
        <f t="shared" si="2"/>
        <v>0</v>
      </c>
      <c r="I5" s="362">
        <f t="shared" si="2"/>
        <v>0</v>
      </c>
      <c r="J5" s="362">
        <f t="shared" si="2"/>
        <v>0</v>
      </c>
      <c r="K5" s="362">
        <f t="shared" si="2"/>
        <v>0</v>
      </c>
      <c r="L5" s="362">
        <f>L4+630</f>
        <v>630</v>
      </c>
      <c r="M5" s="362">
        <f>M4</f>
        <v>0</v>
      </c>
      <c r="N5" s="362">
        <f t="shared" si="0"/>
        <v>8384</v>
      </c>
      <c r="O5" s="362">
        <f>O4+163</f>
        <v>37332</v>
      </c>
      <c r="P5" s="362">
        <f>P4+44</f>
        <v>9909</v>
      </c>
      <c r="Q5" s="362">
        <f>Q4+630</f>
        <v>13563</v>
      </c>
      <c r="R5" s="362">
        <f>R4</f>
        <v>5631</v>
      </c>
      <c r="S5" s="362">
        <f>S4</f>
        <v>0</v>
      </c>
      <c r="T5" s="362">
        <f>T4</f>
        <v>0</v>
      </c>
      <c r="U5" s="362">
        <f>U4</f>
        <v>0</v>
      </c>
      <c r="V5" s="362">
        <f>V4</f>
        <v>0</v>
      </c>
      <c r="W5" s="362">
        <f t="shared" si="1"/>
        <v>60804</v>
      </c>
      <c r="Y5" s="363"/>
    </row>
    <row r="6" spans="1:25" ht="19.5" customHeight="1">
      <c r="A6" s="360"/>
      <c r="B6" s="361" t="s">
        <v>381</v>
      </c>
      <c r="C6" s="362">
        <f t="shared" si="2"/>
        <v>6203</v>
      </c>
      <c r="D6" s="362">
        <f t="shared" si="2"/>
        <v>4470</v>
      </c>
      <c r="E6" s="362">
        <f t="shared" si="2"/>
        <v>1551</v>
      </c>
      <c r="F6" s="362">
        <f t="shared" si="2"/>
        <v>0</v>
      </c>
      <c r="G6" s="362">
        <f t="shared" si="2"/>
        <v>0</v>
      </c>
      <c r="H6" s="362">
        <f t="shared" si="2"/>
        <v>0</v>
      </c>
      <c r="I6" s="362">
        <f t="shared" si="2"/>
        <v>0</v>
      </c>
      <c r="J6" s="362">
        <f t="shared" si="2"/>
        <v>0</v>
      </c>
      <c r="K6" s="362">
        <f t="shared" si="2"/>
        <v>0</v>
      </c>
      <c r="L6" s="362">
        <f>L5</f>
        <v>630</v>
      </c>
      <c r="M6" s="362">
        <f>M5</f>
        <v>0</v>
      </c>
      <c r="N6" s="362">
        <f t="shared" si="0"/>
        <v>8384</v>
      </c>
      <c r="O6" s="362">
        <f>O5+279+57</f>
        <v>37668</v>
      </c>
      <c r="P6" s="362">
        <f>P5+75</f>
        <v>9984</v>
      </c>
      <c r="Q6" s="362">
        <f>Q5+100</f>
        <v>13663</v>
      </c>
      <c r="R6" s="362">
        <f>R5</f>
        <v>5631</v>
      </c>
      <c r="S6" s="362">
        <f>S5</f>
        <v>0</v>
      </c>
      <c r="T6" s="362">
        <f>T5</f>
        <v>0</v>
      </c>
      <c r="U6" s="362">
        <v>500</v>
      </c>
      <c r="V6" s="362">
        <f>V5</f>
        <v>0</v>
      </c>
      <c r="W6" s="362">
        <f t="shared" si="1"/>
        <v>61815</v>
      </c>
      <c r="Y6" s="363"/>
    </row>
    <row r="7" spans="1:25" ht="12.75">
      <c r="A7" s="360">
        <f>'[1]Eredeti Ft'!A7</f>
        <v>0</v>
      </c>
      <c r="B7" s="361">
        <f>'[1]Eredeti Ft'!B7</f>
        <v>0</v>
      </c>
      <c r="C7" s="362">
        <f>ROUND('[1]Eredeti Ft'!C7,-3)/1000</f>
        <v>3058</v>
      </c>
      <c r="D7" s="362">
        <f>ROUND('[1]Eredeti Ft'!D7,-3)/1000</f>
        <v>2487</v>
      </c>
      <c r="E7" s="362">
        <f>ROUND('[1]Eredeti Ft'!E7,-3)/1000</f>
        <v>765</v>
      </c>
      <c r="F7" s="362">
        <f>ROUND('[1]Eredeti Ft'!F7,-3)/1000</f>
        <v>0</v>
      </c>
      <c r="G7" s="362">
        <f>ROUND('[1]Eredeti Ft'!G7,-3)/1000</f>
        <v>0</v>
      </c>
      <c r="H7" s="362">
        <f>ROUND('[1]Eredeti Ft'!H7,-3)/1000</f>
        <v>0</v>
      </c>
      <c r="I7" s="362">
        <f>ROUND('[1]Eredeti Ft'!I7,-3)/1000</f>
        <v>0</v>
      </c>
      <c r="J7" s="362">
        <f>ROUND('[1]Eredeti Ft'!J7,-3)/1000</f>
        <v>0</v>
      </c>
      <c r="K7" s="362">
        <f>ROUND('[1]Eredeti Ft'!K7,-3)/1000</f>
        <v>0</v>
      </c>
      <c r="L7" s="362">
        <f>ROUND('[1]Eredeti Ft'!L7,-3)/1000</f>
        <v>0</v>
      </c>
      <c r="M7" s="362">
        <f>ROUND('[1]Eredeti Ft'!M7,-3)/1000</f>
        <v>0</v>
      </c>
      <c r="N7" s="362">
        <f t="shared" si="0"/>
        <v>3823</v>
      </c>
      <c r="O7" s="362">
        <f>ROUND('[1]Eredeti Ft'!O7,-3)/1000</f>
        <v>25375</v>
      </c>
      <c r="P7" s="362">
        <f>ROUND('[1]Eredeti Ft'!P7,-3)/1000</f>
        <v>6781</v>
      </c>
      <c r="Q7" s="362">
        <f>ROUND('[1]Eredeti Ft'!Q7,-3)/1000</f>
        <v>9556</v>
      </c>
      <c r="R7" s="362">
        <f>ROUND('[1]Eredeti Ft'!R7,-3)/1000</f>
        <v>4648</v>
      </c>
      <c r="S7" s="362">
        <f>ROUND('[1]Eredeti Ft'!S7,-3)/1000</f>
        <v>0</v>
      </c>
      <c r="T7" s="362">
        <f>ROUND('[1]Eredeti Ft'!T7,-3)/1000</f>
        <v>0</v>
      </c>
      <c r="U7" s="362">
        <f>ROUND('[1]Eredeti Ft'!U7,-3)/1000</f>
        <v>0</v>
      </c>
      <c r="V7" s="362">
        <f>ROUND('[1]Eredeti Ft'!V7,-3)/1000</f>
        <v>0</v>
      </c>
      <c r="W7" s="362">
        <f t="shared" si="1"/>
        <v>41712</v>
      </c>
      <c r="Y7" s="363">
        <f>SUM(O7:V7)-R7</f>
        <v>41712</v>
      </c>
    </row>
    <row r="8" spans="1:25" ht="22.5" customHeight="1">
      <c r="A8" s="360"/>
      <c r="B8" s="361" t="s">
        <v>380</v>
      </c>
      <c r="C8" s="362">
        <f>C7</f>
        <v>3058</v>
      </c>
      <c r="D8" s="362">
        <f aca="true" t="shared" si="3" ref="D8:V9">D7</f>
        <v>2487</v>
      </c>
      <c r="E8" s="362">
        <f t="shared" si="3"/>
        <v>765</v>
      </c>
      <c r="F8" s="362">
        <f t="shared" si="3"/>
        <v>0</v>
      </c>
      <c r="G8" s="362">
        <f t="shared" si="3"/>
        <v>0</v>
      </c>
      <c r="H8" s="362">
        <f t="shared" si="3"/>
        <v>0</v>
      </c>
      <c r="I8" s="362">
        <f t="shared" si="3"/>
        <v>0</v>
      </c>
      <c r="J8" s="362">
        <f t="shared" si="3"/>
        <v>0</v>
      </c>
      <c r="K8" s="362">
        <f t="shared" si="3"/>
        <v>0</v>
      </c>
      <c r="L8" s="362">
        <f>L7+104</f>
        <v>104</v>
      </c>
      <c r="M8" s="362">
        <f t="shared" si="3"/>
        <v>0</v>
      </c>
      <c r="N8" s="362">
        <f t="shared" si="0"/>
        <v>3927</v>
      </c>
      <c r="O8" s="362">
        <f>O7+143+90</f>
        <v>25608</v>
      </c>
      <c r="P8" s="362">
        <f>P7+38</f>
        <v>6819</v>
      </c>
      <c r="Q8" s="362">
        <f>Q7+14</f>
        <v>9570</v>
      </c>
      <c r="R8" s="362">
        <f t="shared" si="3"/>
        <v>4648</v>
      </c>
      <c r="S8" s="362">
        <f t="shared" si="3"/>
        <v>0</v>
      </c>
      <c r="T8" s="362">
        <f t="shared" si="3"/>
        <v>0</v>
      </c>
      <c r="U8" s="362">
        <f t="shared" si="3"/>
        <v>0</v>
      </c>
      <c r="V8" s="362">
        <f t="shared" si="3"/>
        <v>0</v>
      </c>
      <c r="W8" s="362">
        <f t="shared" si="1"/>
        <v>41997</v>
      </c>
      <c r="Y8" s="363"/>
    </row>
    <row r="9" spans="1:25" ht="22.5" customHeight="1">
      <c r="A9" s="360"/>
      <c r="B9" s="361" t="s">
        <v>381</v>
      </c>
      <c r="C9" s="362">
        <f>C8</f>
        <v>3058</v>
      </c>
      <c r="D9" s="362">
        <f t="shared" si="3"/>
        <v>2487</v>
      </c>
      <c r="E9" s="362">
        <f t="shared" si="3"/>
        <v>765</v>
      </c>
      <c r="F9" s="362">
        <f t="shared" si="3"/>
        <v>0</v>
      </c>
      <c r="G9" s="362">
        <f t="shared" si="3"/>
        <v>0</v>
      </c>
      <c r="H9" s="362">
        <f t="shared" si="3"/>
        <v>0</v>
      </c>
      <c r="I9" s="362">
        <f t="shared" si="3"/>
        <v>0</v>
      </c>
      <c r="J9" s="362">
        <f t="shared" si="3"/>
        <v>0</v>
      </c>
      <c r="K9" s="362">
        <f t="shared" si="3"/>
        <v>0</v>
      </c>
      <c r="L9" s="362">
        <f t="shared" si="3"/>
        <v>104</v>
      </c>
      <c r="M9" s="362">
        <f t="shared" si="3"/>
        <v>0</v>
      </c>
      <c r="N9" s="362">
        <f t="shared" si="0"/>
        <v>3927</v>
      </c>
      <c r="O9" s="362">
        <f>O8+236+48-6500-1650</f>
        <v>17742</v>
      </c>
      <c r="P9" s="362">
        <f>P8+63-1600</f>
        <v>5282</v>
      </c>
      <c r="Q9" s="362">
        <f>Q8-2880-6646</f>
        <v>44</v>
      </c>
      <c r="R9" s="362">
        <f>R8</f>
        <v>4648</v>
      </c>
      <c r="S9" s="362">
        <f>S8</f>
        <v>0</v>
      </c>
      <c r="T9" s="362">
        <f>T8</f>
        <v>0</v>
      </c>
      <c r="U9" s="362">
        <f>U8</f>
        <v>0</v>
      </c>
      <c r="V9" s="362">
        <f>V8+1190</f>
        <v>1190</v>
      </c>
      <c r="W9" s="362">
        <f t="shared" si="1"/>
        <v>24258</v>
      </c>
      <c r="Y9" s="363"/>
    </row>
    <row r="10" spans="1:25" ht="12.75">
      <c r="A10" s="360">
        <f>'[1]Eredeti Ft'!A10</f>
        <v>0</v>
      </c>
      <c r="B10" s="361">
        <f>'[1]Eredeti Ft'!B10</f>
        <v>0</v>
      </c>
      <c r="C10" s="362">
        <f>ROUND('[1]Eredeti Ft'!C10,-3)/1000</f>
        <v>2208</v>
      </c>
      <c r="D10" s="362">
        <f>ROUND('[1]Eredeti Ft'!D10,-3)/1000</f>
        <v>1922</v>
      </c>
      <c r="E10" s="362">
        <f>ROUND('[1]Eredeti Ft'!E10,-3)/1000</f>
        <v>552</v>
      </c>
      <c r="F10" s="362">
        <f>ROUND('[1]Eredeti Ft'!F10,-3)/1000</f>
        <v>0</v>
      </c>
      <c r="G10" s="362">
        <f>ROUND('[1]Eredeti Ft'!G10,-3)/1000</f>
        <v>0</v>
      </c>
      <c r="H10" s="362">
        <f>ROUND('[1]Eredeti Ft'!H10,-3)/1000</f>
        <v>0</v>
      </c>
      <c r="I10" s="362">
        <f>ROUND('[1]Eredeti Ft'!I10,-3)/1000</f>
        <v>0</v>
      </c>
      <c r="J10" s="362">
        <f>ROUND('[1]Eredeti Ft'!J10,-3)/1000</f>
        <v>0</v>
      </c>
      <c r="K10" s="362">
        <f>ROUND('[1]Eredeti Ft'!K10,-3)/1000</f>
        <v>0</v>
      </c>
      <c r="L10" s="362">
        <f>ROUND('[1]Eredeti Ft'!L10,-3)/1000</f>
        <v>0</v>
      </c>
      <c r="M10" s="362">
        <f>ROUND('[1]Eredeti Ft'!M10,-3)/1000</f>
        <v>0</v>
      </c>
      <c r="N10" s="362">
        <f t="shared" si="0"/>
        <v>2760</v>
      </c>
      <c r="O10" s="362">
        <f>ROUND('[1]Eredeti Ft'!O10,-3)/1000</f>
        <v>13269</v>
      </c>
      <c r="P10" s="362">
        <f>ROUND('[1]Eredeti Ft'!P10,-3)/1000</f>
        <v>3507</v>
      </c>
      <c r="Q10" s="362">
        <f>ROUND('[1]Eredeti Ft'!Q10,-3)/1000</f>
        <v>6533</v>
      </c>
      <c r="R10" s="362">
        <f>ROUND('[1]Eredeti Ft'!R10,-3)/1000</f>
        <v>2716</v>
      </c>
      <c r="S10" s="362">
        <f>ROUND('[1]Eredeti Ft'!S10,-3)/1000</f>
        <v>0</v>
      </c>
      <c r="T10" s="362">
        <f>ROUND('[1]Eredeti Ft'!T10,-3)/1000</f>
        <v>0</v>
      </c>
      <c r="U10" s="362">
        <f>ROUND('[1]Eredeti Ft'!U10,-3)/1000</f>
        <v>0</v>
      </c>
      <c r="V10" s="362">
        <f>ROUND('[1]Eredeti Ft'!V10,-3)/1000</f>
        <v>0</v>
      </c>
      <c r="W10" s="362">
        <f t="shared" si="1"/>
        <v>23309</v>
      </c>
      <c r="Y10" s="363">
        <f>SUM(O10:V10)-R10</f>
        <v>23309</v>
      </c>
    </row>
    <row r="11" spans="1:25" ht="17.25" customHeight="1">
      <c r="A11" s="360"/>
      <c r="B11" s="361" t="s">
        <v>380</v>
      </c>
      <c r="C11" s="362">
        <f>C10</f>
        <v>2208</v>
      </c>
      <c r="D11" s="362">
        <f aca="true" t="shared" si="4" ref="D11:Y12">D10</f>
        <v>1922</v>
      </c>
      <c r="E11" s="362">
        <f t="shared" si="4"/>
        <v>552</v>
      </c>
      <c r="F11" s="362">
        <f t="shared" si="4"/>
        <v>0</v>
      </c>
      <c r="G11" s="362">
        <f t="shared" si="4"/>
        <v>0</v>
      </c>
      <c r="H11" s="362">
        <f t="shared" si="4"/>
        <v>0</v>
      </c>
      <c r="I11" s="362">
        <f t="shared" si="4"/>
        <v>0</v>
      </c>
      <c r="J11" s="362">
        <f t="shared" si="4"/>
        <v>0</v>
      </c>
      <c r="K11" s="362">
        <f t="shared" si="4"/>
        <v>0</v>
      </c>
      <c r="L11" s="362">
        <f t="shared" si="4"/>
        <v>0</v>
      </c>
      <c r="M11" s="362">
        <f t="shared" si="4"/>
        <v>0</v>
      </c>
      <c r="N11" s="362">
        <f t="shared" si="0"/>
        <v>2760</v>
      </c>
      <c r="O11" s="362">
        <f>O10+57</f>
        <v>13326</v>
      </c>
      <c r="P11" s="362">
        <f>P10+16</f>
        <v>3523</v>
      </c>
      <c r="Q11" s="362">
        <f t="shared" si="4"/>
        <v>6533</v>
      </c>
      <c r="R11" s="362">
        <f t="shared" si="4"/>
        <v>2716</v>
      </c>
      <c r="S11" s="362">
        <f t="shared" si="4"/>
        <v>0</v>
      </c>
      <c r="T11" s="362">
        <f t="shared" si="4"/>
        <v>0</v>
      </c>
      <c r="U11" s="362">
        <f t="shared" si="4"/>
        <v>0</v>
      </c>
      <c r="V11" s="362">
        <f t="shared" si="4"/>
        <v>0</v>
      </c>
      <c r="W11" s="362">
        <f t="shared" si="1"/>
        <v>23382</v>
      </c>
      <c r="X11" s="364">
        <f t="shared" si="4"/>
        <v>0</v>
      </c>
      <c r="Y11" s="362">
        <f t="shared" si="4"/>
        <v>23309</v>
      </c>
    </row>
    <row r="12" spans="1:25" ht="17.25" customHeight="1">
      <c r="A12" s="360"/>
      <c r="B12" s="361" t="s">
        <v>381</v>
      </c>
      <c r="C12" s="362">
        <f>C11</f>
        <v>2208</v>
      </c>
      <c r="D12" s="362">
        <f t="shared" si="4"/>
        <v>1922</v>
      </c>
      <c r="E12" s="362">
        <f t="shared" si="4"/>
        <v>552</v>
      </c>
      <c r="F12" s="362">
        <f t="shared" si="4"/>
        <v>0</v>
      </c>
      <c r="G12" s="362">
        <f t="shared" si="4"/>
        <v>0</v>
      </c>
      <c r="H12" s="362">
        <f t="shared" si="4"/>
        <v>0</v>
      </c>
      <c r="I12" s="362">
        <f t="shared" si="4"/>
        <v>0</v>
      </c>
      <c r="J12" s="362">
        <f t="shared" si="4"/>
        <v>0</v>
      </c>
      <c r="K12" s="362">
        <f t="shared" si="4"/>
        <v>0</v>
      </c>
      <c r="L12" s="362">
        <f t="shared" si="4"/>
        <v>0</v>
      </c>
      <c r="M12" s="362">
        <f t="shared" si="4"/>
        <v>0</v>
      </c>
      <c r="N12" s="362">
        <f t="shared" si="0"/>
        <v>2760</v>
      </c>
      <c r="O12" s="362">
        <f>O11+96+20</f>
        <v>13442</v>
      </c>
      <c r="P12" s="362">
        <f>P11+26</f>
        <v>3549</v>
      </c>
      <c r="Q12" s="362">
        <f>Q11+205</f>
        <v>6738</v>
      </c>
      <c r="R12" s="362">
        <f>R11</f>
        <v>2716</v>
      </c>
      <c r="S12" s="362">
        <f>S11</f>
        <v>0</v>
      </c>
      <c r="T12" s="362">
        <f>T11</f>
        <v>0</v>
      </c>
      <c r="U12" s="362">
        <f>U11</f>
        <v>0</v>
      </c>
      <c r="V12" s="362">
        <f>V11</f>
        <v>0</v>
      </c>
      <c r="W12" s="362">
        <f t="shared" si="1"/>
        <v>23729</v>
      </c>
      <c r="X12" s="365"/>
      <c r="Y12" s="365"/>
    </row>
    <row r="13" spans="1:25" ht="12.75" hidden="1">
      <c r="A13" s="360">
        <f>'[1]Eredeti Ft'!A13</f>
        <v>0</v>
      </c>
      <c r="B13" s="361">
        <f>'[1]Eredeti Ft'!B13</f>
        <v>0</v>
      </c>
      <c r="C13" s="362">
        <f>ROUND('[1]Eredeti Ft'!C13,-3)/1000</f>
        <v>0</v>
      </c>
      <c r="D13" s="362">
        <f>ROUND('[1]Eredeti Ft'!D13,-3)/1000</f>
        <v>0</v>
      </c>
      <c r="E13" s="362">
        <f>ROUND('[1]Eredeti Ft'!E13,-3)/1000</f>
        <v>0</v>
      </c>
      <c r="F13" s="362">
        <f>ROUND('[1]Eredeti Ft'!F13,-3)/1000</f>
        <v>0</v>
      </c>
      <c r="G13" s="362">
        <f>ROUND('[1]Eredeti Ft'!G13,-3)/1000</f>
        <v>0</v>
      </c>
      <c r="H13" s="362">
        <f>ROUND('[1]Eredeti Ft'!H13,-3)/1000</f>
        <v>0</v>
      </c>
      <c r="I13" s="362">
        <f>ROUND('[1]Eredeti Ft'!I13,-3)/1000</f>
        <v>0</v>
      </c>
      <c r="J13" s="362">
        <f>ROUND('[1]Eredeti Ft'!J13,-3)/1000</f>
        <v>0</v>
      </c>
      <c r="K13" s="362">
        <f>ROUND('[1]Eredeti Ft'!K13,-3)/1000</f>
        <v>0</v>
      </c>
      <c r="L13" s="362">
        <f>ROUND('[1]Eredeti Ft'!L13,-3)/1000</f>
        <v>0</v>
      </c>
      <c r="M13" s="362">
        <f>ROUND('[1]Eredeti Ft'!M13,-3)/1000</f>
        <v>0</v>
      </c>
      <c r="N13" s="362">
        <f t="shared" si="0"/>
        <v>0</v>
      </c>
      <c r="O13" s="362">
        <f>ROUND('[1]Eredeti Ft'!O13,-3)/1000</f>
        <v>0</v>
      </c>
      <c r="P13" s="362">
        <f>ROUND('[1]Eredeti Ft'!P13,-3)/1000</f>
        <v>0</v>
      </c>
      <c r="Q13" s="362">
        <f>ROUND('[1]Eredeti Ft'!Q13,-3)/1000</f>
        <v>0</v>
      </c>
      <c r="R13" s="362">
        <f>ROUND('[1]Eredeti Ft'!R13,-3)/1000</f>
        <v>0</v>
      </c>
      <c r="S13" s="362">
        <f>ROUND('[1]Eredeti Ft'!S13,-3)/1000</f>
        <v>0</v>
      </c>
      <c r="T13" s="362">
        <f>ROUND('[1]Eredeti Ft'!T13,-3)/1000</f>
        <v>0</v>
      </c>
      <c r="U13" s="362">
        <f>ROUND('[1]Eredeti Ft'!U13,-3)/1000</f>
        <v>0</v>
      </c>
      <c r="V13" s="362">
        <f>ROUND('[1]Eredeti Ft'!V13,-3)/1000</f>
        <v>0</v>
      </c>
      <c r="W13" s="362">
        <f t="shared" si="1"/>
        <v>0</v>
      </c>
      <c r="Y13" s="363">
        <f>SUM(O13:V13)-R13</f>
        <v>0</v>
      </c>
    </row>
    <row r="14" spans="1:25" ht="21" customHeight="1" hidden="1">
      <c r="A14" s="360"/>
      <c r="B14" s="361" t="s">
        <v>380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>
        <f t="shared" si="0"/>
        <v>0</v>
      </c>
      <c r="O14" s="362"/>
      <c r="P14" s="362"/>
      <c r="Q14" s="362"/>
      <c r="R14" s="362"/>
      <c r="S14" s="362"/>
      <c r="T14" s="362"/>
      <c r="U14" s="362"/>
      <c r="V14" s="362"/>
      <c r="W14" s="362">
        <f t="shared" si="1"/>
        <v>0</v>
      </c>
      <c r="Y14" s="363"/>
    </row>
    <row r="15" spans="1:25" ht="21" customHeight="1" hidden="1">
      <c r="A15" s="360"/>
      <c r="B15" s="361" t="s">
        <v>381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>
        <f t="shared" si="0"/>
        <v>0</v>
      </c>
      <c r="O15" s="362"/>
      <c r="P15" s="362"/>
      <c r="Q15" s="362"/>
      <c r="R15" s="362"/>
      <c r="S15" s="362"/>
      <c r="T15" s="362"/>
      <c r="U15" s="362"/>
      <c r="V15" s="362"/>
      <c r="W15" s="362">
        <f t="shared" si="1"/>
        <v>0</v>
      </c>
      <c r="Y15" s="363"/>
    </row>
    <row r="16" spans="1:25" ht="12.75">
      <c r="A16" s="360">
        <f>'[1]Eredeti Ft'!A16</f>
        <v>0</v>
      </c>
      <c r="B16" s="361">
        <f>'[1]Eredeti Ft'!B16</f>
        <v>0</v>
      </c>
      <c r="C16" s="362">
        <f>ROUND('[1]Eredeti Ft'!C16,-3)/1000</f>
        <v>4599</v>
      </c>
      <c r="D16" s="362">
        <f>ROUND('[1]Eredeti Ft'!D16,-3)/1000</f>
        <v>3906</v>
      </c>
      <c r="E16" s="362">
        <f>ROUND('[1]Eredeti Ft'!E16,-3)/1000</f>
        <v>1150</v>
      </c>
      <c r="F16" s="362">
        <f>ROUND('[1]Eredeti Ft'!F16,-3)/1000</f>
        <v>0</v>
      </c>
      <c r="G16" s="362">
        <f>ROUND('[1]Eredeti Ft'!G16,-3)/1000</f>
        <v>0</v>
      </c>
      <c r="H16" s="362">
        <f>ROUND('[1]Eredeti Ft'!H16,-3)/1000</f>
        <v>0</v>
      </c>
      <c r="I16" s="362">
        <f>ROUND('[1]Eredeti Ft'!I16,-3)/1000</f>
        <v>0</v>
      </c>
      <c r="J16" s="362">
        <f>ROUND('[1]Eredeti Ft'!J16,-3)/1000</f>
        <v>0</v>
      </c>
      <c r="K16" s="362">
        <f>ROUND('[1]Eredeti Ft'!K16,-3)/1000</f>
        <v>0</v>
      </c>
      <c r="L16" s="362">
        <f>ROUND('[1]Eredeti Ft'!L16,-3)/1000</f>
        <v>0</v>
      </c>
      <c r="M16" s="362">
        <f>ROUND('[1]Eredeti Ft'!M16,-3)/1000</f>
        <v>0</v>
      </c>
      <c r="N16" s="362">
        <f t="shared" si="0"/>
        <v>5749</v>
      </c>
      <c r="O16" s="362">
        <f>ROUND('[1]Eredeti Ft'!O16,-3)/1000</f>
        <v>29349</v>
      </c>
      <c r="P16" s="362">
        <f>ROUND('[1]Eredeti Ft'!P16,-3)/1000</f>
        <v>7800</v>
      </c>
      <c r="Q16" s="362">
        <f>ROUND('[1]Eredeti Ft'!Q16,-3)/1000</f>
        <v>10285</v>
      </c>
      <c r="R16" s="362">
        <f>ROUND('[1]Eredeti Ft'!R16,-3)/1000</f>
        <v>4577</v>
      </c>
      <c r="S16" s="362">
        <f>ROUND('[1]Eredeti Ft'!S16,-3)/1000</f>
        <v>0</v>
      </c>
      <c r="T16" s="362">
        <f>ROUND('[1]Eredeti Ft'!T16,-3)/1000</f>
        <v>0</v>
      </c>
      <c r="U16" s="362">
        <f>ROUND('[1]Eredeti Ft'!U16,-3)/1000</f>
        <v>0</v>
      </c>
      <c r="V16" s="362">
        <f>ROUND('[1]Eredeti Ft'!V16,-3)/1000</f>
        <v>0</v>
      </c>
      <c r="W16" s="362">
        <f t="shared" si="1"/>
        <v>47434</v>
      </c>
      <c r="Y16" s="363">
        <f>SUM(O16:V16)-R16</f>
        <v>47434</v>
      </c>
    </row>
    <row r="17" spans="1:25" ht="12.75">
      <c r="A17" s="360"/>
      <c r="B17" s="361" t="s">
        <v>380</v>
      </c>
      <c r="C17" s="362">
        <f>C16</f>
        <v>4599</v>
      </c>
      <c r="D17" s="362">
        <f aca="true" t="shared" si="5" ref="D17:V18">D16</f>
        <v>3906</v>
      </c>
      <c r="E17" s="362">
        <f t="shared" si="5"/>
        <v>1150</v>
      </c>
      <c r="F17" s="362">
        <f t="shared" si="5"/>
        <v>0</v>
      </c>
      <c r="G17" s="362">
        <f t="shared" si="5"/>
        <v>0</v>
      </c>
      <c r="H17" s="362">
        <f t="shared" si="5"/>
        <v>0</v>
      </c>
      <c r="I17" s="362">
        <f t="shared" si="5"/>
        <v>0</v>
      </c>
      <c r="J17" s="362">
        <f t="shared" si="5"/>
        <v>0</v>
      </c>
      <c r="K17" s="362">
        <f t="shared" si="5"/>
        <v>0</v>
      </c>
      <c r="L17" s="362">
        <f>L16+288</f>
        <v>288</v>
      </c>
      <c r="M17" s="362">
        <f t="shared" si="5"/>
        <v>0</v>
      </c>
      <c r="N17" s="362">
        <f t="shared" si="0"/>
        <v>6037</v>
      </c>
      <c r="O17" s="362">
        <f>O16+94</f>
        <v>29443</v>
      </c>
      <c r="P17" s="362">
        <f>P16+26</f>
        <v>7826</v>
      </c>
      <c r="Q17" s="362">
        <f>Q16+288</f>
        <v>10573</v>
      </c>
      <c r="R17" s="362">
        <f t="shared" si="5"/>
        <v>4577</v>
      </c>
      <c r="S17" s="362">
        <f t="shared" si="5"/>
        <v>0</v>
      </c>
      <c r="T17" s="362">
        <f t="shared" si="5"/>
        <v>0</v>
      </c>
      <c r="U17" s="362">
        <f t="shared" si="5"/>
        <v>0</v>
      </c>
      <c r="V17" s="362">
        <f t="shared" si="5"/>
        <v>0</v>
      </c>
      <c r="W17" s="362">
        <f t="shared" si="1"/>
        <v>47842</v>
      </c>
      <c r="Y17" s="363"/>
    </row>
    <row r="18" spans="1:25" ht="12.75">
      <c r="A18" s="360"/>
      <c r="B18" s="361" t="s">
        <v>381</v>
      </c>
      <c r="C18" s="362">
        <f>C17</f>
        <v>4599</v>
      </c>
      <c r="D18" s="362">
        <f t="shared" si="5"/>
        <v>3906</v>
      </c>
      <c r="E18" s="362">
        <f t="shared" si="5"/>
        <v>1150</v>
      </c>
      <c r="F18" s="362">
        <f t="shared" si="5"/>
        <v>0</v>
      </c>
      <c r="G18" s="362">
        <f t="shared" si="5"/>
        <v>0</v>
      </c>
      <c r="H18" s="362">
        <f t="shared" si="5"/>
        <v>0</v>
      </c>
      <c r="I18" s="362">
        <f t="shared" si="5"/>
        <v>0</v>
      </c>
      <c r="J18" s="362">
        <f t="shared" si="5"/>
        <v>0</v>
      </c>
      <c r="K18" s="362">
        <f t="shared" si="5"/>
        <v>0</v>
      </c>
      <c r="L18" s="362">
        <f t="shared" si="5"/>
        <v>288</v>
      </c>
      <c r="M18" s="362">
        <f t="shared" si="5"/>
        <v>0</v>
      </c>
      <c r="N18" s="362">
        <f t="shared" si="0"/>
        <v>6037</v>
      </c>
      <c r="O18" s="362">
        <f>O17+172+35</f>
        <v>29650</v>
      </c>
      <c r="P18" s="362">
        <f>P17+47</f>
        <v>7873</v>
      </c>
      <c r="Q18" s="362">
        <f aca="true" t="shared" si="6" ref="Q18:V18">Q17</f>
        <v>10573</v>
      </c>
      <c r="R18" s="362">
        <f t="shared" si="6"/>
        <v>4577</v>
      </c>
      <c r="S18" s="362">
        <f t="shared" si="6"/>
        <v>0</v>
      </c>
      <c r="T18" s="362">
        <f t="shared" si="6"/>
        <v>0</v>
      </c>
      <c r="U18" s="362">
        <f t="shared" si="6"/>
        <v>0</v>
      </c>
      <c r="V18" s="362">
        <f t="shared" si="6"/>
        <v>0</v>
      </c>
      <c r="W18" s="362">
        <f t="shared" si="1"/>
        <v>48096</v>
      </c>
      <c r="Y18" s="363"/>
    </row>
    <row r="19" spans="1:25" ht="12.75">
      <c r="A19" s="360">
        <f>'[1]Eredeti Ft'!A19</f>
        <v>0</v>
      </c>
      <c r="B19" s="361">
        <f>'[1]Eredeti Ft'!B19</f>
        <v>0</v>
      </c>
      <c r="C19" s="362">
        <f>ROUND('[1]Eredeti Ft'!C19,-3)/1000</f>
        <v>5005</v>
      </c>
      <c r="D19" s="362">
        <f>ROUND('[1]Eredeti Ft'!D19,-3)/1000</f>
        <v>4028</v>
      </c>
      <c r="E19" s="362">
        <f>ROUND('[1]Eredeti Ft'!E19,-3)/1000</f>
        <v>1251</v>
      </c>
      <c r="F19" s="362">
        <f>ROUND('[1]Eredeti Ft'!F19,-3)/1000</f>
        <v>0</v>
      </c>
      <c r="G19" s="362">
        <f>ROUND('[1]Eredeti Ft'!G19,-3)/1000</f>
        <v>0</v>
      </c>
      <c r="H19" s="362">
        <f>ROUND('[1]Eredeti Ft'!H19,-3)/1000</f>
        <v>0</v>
      </c>
      <c r="I19" s="362">
        <f>ROUND('[1]Eredeti Ft'!I19,-3)/1000</f>
        <v>0</v>
      </c>
      <c r="J19" s="362">
        <f>ROUND('[1]Eredeti Ft'!J19,-3)/1000</f>
        <v>0</v>
      </c>
      <c r="K19" s="362">
        <f>ROUND('[1]Eredeti Ft'!K19,-3)/1000</f>
        <v>0</v>
      </c>
      <c r="L19" s="362">
        <f>ROUND('[1]Eredeti Ft'!L19,-3)/1000</f>
        <v>0</v>
      </c>
      <c r="M19" s="362">
        <f>ROUND('[1]Eredeti Ft'!M19,-3)/1000</f>
        <v>0</v>
      </c>
      <c r="N19" s="362">
        <f t="shared" si="0"/>
        <v>6256</v>
      </c>
      <c r="O19" s="362">
        <f>ROUND('[1]Eredeti Ft'!O19,-3)/1000</f>
        <v>38893</v>
      </c>
      <c r="P19" s="362">
        <f>ROUND('[1]Eredeti Ft'!P19,-3)/1000</f>
        <v>10316</v>
      </c>
      <c r="Q19" s="362">
        <f>ROUND('[1]Eredeti Ft'!Q19,-3)/1000</f>
        <v>16785</v>
      </c>
      <c r="R19" s="362">
        <f>ROUND('[1]Eredeti Ft'!R19,-3)/1000</f>
        <v>5976</v>
      </c>
      <c r="S19" s="362">
        <f>ROUND('[1]Eredeti Ft'!S19,-3)/1000</f>
        <v>0</v>
      </c>
      <c r="T19" s="362">
        <f>ROUND('[1]Eredeti Ft'!T19,-3)/1000</f>
        <v>0</v>
      </c>
      <c r="U19" s="362">
        <f>ROUND('[1]Eredeti Ft'!U19,-3)/1000</f>
        <v>0</v>
      </c>
      <c r="V19" s="362">
        <f>ROUND('[1]Eredeti Ft'!V19,-3)/1000</f>
        <v>0</v>
      </c>
      <c r="W19" s="362">
        <f t="shared" si="1"/>
        <v>65994</v>
      </c>
      <c r="Y19" s="363">
        <f>SUM(O19:V19)-R19</f>
        <v>65994</v>
      </c>
    </row>
    <row r="20" spans="1:25" ht="12.75">
      <c r="A20" s="360"/>
      <c r="B20" s="361" t="s">
        <v>380</v>
      </c>
      <c r="C20" s="362">
        <f>C19</f>
        <v>5005</v>
      </c>
      <c r="D20" s="362">
        <f aca="true" t="shared" si="7" ref="D20:V21">D19</f>
        <v>4028</v>
      </c>
      <c r="E20" s="362">
        <f t="shared" si="7"/>
        <v>1251</v>
      </c>
      <c r="F20" s="362">
        <f t="shared" si="7"/>
        <v>0</v>
      </c>
      <c r="G20" s="362">
        <f t="shared" si="7"/>
        <v>0</v>
      </c>
      <c r="H20" s="362">
        <f t="shared" si="7"/>
        <v>0</v>
      </c>
      <c r="I20" s="362">
        <f t="shared" si="7"/>
        <v>0</v>
      </c>
      <c r="J20" s="362">
        <f t="shared" si="7"/>
        <v>0</v>
      </c>
      <c r="K20" s="362">
        <f t="shared" si="7"/>
        <v>0</v>
      </c>
      <c r="L20" s="362">
        <f>L19+185</f>
        <v>185</v>
      </c>
      <c r="M20" s="362">
        <f t="shared" si="7"/>
        <v>0</v>
      </c>
      <c r="N20" s="362">
        <f t="shared" si="0"/>
        <v>6441</v>
      </c>
      <c r="O20" s="362">
        <f>O19+188</f>
        <v>39081</v>
      </c>
      <c r="P20" s="362">
        <f>P19+51</f>
        <v>10367</v>
      </c>
      <c r="Q20" s="362">
        <f>Q19+185</f>
        <v>16970</v>
      </c>
      <c r="R20" s="362">
        <f t="shared" si="7"/>
        <v>5976</v>
      </c>
      <c r="S20" s="362">
        <f t="shared" si="7"/>
        <v>0</v>
      </c>
      <c r="T20" s="362">
        <f t="shared" si="7"/>
        <v>0</v>
      </c>
      <c r="U20" s="362">
        <f t="shared" si="7"/>
        <v>0</v>
      </c>
      <c r="V20" s="362">
        <f t="shared" si="7"/>
        <v>0</v>
      </c>
      <c r="W20" s="362">
        <f t="shared" si="1"/>
        <v>66418</v>
      </c>
      <c r="Y20" s="363"/>
    </row>
    <row r="21" spans="1:25" ht="12.75">
      <c r="A21" s="360"/>
      <c r="B21" s="361" t="s">
        <v>381</v>
      </c>
      <c r="C21" s="362">
        <f>C20+712</f>
        <v>5717</v>
      </c>
      <c r="D21" s="362">
        <f>D20</f>
        <v>4028</v>
      </c>
      <c r="E21" s="362">
        <f>E20+178</f>
        <v>1429</v>
      </c>
      <c r="F21" s="362">
        <f t="shared" si="7"/>
        <v>0</v>
      </c>
      <c r="G21" s="362">
        <f t="shared" si="7"/>
        <v>0</v>
      </c>
      <c r="H21" s="362">
        <f t="shared" si="7"/>
        <v>0</v>
      </c>
      <c r="I21" s="362">
        <f t="shared" si="7"/>
        <v>0</v>
      </c>
      <c r="J21" s="362">
        <f t="shared" si="7"/>
        <v>0</v>
      </c>
      <c r="K21" s="362">
        <f t="shared" si="7"/>
        <v>0</v>
      </c>
      <c r="L21" s="362">
        <f t="shared" si="7"/>
        <v>185</v>
      </c>
      <c r="M21" s="362">
        <f t="shared" si="7"/>
        <v>0</v>
      </c>
      <c r="N21" s="362">
        <f t="shared" si="0"/>
        <v>7331</v>
      </c>
      <c r="O21" s="362">
        <f>O20+319+66</f>
        <v>39466</v>
      </c>
      <c r="P21" s="362">
        <f>P20+86</f>
        <v>10453</v>
      </c>
      <c r="Q21" s="362">
        <f>Q20+890</f>
        <v>17860</v>
      </c>
      <c r="R21" s="362">
        <f>R20</f>
        <v>5976</v>
      </c>
      <c r="S21" s="362">
        <f>S20</f>
        <v>0</v>
      </c>
      <c r="T21" s="362">
        <f>T20</f>
        <v>0</v>
      </c>
      <c r="U21" s="362">
        <f>U20</f>
        <v>0</v>
      </c>
      <c r="V21" s="362">
        <f>V20</f>
        <v>0</v>
      </c>
      <c r="W21" s="362">
        <f t="shared" si="1"/>
        <v>67779</v>
      </c>
      <c r="Y21" s="363"/>
    </row>
    <row r="22" spans="1:25" ht="12.75">
      <c r="A22" s="360">
        <f>'[1]Eredeti Ft'!A22</f>
        <v>0</v>
      </c>
      <c r="B22" s="361">
        <f>'[1]Eredeti Ft'!B22</f>
        <v>0</v>
      </c>
      <c r="C22" s="362">
        <f>ROUND('[1]Eredeti Ft'!C22,-3)/1000</f>
        <v>5649</v>
      </c>
      <c r="D22" s="362">
        <f>ROUND('[1]Eredeti Ft'!D22,-3)/1000</f>
        <v>2487</v>
      </c>
      <c r="E22" s="362">
        <f>ROUND('[1]Eredeti Ft'!E22,-3)/1000</f>
        <v>1412</v>
      </c>
      <c r="F22" s="362">
        <f>ROUND('[1]Eredeti Ft'!F22,-3)/1000</f>
        <v>0</v>
      </c>
      <c r="G22" s="362">
        <f>ROUND('[1]Eredeti Ft'!G22,-3)/1000</f>
        <v>0</v>
      </c>
      <c r="H22" s="362">
        <f>ROUND('[1]Eredeti Ft'!H22,-3)/1000</f>
        <v>0</v>
      </c>
      <c r="I22" s="362">
        <f>ROUND('[1]Eredeti Ft'!I22,-3)/1000</f>
        <v>0</v>
      </c>
      <c r="J22" s="362">
        <f>ROUND('[1]Eredeti Ft'!J22,-3)/1000</f>
        <v>0</v>
      </c>
      <c r="K22" s="362">
        <f>ROUND('[1]Eredeti Ft'!K22,-3)/1000</f>
        <v>0</v>
      </c>
      <c r="L22" s="362">
        <f>ROUND('[1]Eredeti Ft'!L22,-3)/1000</f>
        <v>0</v>
      </c>
      <c r="M22" s="362">
        <f>ROUND('[1]Eredeti Ft'!M22,-3)/1000</f>
        <v>0</v>
      </c>
      <c r="N22" s="362">
        <f t="shared" si="0"/>
        <v>7061</v>
      </c>
      <c r="O22" s="362">
        <f>ROUND('[1]Eredeti Ft'!O22,-3)/1000</f>
        <v>25874</v>
      </c>
      <c r="P22" s="362">
        <f>ROUND('[1]Eredeti Ft'!P22,-3)/1000</f>
        <v>6895</v>
      </c>
      <c r="Q22" s="362">
        <f>ROUND('[1]Eredeti Ft'!Q22,-3)/1000</f>
        <v>10835</v>
      </c>
      <c r="R22" s="362">
        <f>ROUND('[1]Eredeti Ft'!R22,-3)/1000</f>
        <v>3103</v>
      </c>
      <c r="S22" s="362">
        <f>ROUND('[1]Eredeti Ft'!S22,-3)/1000</f>
        <v>0</v>
      </c>
      <c r="T22" s="362">
        <f>ROUND('[1]Eredeti Ft'!T22,-3)/1000</f>
        <v>0</v>
      </c>
      <c r="U22" s="362">
        <f>ROUND('[1]Eredeti Ft'!U22,-3)/1000</f>
        <v>0</v>
      </c>
      <c r="V22" s="362">
        <f>ROUND('[1]Eredeti Ft'!V22,-3)/1000</f>
        <v>4500</v>
      </c>
      <c r="W22" s="362">
        <f t="shared" si="1"/>
        <v>48104</v>
      </c>
      <c r="Y22" s="363">
        <f>SUM(O22:V22)-R22</f>
        <v>48104</v>
      </c>
    </row>
    <row r="23" spans="1:25" ht="12.75">
      <c r="A23" s="360"/>
      <c r="B23" s="361" t="s">
        <v>380</v>
      </c>
      <c r="C23" s="362">
        <f>C22</f>
        <v>5649</v>
      </c>
      <c r="D23" s="362">
        <f aca="true" t="shared" si="8" ref="D23:V24">D22</f>
        <v>2487</v>
      </c>
      <c r="E23" s="362">
        <f t="shared" si="8"/>
        <v>1412</v>
      </c>
      <c r="F23" s="362">
        <f t="shared" si="8"/>
        <v>0</v>
      </c>
      <c r="G23" s="362">
        <f t="shared" si="8"/>
        <v>0</v>
      </c>
      <c r="H23" s="362">
        <f t="shared" si="8"/>
        <v>0</v>
      </c>
      <c r="I23" s="362">
        <f t="shared" si="8"/>
        <v>0</v>
      </c>
      <c r="J23" s="362">
        <f t="shared" si="8"/>
        <v>0</v>
      </c>
      <c r="K23" s="362">
        <f t="shared" si="8"/>
        <v>0</v>
      </c>
      <c r="L23" s="362">
        <f>L22+146</f>
        <v>146</v>
      </c>
      <c r="M23" s="362">
        <f t="shared" si="8"/>
        <v>0</v>
      </c>
      <c r="N23" s="362">
        <f t="shared" si="0"/>
        <v>7207</v>
      </c>
      <c r="O23" s="362">
        <f>O22+126</f>
        <v>26000</v>
      </c>
      <c r="P23" s="362">
        <f>P22+34</f>
        <v>6929</v>
      </c>
      <c r="Q23" s="362">
        <f>Q22+146</f>
        <v>10981</v>
      </c>
      <c r="R23" s="362">
        <f t="shared" si="8"/>
        <v>3103</v>
      </c>
      <c r="S23" s="362">
        <f t="shared" si="8"/>
        <v>0</v>
      </c>
      <c r="T23" s="362">
        <f t="shared" si="8"/>
        <v>0</v>
      </c>
      <c r="U23" s="362">
        <f t="shared" si="8"/>
        <v>0</v>
      </c>
      <c r="V23" s="362">
        <f t="shared" si="8"/>
        <v>4500</v>
      </c>
      <c r="W23" s="362">
        <f t="shared" si="1"/>
        <v>48410</v>
      </c>
      <c r="Y23" s="363"/>
    </row>
    <row r="24" spans="1:25" ht="12.75">
      <c r="A24" s="360"/>
      <c r="B24" s="361" t="s">
        <v>381</v>
      </c>
      <c r="C24" s="362">
        <f>C23</f>
        <v>5649</v>
      </c>
      <c r="D24" s="362">
        <f t="shared" si="8"/>
        <v>2487</v>
      </c>
      <c r="E24" s="362">
        <f t="shared" si="8"/>
        <v>1412</v>
      </c>
      <c r="F24" s="362">
        <f t="shared" si="8"/>
        <v>0</v>
      </c>
      <c r="G24" s="362">
        <f t="shared" si="8"/>
        <v>0</v>
      </c>
      <c r="H24" s="362">
        <f t="shared" si="8"/>
        <v>0</v>
      </c>
      <c r="I24" s="362">
        <f t="shared" si="8"/>
        <v>0</v>
      </c>
      <c r="J24" s="362">
        <f t="shared" si="8"/>
        <v>0</v>
      </c>
      <c r="K24" s="362">
        <f t="shared" si="8"/>
        <v>0</v>
      </c>
      <c r="L24" s="362">
        <f t="shared" si="8"/>
        <v>146</v>
      </c>
      <c r="M24" s="362">
        <f t="shared" si="8"/>
        <v>0</v>
      </c>
      <c r="N24" s="362">
        <f t="shared" si="0"/>
        <v>7207</v>
      </c>
      <c r="O24" s="362">
        <f>O23+202+48+41</f>
        <v>26291</v>
      </c>
      <c r="P24" s="362">
        <f>P23+54+12</f>
        <v>6995</v>
      </c>
      <c r="Q24" s="362">
        <f>Q23</f>
        <v>10981</v>
      </c>
      <c r="R24" s="362">
        <f>R23</f>
        <v>3103</v>
      </c>
      <c r="S24" s="362">
        <f>S23</f>
        <v>0</v>
      </c>
      <c r="T24" s="362">
        <f>T23</f>
        <v>0</v>
      </c>
      <c r="U24" s="362">
        <f>U23</f>
        <v>0</v>
      </c>
      <c r="V24" s="362">
        <v>0</v>
      </c>
      <c r="W24" s="362">
        <f t="shared" si="1"/>
        <v>44267</v>
      </c>
      <c r="Y24" s="363"/>
    </row>
    <row r="25" spans="1:25" ht="12.75">
      <c r="A25" s="360">
        <f>'[1]Eredeti Ft'!A25</f>
        <v>0</v>
      </c>
      <c r="B25" s="361">
        <f>'[1]Eredeti Ft'!B25</f>
        <v>0</v>
      </c>
      <c r="C25" s="362">
        <f>ROUND('[1]Eredeti Ft'!C25,-3)/1000</f>
        <v>4187</v>
      </c>
      <c r="D25" s="362">
        <f>ROUND('[1]Eredeti Ft'!D25,-3)/1000</f>
        <v>3615</v>
      </c>
      <c r="E25" s="362">
        <f>ROUND('[1]Eredeti Ft'!E25,-3)/1000-1</f>
        <v>1046</v>
      </c>
      <c r="F25" s="362">
        <f>ROUND('[1]Eredeti Ft'!F25,-3)/1000</f>
        <v>0</v>
      </c>
      <c r="G25" s="362">
        <f>ROUND('[1]Eredeti Ft'!G25,-3)/1000</f>
        <v>0</v>
      </c>
      <c r="H25" s="362">
        <f>ROUND('[1]Eredeti Ft'!H25,-3)/1000</f>
        <v>0</v>
      </c>
      <c r="I25" s="362">
        <f>ROUND('[1]Eredeti Ft'!I25,-3)/1000</f>
        <v>0</v>
      </c>
      <c r="J25" s="362">
        <f>ROUND('[1]Eredeti Ft'!J25,-3)/1000</f>
        <v>0</v>
      </c>
      <c r="K25" s="362">
        <f>ROUND('[1]Eredeti Ft'!K25,-3)/1000</f>
        <v>0</v>
      </c>
      <c r="L25" s="362">
        <f>ROUND('[1]Eredeti Ft'!L25,-3)/1000</f>
        <v>0</v>
      </c>
      <c r="M25" s="362">
        <f>ROUND('[1]Eredeti Ft'!M25,-3)/1000</f>
        <v>0</v>
      </c>
      <c r="N25" s="362">
        <f t="shared" si="0"/>
        <v>5233</v>
      </c>
      <c r="O25" s="362">
        <f>ROUND('[1]Eredeti Ft'!O25,-3)/1000</f>
        <v>27157</v>
      </c>
      <c r="P25" s="362">
        <f>ROUND('[1]Eredeti Ft'!P25,-3)/1000</f>
        <v>7242</v>
      </c>
      <c r="Q25" s="362">
        <f>ROUND('[1]Eredeti Ft'!Q25,-3)/1000</f>
        <v>10586</v>
      </c>
      <c r="R25" s="362">
        <f>ROUND('[1]Eredeti Ft'!R25,-3)/1000</f>
        <v>4725</v>
      </c>
      <c r="S25" s="362">
        <f>ROUND('[1]Eredeti Ft'!S25,-3)/1000</f>
        <v>0</v>
      </c>
      <c r="T25" s="362">
        <f>ROUND('[1]Eredeti Ft'!T25,-3)/1000</f>
        <v>0</v>
      </c>
      <c r="U25" s="362">
        <f>ROUND('[1]Eredeti Ft'!U25,-3)/1000</f>
        <v>0</v>
      </c>
      <c r="V25" s="362">
        <f>ROUND('[1]Eredeti Ft'!V25,-3)/1000</f>
        <v>0</v>
      </c>
      <c r="W25" s="362">
        <f t="shared" si="1"/>
        <v>44985</v>
      </c>
      <c r="Y25" s="363">
        <f>SUM(O25:V25)-R25</f>
        <v>44985</v>
      </c>
    </row>
    <row r="26" spans="1:25" ht="12.75">
      <c r="A26" s="360"/>
      <c r="B26" s="361" t="s">
        <v>380</v>
      </c>
      <c r="C26" s="362">
        <f>C25</f>
        <v>4187</v>
      </c>
      <c r="D26" s="362">
        <f aca="true" t="shared" si="9" ref="D26:V27">D25</f>
        <v>3615</v>
      </c>
      <c r="E26" s="362">
        <f t="shared" si="9"/>
        <v>1046</v>
      </c>
      <c r="F26" s="362">
        <f t="shared" si="9"/>
        <v>0</v>
      </c>
      <c r="G26" s="362">
        <f t="shared" si="9"/>
        <v>0</v>
      </c>
      <c r="H26" s="362">
        <f t="shared" si="9"/>
        <v>0</v>
      </c>
      <c r="I26" s="362">
        <f t="shared" si="9"/>
        <v>0</v>
      </c>
      <c r="J26" s="362">
        <f t="shared" si="9"/>
        <v>0</v>
      </c>
      <c r="K26" s="362">
        <f t="shared" si="9"/>
        <v>0</v>
      </c>
      <c r="L26" s="362">
        <f>L25+242</f>
        <v>242</v>
      </c>
      <c r="M26" s="362">
        <f t="shared" si="9"/>
        <v>0</v>
      </c>
      <c r="N26" s="362">
        <f t="shared" si="0"/>
        <v>5475</v>
      </c>
      <c r="O26" s="362">
        <f>O25+73</f>
        <v>27230</v>
      </c>
      <c r="P26" s="362">
        <f>P25+20</f>
        <v>7262</v>
      </c>
      <c r="Q26" s="362">
        <f>Q25+242</f>
        <v>10828</v>
      </c>
      <c r="R26" s="362">
        <f t="shared" si="9"/>
        <v>4725</v>
      </c>
      <c r="S26" s="362">
        <f t="shared" si="9"/>
        <v>0</v>
      </c>
      <c r="T26" s="362">
        <f t="shared" si="9"/>
        <v>0</v>
      </c>
      <c r="U26" s="362">
        <f t="shared" si="9"/>
        <v>0</v>
      </c>
      <c r="V26" s="362">
        <f t="shared" si="9"/>
        <v>0</v>
      </c>
      <c r="W26" s="362">
        <f t="shared" si="1"/>
        <v>45320</v>
      </c>
      <c r="Y26" s="363"/>
    </row>
    <row r="27" spans="1:25" ht="12.75">
      <c r="A27" s="360"/>
      <c r="B27" s="361" t="s">
        <v>381</v>
      </c>
      <c r="C27" s="362">
        <f>C26</f>
        <v>4187</v>
      </c>
      <c r="D27" s="362">
        <f t="shared" si="9"/>
        <v>3615</v>
      </c>
      <c r="E27" s="362">
        <f t="shared" si="9"/>
        <v>1046</v>
      </c>
      <c r="F27" s="362">
        <f t="shared" si="9"/>
        <v>0</v>
      </c>
      <c r="G27" s="362">
        <f t="shared" si="9"/>
        <v>0</v>
      </c>
      <c r="H27" s="362">
        <f t="shared" si="9"/>
        <v>0</v>
      </c>
      <c r="I27" s="362">
        <f t="shared" si="9"/>
        <v>0</v>
      </c>
      <c r="J27" s="362">
        <f t="shared" si="9"/>
        <v>0</v>
      </c>
      <c r="K27" s="362">
        <f t="shared" si="9"/>
        <v>0</v>
      </c>
      <c r="L27" s="362">
        <f t="shared" si="9"/>
        <v>242</v>
      </c>
      <c r="M27" s="362">
        <f t="shared" si="9"/>
        <v>0</v>
      </c>
      <c r="N27" s="362">
        <f t="shared" si="0"/>
        <v>5475</v>
      </c>
      <c r="O27" s="362">
        <f>O26+192+39</f>
        <v>27461</v>
      </c>
      <c r="P27" s="362">
        <f>P26+52</f>
        <v>7314</v>
      </c>
      <c r="Q27" s="362">
        <f aca="true" t="shared" si="10" ref="Q27:V27">Q26</f>
        <v>10828</v>
      </c>
      <c r="R27" s="362">
        <f t="shared" si="10"/>
        <v>4725</v>
      </c>
      <c r="S27" s="362">
        <f t="shared" si="10"/>
        <v>0</v>
      </c>
      <c r="T27" s="362">
        <f t="shared" si="10"/>
        <v>0</v>
      </c>
      <c r="U27" s="362">
        <f t="shared" si="10"/>
        <v>0</v>
      </c>
      <c r="V27" s="362">
        <f t="shared" si="10"/>
        <v>0</v>
      </c>
      <c r="W27" s="362">
        <f t="shared" si="1"/>
        <v>45603</v>
      </c>
      <c r="Y27" s="363"/>
    </row>
    <row r="28" spans="1:25" ht="12.75">
      <c r="A28" s="360">
        <f>'[1]Eredeti Ft'!A28</f>
        <v>0</v>
      </c>
      <c r="B28" s="361">
        <f>'[1]Eredeti Ft'!B28</f>
        <v>0</v>
      </c>
      <c r="C28" s="362">
        <f>ROUND('[1]Eredeti Ft'!C28,-3)/1000-1</f>
        <v>1002</v>
      </c>
      <c r="D28" s="362">
        <f>ROUND('[1]Eredeti Ft'!D28,-3)/1000</f>
        <v>839</v>
      </c>
      <c r="E28" s="362">
        <f>ROUND('[1]Eredeti Ft'!E28,-3)/1000</f>
        <v>251</v>
      </c>
      <c r="F28" s="362">
        <f>ROUND('[1]Eredeti Ft'!F28,-3)/1000</f>
        <v>0</v>
      </c>
      <c r="G28" s="362">
        <f>ROUND('[1]Eredeti Ft'!G28,-3)/1000</f>
        <v>0</v>
      </c>
      <c r="H28" s="362">
        <f>ROUND('[1]Eredeti Ft'!H28,-3)/1000</f>
        <v>0</v>
      </c>
      <c r="I28" s="362">
        <f>ROUND('[1]Eredeti Ft'!I28,-3)/1000</f>
        <v>0</v>
      </c>
      <c r="J28" s="362">
        <f>ROUND('[1]Eredeti Ft'!J28,-3)/1000</f>
        <v>0</v>
      </c>
      <c r="K28" s="362">
        <f>ROUND('[1]Eredeti Ft'!K28,-3)/1000</f>
        <v>0</v>
      </c>
      <c r="L28" s="362">
        <f>ROUND('[1]Eredeti Ft'!L28,-3)/1000</f>
        <v>0</v>
      </c>
      <c r="M28" s="362">
        <f>ROUND('[1]Eredeti Ft'!M28,-3)/1000</f>
        <v>0</v>
      </c>
      <c r="N28" s="362">
        <f t="shared" si="0"/>
        <v>1253</v>
      </c>
      <c r="O28" s="362">
        <f>ROUND('[1]Eredeti Ft'!O28,-3)/1000</f>
        <v>7193</v>
      </c>
      <c r="P28" s="362">
        <f>ROUND('[1]Eredeti Ft'!P28,-3)/1000</f>
        <v>1936</v>
      </c>
      <c r="Q28" s="362">
        <f>ROUND('[1]Eredeti Ft'!Q28,-3)/1000</f>
        <v>2957</v>
      </c>
      <c r="R28" s="362">
        <f>ROUND('[1]Eredeti Ft'!R28,-3)/1000</f>
        <v>1040</v>
      </c>
      <c r="S28" s="362">
        <f>ROUND('[1]Eredeti Ft'!S28,-3)/1000</f>
        <v>0</v>
      </c>
      <c r="T28" s="362">
        <f>ROUND('[1]Eredeti Ft'!T28,-3)/1000</f>
        <v>0</v>
      </c>
      <c r="U28" s="362">
        <f>ROUND('[1]Eredeti Ft'!U28,-3)/1000</f>
        <v>0</v>
      </c>
      <c r="V28" s="362">
        <f>ROUND('[1]Eredeti Ft'!V28,-3)/1000</f>
        <v>0</v>
      </c>
      <c r="W28" s="362">
        <f t="shared" si="1"/>
        <v>12086</v>
      </c>
      <c r="Y28" s="363">
        <f>SUM(O28:V28)-R28</f>
        <v>12086</v>
      </c>
    </row>
    <row r="29" spans="1:25" ht="12.75">
      <c r="A29" s="360"/>
      <c r="B29" s="361" t="s">
        <v>380</v>
      </c>
      <c r="C29" s="362">
        <f>C28</f>
        <v>1002</v>
      </c>
      <c r="D29" s="362">
        <f aca="true" t="shared" si="11" ref="D29:V30">D28</f>
        <v>839</v>
      </c>
      <c r="E29" s="362">
        <f t="shared" si="11"/>
        <v>251</v>
      </c>
      <c r="F29" s="362">
        <f t="shared" si="11"/>
        <v>0</v>
      </c>
      <c r="G29" s="362">
        <f t="shared" si="11"/>
        <v>0</v>
      </c>
      <c r="H29" s="362">
        <f t="shared" si="11"/>
        <v>0</v>
      </c>
      <c r="I29" s="362">
        <f t="shared" si="11"/>
        <v>0</v>
      </c>
      <c r="J29" s="362">
        <f t="shared" si="11"/>
        <v>0</v>
      </c>
      <c r="K29" s="362">
        <f t="shared" si="11"/>
        <v>0</v>
      </c>
      <c r="L29" s="362">
        <f t="shared" si="11"/>
        <v>0</v>
      </c>
      <c r="M29" s="362">
        <f t="shared" si="11"/>
        <v>0</v>
      </c>
      <c r="N29" s="362">
        <f t="shared" si="0"/>
        <v>1253</v>
      </c>
      <c r="O29" s="362">
        <f>O28+48</f>
        <v>7241</v>
      </c>
      <c r="P29" s="362">
        <f>P28+13</f>
        <v>1949</v>
      </c>
      <c r="Q29" s="362">
        <f t="shared" si="11"/>
        <v>2957</v>
      </c>
      <c r="R29" s="362">
        <f t="shared" si="11"/>
        <v>1040</v>
      </c>
      <c r="S29" s="362">
        <f t="shared" si="11"/>
        <v>0</v>
      </c>
      <c r="T29" s="362">
        <f t="shared" si="11"/>
        <v>0</v>
      </c>
      <c r="U29" s="362">
        <f t="shared" si="11"/>
        <v>0</v>
      </c>
      <c r="V29" s="362">
        <f t="shared" si="11"/>
        <v>0</v>
      </c>
      <c r="W29" s="362">
        <f t="shared" si="1"/>
        <v>12147</v>
      </c>
      <c r="Y29" s="363"/>
    </row>
    <row r="30" spans="1:25" ht="12.75">
      <c r="A30" s="360"/>
      <c r="B30" s="361" t="s">
        <v>381</v>
      </c>
      <c r="C30" s="362">
        <f>C29</f>
        <v>1002</v>
      </c>
      <c r="D30" s="362">
        <f t="shared" si="11"/>
        <v>839</v>
      </c>
      <c r="E30" s="362">
        <f t="shared" si="11"/>
        <v>251</v>
      </c>
      <c r="F30" s="362">
        <f t="shared" si="11"/>
        <v>0</v>
      </c>
      <c r="G30" s="362">
        <f t="shared" si="11"/>
        <v>0</v>
      </c>
      <c r="H30" s="362">
        <f t="shared" si="11"/>
        <v>0</v>
      </c>
      <c r="I30" s="362">
        <f t="shared" si="11"/>
        <v>0</v>
      </c>
      <c r="J30" s="362">
        <f t="shared" si="11"/>
        <v>0</v>
      </c>
      <c r="K30" s="362">
        <f t="shared" si="11"/>
        <v>0</v>
      </c>
      <c r="L30" s="362">
        <f t="shared" si="11"/>
        <v>0</v>
      </c>
      <c r="M30" s="362">
        <f t="shared" si="11"/>
        <v>0</v>
      </c>
      <c r="N30" s="362">
        <f t="shared" si="0"/>
        <v>1253</v>
      </c>
      <c r="O30" s="362">
        <f>O29+79+16</f>
        <v>7336</v>
      </c>
      <c r="P30" s="362">
        <f>P29+21</f>
        <v>1970</v>
      </c>
      <c r="Q30" s="362">
        <f>Q29+25</f>
        <v>2982</v>
      </c>
      <c r="R30" s="362">
        <f>R29</f>
        <v>1040</v>
      </c>
      <c r="S30" s="362">
        <f t="shared" si="11"/>
        <v>0</v>
      </c>
      <c r="T30" s="362">
        <f t="shared" si="11"/>
        <v>0</v>
      </c>
      <c r="U30" s="362">
        <f t="shared" si="11"/>
        <v>0</v>
      </c>
      <c r="V30" s="362">
        <f t="shared" si="11"/>
        <v>0</v>
      </c>
      <c r="W30" s="362">
        <f t="shared" si="1"/>
        <v>12288</v>
      </c>
      <c r="Y30" s="363"/>
    </row>
    <row r="31" spans="1:25" ht="12.75">
      <c r="A31" s="360">
        <f>'[1]Eredeti Ft'!A31</f>
        <v>0</v>
      </c>
      <c r="B31" s="361">
        <f>'[1]Eredeti Ft'!B31</f>
        <v>0</v>
      </c>
      <c r="C31" s="362">
        <f>ROUND('[1]Eredeti Ft'!C31,-3)/1000</f>
        <v>4677</v>
      </c>
      <c r="D31" s="362">
        <f>ROUND('[1]Eredeti Ft'!D31,-3)/1000</f>
        <v>3295</v>
      </c>
      <c r="E31" s="362">
        <f>ROUND('[1]Eredeti Ft'!E31,-3)/1000</f>
        <v>1169</v>
      </c>
      <c r="F31" s="362">
        <f>ROUND('[1]Eredeti Ft'!F31,-3)/1000</f>
        <v>0</v>
      </c>
      <c r="G31" s="362">
        <f>ROUND('[1]Eredeti Ft'!G31,-3)/1000</f>
        <v>0</v>
      </c>
      <c r="H31" s="362">
        <f>ROUND('[1]Eredeti Ft'!H31,-3)/1000</f>
        <v>0</v>
      </c>
      <c r="I31" s="362">
        <f>ROUND('[1]Eredeti Ft'!I31,-3)/1000</f>
        <v>0</v>
      </c>
      <c r="J31" s="362">
        <f>ROUND('[1]Eredeti Ft'!J31,-3)/1000</f>
        <v>0</v>
      </c>
      <c r="K31" s="362">
        <f>ROUND('[1]Eredeti Ft'!K31,-3)/1000</f>
        <v>0</v>
      </c>
      <c r="L31" s="362">
        <f>ROUND('[1]Eredeti Ft'!L31,-3)/1000</f>
        <v>0</v>
      </c>
      <c r="M31" s="362">
        <f>ROUND('[1]Eredeti Ft'!M31,-3)/1000</f>
        <v>0</v>
      </c>
      <c r="N31" s="362">
        <f t="shared" si="0"/>
        <v>5846</v>
      </c>
      <c r="O31" s="362">
        <f>ROUND('[1]Eredeti Ft'!O31,-3)/1000</f>
        <v>37987</v>
      </c>
      <c r="P31" s="362">
        <f>ROUND('[1]Eredeti Ft'!P31,-3)/1000</f>
        <v>10028</v>
      </c>
      <c r="Q31" s="362">
        <f>ROUND('[1]Eredeti Ft'!Q31,-3)/1000</f>
        <v>19990</v>
      </c>
      <c r="R31" s="362">
        <f>ROUND('[1]Eredeti Ft'!R31,-3)/1000</f>
        <v>3917</v>
      </c>
      <c r="S31" s="362">
        <f>ROUND('[1]Eredeti Ft'!S31,-3)/1000</f>
        <v>0</v>
      </c>
      <c r="T31" s="362">
        <f>ROUND('[1]Eredeti Ft'!T31,-3)/1000</f>
        <v>0</v>
      </c>
      <c r="U31" s="362">
        <f>ROUND('[1]Eredeti Ft'!U31,-3)/1000</f>
        <v>0</v>
      </c>
      <c r="V31" s="362">
        <f>ROUND('[1]Eredeti Ft'!V31,-3)/1000</f>
        <v>5000</v>
      </c>
      <c r="W31" s="362">
        <f t="shared" si="1"/>
        <v>73005</v>
      </c>
      <c r="Y31" s="363">
        <f>SUM(O31:V31)-R31</f>
        <v>73005</v>
      </c>
    </row>
    <row r="32" spans="1:25" ht="12.75">
      <c r="A32" s="360"/>
      <c r="B32" s="361" t="s">
        <v>380</v>
      </c>
      <c r="C32" s="362">
        <f aca="true" t="shared" si="12" ref="C32:K32">C31</f>
        <v>4677</v>
      </c>
      <c r="D32" s="362">
        <f t="shared" si="12"/>
        <v>3295</v>
      </c>
      <c r="E32" s="362">
        <f t="shared" si="12"/>
        <v>1169</v>
      </c>
      <c r="F32" s="362">
        <f t="shared" si="12"/>
        <v>0</v>
      </c>
      <c r="G32" s="362">
        <f t="shared" si="12"/>
        <v>0</v>
      </c>
      <c r="H32" s="362">
        <f t="shared" si="12"/>
        <v>0</v>
      </c>
      <c r="I32" s="362">
        <f t="shared" si="12"/>
        <v>0</v>
      </c>
      <c r="J32" s="362">
        <f t="shared" si="12"/>
        <v>0</v>
      </c>
      <c r="K32" s="362">
        <f t="shared" si="12"/>
        <v>0</v>
      </c>
      <c r="L32" s="362">
        <f>L31+1047</f>
        <v>1047</v>
      </c>
      <c r="M32" s="362">
        <f>M31</f>
        <v>0</v>
      </c>
      <c r="N32" s="362">
        <f t="shared" si="0"/>
        <v>6893</v>
      </c>
      <c r="O32" s="362">
        <f>O31+156+120+4081</f>
        <v>42344</v>
      </c>
      <c r="P32" s="362">
        <f>P31+42+1080</f>
        <v>11150</v>
      </c>
      <c r="Q32" s="362">
        <f>Q31+927+2839</f>
        <v>23756</v>
      </c>
      <c r="R32" s="362">
        <f>R31</f>
        <v>3917</v>
      </c>
      <c r="S32" s="362">
        <f>S31</f>
        <v>0</v>
      </c>
      <c r="T32" s="362">
        <f>T31</f>
        <v>0</v>
      </c>
      <c r="U32" s="362">
        <f>U31</f>
        <v>0</v>
      </c>
      <c r="V32" s="362">
        <f>V31</f>
        <v>5000</v>
      </c>
      <c r="W32" s="362">
        <f t="shared" si="1"/>
        <v>82250</v>
      </c>
      <c r="Y32" s="363"/>
    </row>
    <row r="33" spans="1:25" ht="12.75">
      <c r="A33" s="360"/>
      <c r="B33" s="361" t="s">
        <v>381</v>
      </c>
      <c r="C33" s="362">
        <f>C32</f>
        <v>4677</v>
      </c>
      <c r="D33" s="362">
        <f>D32</f>
        <v>3295</v>
      </c>
      <c r="E33" s="362">
        <f>E32</f>
        <v>1169</v>
      </c>
      <c r="F33" s="362">
        <f>F32</f>
        <v>0</v>
      </c>
      <c r="G33" s="362">
        <f>468</f>
        <v>468</v>
      </c>
      <c r="H33" s="362">
        <v>304</v>
      </c>
      <c r="I33" s="362">
        <f>I32</f>
        <v>0</v>
      </c>
      <c r="J33" s="362">
        <f>J32</f>
        <v>0</v>
      </c>
      <c r="K33" s="362">
        <f>K32</f>
        <v>0</v>
      </c>
      <c r="L33" s="362">
        <f>L32</f>
        <v>1047</v>
      </c>
      <c r="M33" s="362">
        <f>M32</f>
        <v>0</v>
      </c>
      <c r="N33" s="362">
        <f t="shared" si="0"/>
        <v>7665</v>
      </c>
      <c r="O33" s="362">
        <f>O32+301+62</f>
        <v>42707</v>
      </c>
      <c r="P33" s="362">
        <f>P32+81</f>
        <v>11231</v>
      </c>
      <c r="Q33" s="362">
        <f>Q32+468</f>
        <v>24224</v>
      </c>
      <c r="R33" s="362">
        <f>R32</f>
        <v>3917</v>
      </c>
      <c r="S33" s="362">
        <f>S32</f>
        <v>0</v>
      </c>
      <c r="T33" s="362">
        <f>T32</f>
        <v>0</v>
      </c>
      <c r="U33" s="362">
        <v>304</v>
      </c>
      <c r="V33" s="362">
        <v>0</v>
      </c>
      <c r="W33" s="362">
        <f t="shared" si="1"/>
        <v>78466</v>
      </c>
      <c r="Y33" s="363"/>
    </row>
    <row r="34" spans="1:25" ht="12.75">
      <c r="A34" s="360">
        <f>'[1]Eredeti Ft'!A34</f>
        <v>0</v>
      </c>
      <c r="B34" s="361">
        <f>'[1]Eredeti Ft'!B34</f>
        <v>0</v>
      </c>
      <c r="C34" s="362">
        <f>ROUND('[1]Eredeti Ft'!C34,-3)/1000</f>
        <v>15919</v>
      </c>
      <c r="D34" s="362">
        <f>ROUND('[1]Eredeti Ft'!D34,-3)/1000</f>
        <v>12826</v>
      </c>
      <c r="E34" s="362">
        <f>ROUND('[1]Eredeti Ft'!E34,-3)/1000</f>
        <v>3354</v>
      </c>
      <c r="F34" s="362">
        <f>ROUND('[1]Eredeti Ft'!F34,-3)/1000</f>
        <v>4200</v>
      </c>
      <c r="G34" s="362">
        <f>ROUND('[1]Eredeti Ft'!G34,-3)/1000</f>
        <v>1500</v>
      </c>
      <c r="H34" s="362">
        <f>ROUND('[1]Eredeti Ft'!H34,-3)/1000</f>
        <v>0</v>
      </c>
      <c r="I34" s="362">
        <f>ROUND('[1]Eredeti Ft'!I34,-3)/1000</f>
        <v>0</v>
      </c>
      <c r="J34" s="362">
        <f>ROUND('[1]Eredeti Ft'!J34,-3)/1000</f>
        <v>0</v>
      </c>
      <c r="K34" s="362">
        <f>ROUND('[1]Eredeti Ft'!K34,-3)/1000</f>
        <v>0</v>
      </c>
      <c r="L34" s="362">
        <f>ROUND('[1]Eredeti Ft'!L34,-3)/1000</f>
        <v>0</v>
      </c>
      <c r="M34" s="362">
        <f>ROUND('[1]Eredeti Ft'!M34,-3)/1000</f>
        <v>0</v>
      </c>
      <c r="N34" s="362">
        <f t="shared" si="0"/>
        <v>24973</v>
      </c>
      <c r="O34" s="362">
        <f>ROUND('[1]Eredeti Ft'!O34,-3)/1000</f>
        <v>159000</v>
      </c>
      <c r="P34" s="362">
        <f>ROUND('[1]Eredeti Ft'!P34,-3)/1000</f>
        <v>42524</v>
      </c>
      <c r="Q34" s="362">
        <f>ROUND('[1]Eredeti Ft'!Q34,-3)/1000</f>
        <v>68585</v>
      </c>
      <c r="R34" s="362">
        <f>ROUND('[1]Eredeti Ft'!R34,-3)/1000</f>
        <v>31893</v>
      </c>
      <c r="S34" s="362">
        <f>ROUND('[1]Eredeti Ft'!S34,-3)/1000</f>
        <v>4200</v>
      </c>
      <c r="T34" s="362">
        <f>ROUND('[1]Eredeti Ft'!T34,-3)/1000</f>
        <v>4200</v>
      </c>
      <c r="U34" s="362">
        <f>ROUND('[1]Eredeti Ft'!U34,-3)/1000</f>
        <v>0</v>
      </c>
      <c r="V34" s="362">
        <f>ROUND('[1]Eredeti Ft'!V34,-3)/1000</f>
        <v>2300</v>
      </c>
      <c r="W34" s="362">
        <f t="shared" si="1"/>
        <v>280809</v>
      </c>
      <c r="Y34" s="363">
        <f>SUM(O34:V34)-R34</f>
        <v>280809</v>
      </c>
    </row>
    <row r="35" spans="1:25" ht="12.75">
      <c r="A35" s="360"/>
      <c r="B35" s="361" t="s">
        <v>380</v>
      </c>
      <c r="C35" s="362">
        <f aca="true" t="shared" si="13" ref="C35:E36">C34</f>
        <v>15919</v>
      </c>
      <c r="D35" s="362">
        <f t="shared" si="13"/>
        <v>12826</v>
      </c>
      <c r="E35" s="362">
        <f t="shared" si="13"/>
        <v>3354</v>
      </c>
      <c r="F35" s="362">
        <v>0</v>
      </c>
      <c r="G35" s="362">
        <f>G34+474</f>
        <v>1974</v>
      </c>
      <c r="H35" s="362">
        <f>H34</f>
        <v>0</v>
      </c>
      <c r="I35" s="362">
        <f>I34</f>
        <v>0</v>
      </c>
      <c r="J35" s="362">
        <f>J34</f>
        <v>0</v>
      </c>
      <c r="K35" s="362">
        <f>K34</f>
        <v>0</v>
      </c>
      <c r="L35" s="362">
        <f>L34+4573</f>
        <v>4573</v>
      </c>
      <c r="M35" s="362">
        <f>M34</f>
        <v>0</v>
      </c>
      <c r="N35" s="362">
        <f t="shared" si="0"/>
        <v>25820</v>
      </c>
      <c r="O35" s="362">
        <f>O34+373+704+889+689</f>
        <v>161655</v>
      </c>
      <c r="P35" s="362">
        <f>P34+101+190+186</f>
        <v>43001</v>
      </c>
      <c r="Q35" s="362">
        <f>Q34+1483+1326+100+602</f>
        <v>72096</v>
      </c>
      <c r="R35" s="362">
        <f>R34</f>
        <v>31893</v>
      </c>
      <c r="S35" s="362">
        <f>S34</f>
        <v>4200</v>
      </c>
      <c r="T35" s="362">
        <v>0</v>
      </c>
      <c r="U35" s="362">
        <f>U34</f>
        <v>0</v>
      </c>
      <c r="V35" s="362">
        <f>V34</f>
        <v>2300</v>
      </c>
      <c r="W35" s="362">
        <f t="shared" si="1"/>
        <v>283252</v>
      </c>
      <c r="Y35" s="363"/>
    </row>
    <row r="36" spans="1:25" ht="12.75">
      <c r="A36" s="360"/>
      <c r="B36" s="361" t="s">
        <v>381</v>
      </c>
      <c r="C36" s="362">
        <f t="shared" si="13"/>
        <v>15919</v>
      </c>
      <c r="D36" s="362">
        <f t="shared" si="13"/>
        <v>12826</v>
      </c>
      <c r="E36" s="362">
        <f t="shared" si="13"/>
        <v>3354</v>
      </c>
      <c r="F36" s="362">
        <v>0</v>
      </c>
      <c r="G36" s="362">
        <f>G35+75-1500</f>
        <v>549</v>
      </c>
      <c r="H36" s="362">
        <f>H35</f>
        <v>0</v>
      </c>
      <c r="I36" s="362">
        <v>1500</v>
      </c>
      <c r="J36" s="362">
        <f>J35</f>
        <v>0</v>
      </c>
      <c r="K36" s="362">
        <f>K35</f>
        <v>0</v>
      </c>
      <c r="L36" s="362">
        <f>L35+602</f>
        <v>5175</v>
      </c>
      <c r="M36" s="362">
        <f>M35</f>
        <v>0</v>
      </c>
      <c r="N36" s="362">
        <f t="shared" si="0"/>
        <v>26497</v>
      </c>
      <c r="O36" s="362">
        <f>O35+1129+232</f>
        <v>163016</v>
      </c>
      <c r="P36" s="362">
        <f>P35+305</f>
        <v>43306</v>
      </c>
      <c r="Q36" s="362">
        <f>Q35+75+390</f>
        <v>72561</v>
      </c>
      <c r="R36" s="362">
        <f>R35</f>
        <v>31893</v>
      </c>
      <c r="S36" s="362">
        <f>S35</f>
        <v>4200</v>
      </c>
      <c r="T36" s="362">
        <v>0</v>
      </c>
      <c r="U36" s="362">
        <f>U35</f>
        <v>0</v>
      </c>
      <c r="V36" s="362">
        <v>0</v>
      </c>
      <c r="W36" s="362">
        <f t="shared" si="1"/>
        <v>283083</v>
      </c>
      <c r="Y36" s="363"/>
    </row>
    <row r="37" spans="1:25" ht="12.75">
      <c r="A37" s="360">
        <f>'[1]Eredeti Ft'!A37</f>
        <v>0</v>
      </c>
      <c r="B37" s="361">
        <f>'[1]Eredeti Ft'!B37</f>
        <v>0</v>
      </c>
      <c r="C37" s="362">
        <f>ROUND('[1]Eredeti Ft'!C37,-3)/1000</f>
        <v>0</v>
      </c>
      <c r="D37" s="362">
        <f>ROUND('[1]Eredeti Ft'!D37,-3)/1000</f>
        <v>0</v>
      </c>
      <c r="E37" s="362">
        <f>ROUND('[1]Eredeti Ft'!E37,-3)/1000</f>
        <v>0</v>
      </c>
      <c r="F37" s="362">
        <f>ROUND('[1]Eredeti Ft'!F37,-3)/1000</f>
        <v>0</v>
      </c>
      <c r="G37" s="362">
        <f>ROUND('[1]Eredeti Ft'!G37,-3)/1000</f>
        <v>0</v>
      </c>
      <c r="H37" s="362">
        <f>ROUND('[1]Eredeti Ft'!H37,-3)/1000</f>
        <v>0</v>
      </c>
      <c r="I37" s="362">
        <f>ROUND('[1]Eredeti Ft'!I37,-3)/1000</f>
        <v>5494</v>
      </c>
      <c r="J37" s="362">
        <f>ROUND('[1]Eredeti Ft'!J37,-3)/1000</f>
        <v>0</v>
      </c>
      <c r="K37" s="362">
        <f>ROUND('[1]Eredeti Ft'!K37,-3)/1000</f>
        <v>0</v>
      </c>
      <c r="L37" s="362">
        <f>ROUND('[1]Eredeti Ft'!L37,-3)/1000</f>
        <v>0</v>
      </c>
      <c r="M37" s="362">
        <f>ROUND('[1]Eredeti Ft'!M37,-3)/1000</f>
        <v>0</v>
      </c>
      <c r="N37" s="362">
        <f t="shared" si="0"/>
        <v>5494</v>
      </c>
      <c r="O37" s="362">
        <f>ROUND('[1]Eredeti Ft'!O37,-3)/1000</f>
        <v>21810</v>
      </c>
      <c r="P37" s="362">
        <f>ROUND('[1]Eredeti Ft'!P37,-3)/1000</f>
        <v>5774</v>
      </c>
      <c r="Q37" s="362">
        <f>ROUND('[1]Eredeti Ft'!Q37,-3)/1000-1</f>
        <v>2535</v>
      </c>
      <c r="R37" s="362">
        <f>ROUND('[1]Eredeti Ft'!R37,-3)/1000</f>
        <v>0</v>
      </c>
      <c r="S37" s="362">
        <f>ROUND('[1]Eredeti Ft'!S37,-3)/1000</f>
        <v>0</v>
      </c>
      <c r="T37" s="362">
        <f>ROUND('[1]Eredeti Ft'!T37,-3)/1000</f>
        <v>0</v>
      </c>
      <c r="U37" s="362">
        <f>ROUND('[1]Eredeti Ft'!U37,-3)/1000</f>
        <v>0</v>
      </c>
      <c r="V37" s="362">
        <f>ROUND('[1]Eredeti Ft'!V37,-3)/1000</f>
        <v>0</v>
      </c>
      <c r="W37" s="362">
        <f t="shared" si="1"/>
        <v>30119</v>
      </c>
      <c r="Y37" s="363">
        <f>SUM(O37:V37)-R37</f>
        <v>30119</v>
      </c>
    </row>
    <row r="38" spans="1:25" ht="12.75">
      <c r="A38" s="360"/>
      <c r="B38" s="361" t="s">
        <v>380</v>
      </c>
      <c r="C38" s="362">
        <f aca="true" t="shared" si="14" ref="C38:K39">C37</f>
        <v>0</v>
      </c>
      <c r="D38" s="362">
        <f t="shared" si="14"/>
        <v>0</v>
      </c>
      <c r="E38" s="362">
        <f t="shared" si="14"/>
        <v>0</v>
      </c>
      <c r="F38" s="362">
        <f t="shared" si="14"/>
        <v>0</v>
      </c>
      <c r="G38" s="362">
        <f t="shared" si="14"/>
        <v>0</v>
      </c>
      <c r="H38" s="362">
        <f t="shared" si="14"/>
        <v>0</v>
      </c>
      <c r="I38" s="362">
        <f t="shared" si="14"/>
        <v>5494</v>
      </c>
      <c r="J38" s="362">
        <f t="shared" si="14"/>
        <v>0</v>
      </c>
      <c r="K38" s="362">
        <f t="shared" si="14"/>
        <v>0</v>
      </c>
      <c r="L38" s="362">
        <f>L37+162</f>
        <v>162</v>
      </c>
      <c r="M38" s="362">
        <f>M37</f>
        <v>0</v>
      </c>
      <c r="N38" s="362">
        <f t="shared" si="0"/>
        <v>5656</v>
      </c>
      <c r="O38" s="362">
        <f>O37+113+157-1094+1203-1203</f>
        <v>20986</v>
      </c>
      <c r="P38" s="362">
        <f>P37+31-295</f>
        <v>5510</v>
      </c>
      <c r="Q38" s="362">
        <f>Q37+5+295+1094+1203</f>
        <v>5132</v>
      </c>
      <c r="R38" s="362">
        <f aca="true" t="shared" si="15" ref="R38:V39">R37</f>
        <v>0</v>
      </c>
      <c r="S38" s="362">
        <f t="shared" si="15"/>
        <v>0</v>
      </c>
      <c r="T38" s="362">
        <f t="shared" si="15"/>
        <v>0</v>
      </c>
      <c r="U38" s="362">
        <f t="shared" si="15"/>
        <v>0</v>
      </c>
      <c r="V38" s="362">
        <f t="shared" si="15"/>
        <v>0</v>
      </c>
      <c r="W38" s="362">
        <f t="shared" si="1"/>
        <v>31628</v>
      </c>
      <c r="Y38" s="363"/>
    </row>
    <row r="39" spans="1:25" ht="12.75">
      <c r="A39" s="360"/>
      <c r="B39" s="361" t="s">
        <v>381</v>
      </c>
      <c r="C39" s="362">
        <f t="shared" si="14"/>
        <v>0</v>
      </c>
      <c r="D39" s="362">
        <f t="shared" si="14"/>
        <v>0</v>
      </c>
      <c r="E39" s="362">
        <f t="shared" si="14"/>
        <v>0</v>
      </c>
      <c r="F39" s="362">
        <f t="shared" si="14"/>
        <v>0</v>
      </c>
      <c r="G39" s="362">
        <f t="shared" si="14"/>
        <v>0</v>
      </c>
      <c r="H39" s="362">
        <f t="shared" si="14"/>
        <v>0</v>
      </c>
      <c r="I39" s="362">
        <f t="shared" si="14"/>
        <v>5494</v>
      </c>
      <c r="J39" s="362">
        <f t="shared" si="14"/>
        <v>0</v>
      </c>
      <c r="K39" s="362">
        <f t="shared" si="14"/>
        <v>0</v>
      </c>
      <c r="L39" s="362">
        <f>L38+1203</f>
        <v>1365</v>
      </c>
      <c r="M39" s="362">
        <f>M38</f>
        <v>0</v>
      </c>
      <c r="N39" s="362">
        <f t="shared" si="0"/>
        <v>6859</v>
      </c>
      <c r="O39" s="362">
        <f>O38+188+472-508+39</f>
        <v>21177</v>
      </c>
      <c r="P39" s="362">
        <f>P38+51+128-138</f>
        <v>5551</v>
      </c>
      <c r="Q39" s="362">
        <f>Q38+258-19+508+138</f>
        <v>6017</v>
      </c>
      <c r="R39" s="362">
        <f t="shared" si="15"/>
        <v>0</v>
      </c>
      <c r="S39" s="362">
        <f t="shared" si="15"/>
        <v>0</v>
      </c>
      <c r="T39" s="362">
        <f t="shared" si="15"/>
        <v>0</v>
      </c>
      <c r="U39" s="362">
        <f t="shared" si="15"/>
        <v>0</v>
      </c>
      <c r="V39" s="362">
        <f t="shared" si="15"/>
        <v>0</v>
      </c>
      <c r="W39" s="362">
        <f t="shared" si="1"/>
        <v>32745</v>
      </c>
      <c r="Y39" s="363"/>
    </row>
    <row r="40" spans="1:25" ht="12.75">
      <c r="A40" s="360">
        <f>'[1]Eredeti Ft'!A40</f>
        <v>0</v>
      </c>
      <c r="B40" s="361">
        <f>'[1]Eredeti Ft'!B40</f>
        <v>0</v>
      </c>
      <c r="C40" s="362">
        <f>ROUND('[1]Eredeti Ft'!C40,-3)/1000</f>
        <v>8552</v>
      </c>
      <c r="D40" s="362">
        <f>ROUND('[1]Eredeti Ft'!D40,-3)/1000</f>
        <v>7802</v>
      </c>
      <c r="E40" s="362">
        <f>ROUND('[1]Eredeti Ft'!E40,-3)/1000</f>
        <v>2091</v>
      </c>
      <c r="F40" s="362">
        <f>ROUND('[1]Eredeti Ft'!F40,-3)/1000</f>
        <v>0</v>
      </c>
      <c r="G40" s="362">
        <f>ROUND('[1]Eredeti Ft'!G40,-3)/1000</f>
        <v>0</v>
      </c>
      <c r="H40" s="362">
        <f>ROUND('[1]Eredeti Ft'!H40,-3)/1000</f>
        <v>0</v>
      </c>
      <c r="I40" s="362">
        <f>ROUND('[1]Eredeti Ft'!I40,-3)/1000</f>
        <v>0</v>
      </c>
      <c r="J40" s="362">
        <f>ROUND('[1]Eredeti Ft'!J40,-3)/1000</f>
        <v>0</v>
      </c>
      <c r="K40" s="362">
        <f>ROUND('[1]Eredeti Ft'!K40,-3)/1000</f>
        <v>0</v>
      </c>
      <c r="L40" s="362">
        <f>ROUND('[1]Eredeti Ft'!L40,-3)/1000</f>
        <v>0</v>
      </c>
      <c r="M40" s="362">
        <f>ROUND('[1]Eredeti Ft'!M40,-3)/1000</f>
        <v>0</v>
      </c>
      <c r="N40" s="362">
        <f t="shared" si="0"/>
        <v>10643</v>
      </c>
      <c r="O40" s="362">
        <f>ROUND('[1]Eredeti Ft'!O40,-3)/1000</f>
        <v>43110</v>
      </c>
      <c r="P40" s="362">
        <f>ROUND('[1]Eredeti Ft'!P40,-3)/1000+1</f>
        <v>11590</v>
      </c>
      <c r="Q40" s="362">
        <f>ROUND('[1]Eredeti Ft'!Q40,-3)/1000</f>
        <v>27696</v>
      </c>
      <c r="R40" s="362">
        <f>ROUND('[1]Eredeti Ft'!R40,-3)/1000</f>
        <v>17840</v>
      </c>
      <c r="S40" s="362">
        <f>ROUND('[1]Eredeti Ft'!S40,-3)/1000</f>
        <v>1020</v>
      </c>
      <c r="T40" s="362">
        <f>ROUND('[1]Eredeti Ft'!T40,-3)/1000</f>
        <v>0</v>
      </c>
      <c r="U40" s="362">
        <f>ROUND('[1]Eredeti Ft'!U40,-3)/1000</f>
        <v>0</v>
      </c>
      <c r="V40" s="362">
        <f>ROUND('[1]Eredeti Ft'!V40,-3)/1000</f>
        <v>0</v>
      </c>
      <c r="W40" s="362">
        <f t="shared" si="1"/>
        <v>83416</v>
      </c>
      <c r="Y40" s="363">
        <f>SUM(O40:V40)-R40</f>
        <v>83416</v>
      </c>
    </row>
    <row r="41" spans="1:25" ht="12.75">
      <c r="A41" s="360"/>
      <c r="B41" s="361" t="s">
        <v>380</v>
      </c>
      <c r="C41" s="366">
        <f>C40+294</f>
        <v>8846</v>
      </c>
      <c r="D41" s="366">
        <f>D40</f>
        <v>7802</v>
      </c>
      <c r="E41" s="366">
        <f>E40+73</f>
        <v>2164</v>
      </c>
      <c r="F41" s="366">
        <f>F40</f>
        <v>0</v>
      </c>
      <c r="G41" s="366">
        <v>182</v>
      </c>
      <c r="H41" s="366">
        <f aca="true" t="shared" si="16" ref="H41:K42">H40</f>
        <v>0</v>
      </c>
      <c r="I41" s="366">
        <f t="shared" si="16"/>
        <v>0</v>
      </c>
      <c r="J41" s="366">
        <f t="shared" si="16"/>
        <v>0</v>
      </c>
      <c r="K41" s="366">
        <f t="shared" si="16"/>
        <v>0</v>
      </c>
      <c r="L41" s="366">
        <f>L40+99</f>
        <v>99</v>
      </c>
      <c r="M41" s="366">
        <f>M40</f>
        <v>0</v>
      </c>
      <c r="N41" s="362">
        <f t="shared" si="0"/>
        <v>11291</v>
      </c>
      <c r="O41" s="366">
        <f>O40+100+137+78</f>
        <v>43425</v>
      </c>
      <c r="P41" s="366">
        <f>P40+27+37</f>
        <v>11654</v>
      </c>
      <c r="Q41" s="366">
        <f>Q40+240+182+21</f>
        <v>28139</v>
      </c>
      <c r="R41" s="366">
        <f>R40</f>
        <v>17840</v>
      </c>
      <c r="S41" s="366">
        <f>S40</f>
        <v>1020</v>
      </c>
      <c r="T41" s="366">
        <f>T40</f>
        <v>0</v>
      </c>
      <c r="U41" s="366">
        <f>U40</f>
        <v>0</v>
      </c>
      <c r="V41" s="366">
        <f>V40</f>
        <v>0</v>
      </c>
      <c r="W41" s="362">
        <f t="shared" si="1"/>
        <v>84238</v>
      </c>
      <c r="Y41" s="363"/>
    </row>
    <row r="42" spans="1:25" ht="12.75">
      <c r="A42" s="360"/>
      <c r="B42" s="361" t="s">
        <v>381</v>
      </c>
      <c r="C42" s="366">
        <f>C41+366</f>
        <v>9212</v>
      </c>
      <c r="D42" s="366">
        <f>D41</f>
        <v>7802</v>
      </c>
      <c r="E42" s="366">
        <f>E41+91</f>
        <v>2255</v>
      </c>
      <c r="F42" s="366">
        <f>F41</f>
        <v>0</v>
      </c>
      <c r="G42" s="366">
        <f>G41+42</f>
        <v>224</v>
      </c>
      <c r="H42" s="366">
        <f t="shared" si="16"/>
        <v>0</v>
      </c>
      <c r="I42" s="366">
        <f t="shared" si="16"/>
        <v>0</v>
      </c>
      <c r="J42" s="366">
        <f t="shared" si="16"/>
        <v>0</v>
      </c>
      <c r="K42" s="366">
        <f t="shared" si="16"/>
        <v>0</v>
      </c>
      <c r="L42" s="366">
        <f>L41</f>
        <v>99</v>
      </c>
      <c r="M42" s="366">
        <f>M41</f>
        <v>0</v>
      </c>
      <c r="N42" s="362">
        <f t="shared" si="0"/>
        <v>11790</v>
      </c>
      <c r="O42" s="366">
        <f>O41+228+123+47</f>
        <v>43823</v>
      </c>
      <c r="P42" s="366">
        <f>P41+61+30</f>
        <v>11745</v>
      </c>
      <c r="Q42" s="366">
        <f>Q41+457+42+267</f>
        <v>28905</v>
      </c>
      <c r="R42" s="366">
        <f>R41</f>
        <v>17840</v>
      </c>
      <c r="S42" s="366">
        <f>S41</f>
        <v>1020</v>
      </c>
      <c r="T42" s="366">
        <f>T41</f>
        <v>0</v>
      </c>
      <c r="U42" s="366">
        <f>U41</f>
        <v>0</v>
      </c>
      <c r="V42" s="366">
        <v>6400</v>
      </c>
      <c r="W42" s="362">
        <f t="shared" si="1"/>
        <v>91893</v>
      </c>
      <c r="Y42" s="363"/>
    </row>
    <row r="43" spans="1:25" ht="12.75">
      <c r="A43" s="360">
        <f>'[1]Eredeti Ft'!A43</f>
        <v>0</v>
      </c>
      <c r="B43" s="361">
        <f>'[1]Eredeti Ft'!B43</f>
        <v>0</v>
      </c>
      <c r="C43" s="362">
        <f>ROUND('[1]Eredeti Ft'!C43,-3)/1000</f>
        <v>2010</v>
      </c>
      <c r="D43" s="362">
        <f>ROUND('[1]Eredeti Ft'!D43,-3)/1000</f>
        <v>1312</v>
      </c>
      <c r="E43" s="362">
        <f>ROUND('[1]Eredeti Ft'!E43,-3)/1000</f>
        <v>502</v>
      </c>
      <c r="F43" s="362">
        <f>ROUND('[1]Eredeti Ft'!F43,-3)/1000</f>
        <v>0</v>
      </c>
      <c r="G43" s="362">
        <f>ROUND('[1]Eredeti Ft'!G43,-3)/1000</f>
        <v>0</v>
      </c>
      <c r="H43" s="362">
        <f>ROUND('[1]Eredeti Ft'!H43,-3)/1000</f>
        <v>0</v>
      </c>
      <c r="I43" s="362">
        <f>ROUND('[1]Eredeti Ft'!I43,-3)/1000</f>
        <v>0</v>
      </c>
      <c r="J43" s="362">
        <f>ROUND('[1]Eredeti Ft'!J43,-3)/1000</f>
        <v>0</v>
      </c>
      <c r="K43" s="362">
        <f>ROUND('[1]Eredeti Ft'!K43,-3)/1000</f>
        <v>0</v>
      </c>
      <c r="L43" s="362">
        <f>ROUND('[1]Eredeti Ft'!L43,-3)/1000</f>
        <v>0</v>
      </c>
      <c r="M43" s="362">
        <f>ROUND('[1]Eredeti Ft'!M43,-3)/1000</f>
        <v>0</v>
      </c>
      <c r="N43" s="362">
        <f t="shared" si="0"/>
        <v>2512</v>
      </c>
      <c r="O43" s="362">
        <f>ROUND('[1]Eredeti Ft'!O43,-3)/1000</f>
        <v>34650</v>
      </c>
      <c r="P43" s="362">
        <f>ROUND('[1]Eredeti Ft'!P43,-3)/1000</f>
        <v>9162</v>
      </c>
      <c r="Q43" s="362">
        <f>ROUND('[1]Eredeti Ft'!Q43,-3)/1000</f>
        <v>12402</v>
      </c>
      <c r="R43" s="362">
        <f>ROUND('[1]Eredeti Ft'!R43,-3)/1000</f>
        <v>4512</v>
      </c>
      <c r="S43" s="362">
        <f>ROUND('[1]Eredeti Ft'!S43,-3)/1000</f>
        <v>660</v>
      </c>
      <c r="T43" s="362">
        <f>ROUND('[1]Eredeti Ft'!T43,-3)/1000</f>
        <v>0</v>
      </c>
      <c r="U43" s="362">
        <f>ROUND('[1]Eredeti Ft'!U43,-3)/1000</f>
        <v>0</v>
      </c>
      <c r="V43" s="362">
        <f>ROUND('[1]Eredeti Ft'!V43,-3)/1000</f>
        <v>0</v>
      </c>
      <c r="W43" s="362">
        <f t="shared" si="1"/>
        <v>56874</v>
      </c>
      <c r="Y43" s="363">
        <f>SUM(O43:V43)-R43</f>
        <v>56874</v>
      </c>
    </row>
    <row r="44" spans="1:25" ht="12.75">
      <c r="A44" s="360"/>
      <c r="B44" s="361" t="s">
        <v>380</v>
      </c>
      <c r="C44" s="362">
        <f>C43</f>
        <v>2010</v>
      </c>
      <c r="D44" s="362">
        <f aca="true" t="shared" si="17" ref="D44:V45">D43</f>
        <v>1312</v>
      </c>
      <c r="E44" s="362">
        <f t="shared" si="17"/>
        <v>502</v>
      </c>
      <c r="F44" s="362">
        <f t="shared" si="17"/>
        <v>0</v>
      </c>
      <c r="G44" s="362">
        <f t="shared" si="17"/>
        <v>0</v>
      </c>
      <c r="H44" s="362">
        <f t="shared" si="17"/>
        <v>0</v>
      </c>
      <c r="I44" s="362">
        <f t="shared" si="17"/>
        <v>0</v>
      </c>
      <c r="J44" s="362">
        <f t="shared" si="17"/>
        <v>0</v>
      </c>
      <c r="K44" s="362">
        <f t="shared" si="17"/>
        <v>0</v>
      </c>
      <c r="L44" s="362">
        <f>L43+620</f>
        <v>620</v>
      </c>
      <c r="M44" s="362">
        <f t="shared" si="17"/>
        <v>0</v>
      </c>
      <c r="N44" s="362">
        <f t="shared" si="0"/>
        <v>3132</v>
      </c>
      <c r="O44" s="362">
        <f>O43+50+99</f>
        <v>34799</v>
      </c>
      <c r="P44" s="362">
        <f>P43+13</f>
        <v>9175</v>
      </c>
      <c r="Q44" s="362">
        <f>Q43+521</f>
        <v>12923</v>
      </c>
      <c r="R44" s="362">
        <f t="shared" si="17"/>
        <v>4512</v>
      </c>
      <c r="S44" s="362">
        <f t="shared" si="17"/>
        <v>660</v>
      </c>
      <c r="T44" s="362">
        <f t="shared" si="17"/>
        <v>0</v>
      </c>
      <c r="U44" s="362">
        <f t="shared" si="17"/>
        <v>0</v>
      </c>
      <c r="V44" s="362">
        <f t="shared" si="17"/>
        <v>0</v>
      </c>
      <c r="W44" s="362">
        <f t="shared" si="1"/>
        <v>57557</v>
      </c>
      <c r="Y44" s="363"/>
    </row>
    <row r="45" spans="1:25" ht="12.75">
      <c r="A45" s="360"/>
      <c r="B45" s="361" t="s">
        <v>381</v>
      </c>
      <c r="C45" s="362">
        <f>C44</f>
        <v>2010</v>
      </c>
      <c r="D45" s="362">
        <f t="shared" si="17"/>
        <v>1312</v>
      </c>
      <c r="E45" s="362">
        <f t="shared" si="17"/>
        <v>502</v>
      </c>
      <c r="F45" s="362">
        <f t="shared" si="17"/>
        <v>0</v>
      </c>
      <c r="G45" s="362">
        <f t="shared" si="17"/>
        <v>0</v>
      </c>
      <c r="H45" s="362">
        <f t="shared" si="17"/>
        <v>0</v>
      </c>
      <c r="I45" s="362">
        <f t="shared" si="17"/>
        <v>0</v>
      </c>
      <c r="J45" s="362">
        <f t="shared" si="17"/>
        <v>0</v>
      </c>
      <c r="K45" s="362">
        <f t="shared" si="17"/>
        <v>0</v>
      </c>
      <c r="L45" s="362">
        <f t="shared" si="17"/>
        <v>620</v>
      </c>
      <c r="M45" s="362">
        <f t="shared" si="17"/>
        <v>0</v>
      </c>
      <c r="N45" s="362">
        <f t="shared" si="0"/>
        <v>3132</v>
      </c>
      <c r="O45" s="362">
        <f>O44+114+1023+23</f>
        <v>35959</v>
      </c>
      <c r="P45" s="362">
        <f>P44+31+246</f>
        <v>9452</v>
      </c>
      <c r="Q45" s="362">
        <f>Q44+346</f>
        <v>13269</v>
      </c>
      <c r="R45" s="362">
        <f>R44</f>
        <v>4512</v>
      </c>
      <c r="S45" s="362">
        <f>S44</f>
        <v>660</v>
      </c>
      <c r="T45" s="362">
        <f>T44</f>
        <v>0</v>
      </c>
      <c r="U45" s="362">
        <f>U44</f>
        <v>0</v>
      </c>
      <c r="V45" s="362">
        <f>V44</f>
        <v>0</v>
      </c>
      <c r="W45" s="362">
        <f t="shared" si="1"/>
        <v>59340</v>
      </c>
      <c r="Y45" s="363"/>
    </row>
    <row r="46" spans="1:25" ht="12.75">
      <c r="A46" s="367">
        <f>'[1]Eredeti Ft'!A46</f>
        <v>0</v>
      </c>
      <c r="B46" s="368">
        <f>'[1]Eredeti Ft'!B46</f>
        <v>0</v>
      </c>
      <c r="C46" s="369">
        <f>C34+C37+C40+C43</f>
        <v>26481</v>
      </c>
      <c r="D46" s="369">
        <f aca="true" t="shared" si="18" ref="D46:V48">D34+D37+D40+D43</f>
        <v>21940</v>
      </c>
      <c r="E46" s="369">
        <f t="shared" si="18"/>
        <v>5947</v>
      </c>
      <c r="F46" s="369">
        <f t="shared" si="18"/>
        <v>4200</v>
      </c>
      <c r="G46" s="369">
        <f t="shared" si="18"/>
        <v>1500</v>
      </c>
      <c r="H46" s="369">
        <f t="shared" si="18"/>
        <v>0</v>
      </c>
      <c r="I46" s="369">
        <f t="shared" si="18"/>
        <v>5494</v>
      </c>
      <c r="J46" s="369">
        <f t="shared" si="18"/>
        <v>0</v>
      </c>
      <c r="K46" s="369">
        <f t="shared" si="18"/>
        <v>0</v>
      </c>
      <c r="L46" s="369">
        <f t="shared" si="18"/>
        <v>0</v>
      </c>
      <c r="M46" s="369">
        <f t="shared" si="18"/>
        <v>0</v>
      </c>
      <c r="N46" s="362">
        <f t="shared" si="0"/>
        <v>43622</v>
      </c>
      <c r="O46" s="369">
        <f>O34+O37+O40+O43</f>
        <v>258570</v>
      </c>
      <c r="P46" s="369">
        <f t="shared" si="18"/>
        <v>69050</v>
      </c>
      <c r="Q46" s="369">
        <f t="shared" si="18"/>
        <v>111218</v>
      </c>
      <c r="R46" s="369">
        <f t="shared" si="18"/>
        <v>54245</v>
      </c>
      <c r="S46" s="369">
        <f t="shared" si="18"/>
        <v>5880</v>
      </c>
      <c r="T46" s="369">
        <f t="shared" si="18"/>
        <v>4200</v>
      </c>
      <c r="U46" s="369">
        <f t="shared" si="18"/>
        <v>0</v>
      </c>
      <c r="V46" s="369">
        <f t="shared" si="18"/>
        <v>2300</v>
      </c>
      <c r="W46" s="362">
        <f t="shared" si="1"/>
        <v>451218</v>
      </c>
      <c r="X46">
        <f>SUM(X34:X43)</f>
        <v>0</v>
      </c>
      <c r="Y46" s="363"/>
    </row>
    <row r="47" spans="1:25" ht="12.75">
      <c r="A47" s="367"/>
      <c r="B47" s="361" t="s">
        <v>380</v>
      </c>
      <c r="C47" s="369">
        <f>C35+C38+C41+C44</f>
        <v>26775</v>
      </c>
      <c r="D47" s="369">
        <f t="shared" si="18"/>
        <v>21940</v>
      </c>
      <c r="E47" s="369">
        <f t="shared" si="18"/>
        <v>6020</v>
      </c>
      <c r="F47" s="369">
        <f t="shared" si="18"/>
        <v>0</v>
      </c>
      <c r="G47" s="369">
        <f t="shared" si="18"/>
        <v>2156</v>
      </c>
      <c r="H47" s="369">
        <f t="shared" si="18"/>
        <v>0</v>
      </c>
      <c r="I47" s="369">
        <f t="shared" si="18"/>
        <v>5494</v>
      </c>
      <c r="J47" s="369">
        <f t="shared" si="18"/>
        <v>0</v>
      </c>
      <c r="K47" s="369">
        <f t="shared" si="18"/>
        <v>0</v>
      </c>
      <c r="L47" s="369">
        <f t="shared" si="18"/>
        <v>5454</v>
      </c>
      <c r="M47" s="369">
        <f t="shared" si="18"/>
        <v>0</v>
      </c>
      <c r="N47" s="362">
        <f t="shared" si="0"/>
        <v>45899</v>
      </c>
      <c r="O47" s="369">
        <f t="shared" si="18"/>
        <v>260865</v>
      </c>
      <c r="P47" s="369">
        <f t="shared" si="18"/>
        <v>69340</v>
      </c>
      <c r="Q47" s="369">
        <f t="shared" si="18"/>
        <v>118290</v>
      </c>
      <c r="R47" s="369">
        <f t="shared" si="18"/>
        <v>54245</v>
      </c>
      <c r="S47" s="369">
        <f t="shared" si="18"/>
        <v>5880</v>
      </c>
      <c r="T47" s="369">
        <f t="shared" si="18"/>
        <v>0</v>
      </c>
      <c r="U47" s="369">
        <f t="shared" si="18"/>
        <v>0</v>
      </c>
      <c r="V47" s="369">
        <f t="shared" si="18"/>
        <v>2300</v>
      </c>
      <c r="W47" s="362">
        <f t="shared" si="1"/>
        <v>456675</v>
      </c>
      <c r="Y47" s="363"/>
    </row>
    <row r="48" spans="1:25" ht="12.75">
      <c r="A48" s="367"/>
      <c r="B48" s="361" t="s">
        <v>381</v>
      </c>
      <c r="C48" s="369">
        <f>C36+C39+C42+C45</f>
        <v>27141</v>
      </c>
      <c r="D48" s="369">
        <f t="shared" si="18"/>
        <v>21940</v>
      </c>
      <c r="E48" s="369">
        <f t="shared" si="18"/>
        <v>6111</v>
      </c>
      <c r="F48" s="369">
        <f t="shared" si="18"/>
        <v>0</v>
      </c>
      <c r="G48" s="369">
        <f t="shared" si="18"/>
        <v>773</v>
      </c>
      <c r="H48" s="369">
        <f t="shared" si="18"/>
        <v>0</v>
      </c>
      <c r="I48" s="369">
        <f t="shared" si="18"/>
        <v>6994</v>
      </c>
      <c r="J48" s="369">
        <f t="shared" si="18"/>
        <v>0</v>
      </c>
      <c r="K48" s="369">
        <f t="shared" si="18"/>
        <v>0</v>
      </c>
      <c r="L48" s="369">
        <f t="shared" si="18"/>
        <v>7259</v>
      </c>
      <c r="M48" s="369">
        <f t="shared" si="18"/>
        <v>0</v>
      </c>
      <c r="N48" s="362">
        <f t="shared" si="0"/>
        <v>48278</v>
      </c>
      <c r="O48" s="369">
        <f t="shared" si="18"/>
        <v>263975</v>
      </c>
      <c r="P48" s="369">
        <f t="shared" si="18"/>
        <v>70054</v>
      </c>
      <c r="Q48" s="369">
        <f t="shared" si="18"/>
        <v>120752</v>
      </c>
      <c r="R48" s="369">
        <f t="shared" si="18"/>
        <v>54245</v>
      </c>
      <c r="S48" s="369">
        <f t="shared" si="18"/>
        <v>5880</v>
      </c>
      <c r="T48" s="369">
        <f t="shared" si="18"/>
        <v>0</v>
      </c>
      <c r="U48" s="369">
        <f t="shared" si="18"/>
        <v>0</v>
      </c>
      <c r="V48" s="369">
        <f t="shared" si="18"/>
        <v>6400</v>
      </c>
      <c r="W48" s="362">
        <f t="shared" si="1"/>
        <v>467061</v>
      </c>
      <c r="Y48" s="363"/>
    </row>
    <row r="49" spans="1:25" ht="12.75">
      <c r="A49" s="360">
        <f>'[1]Eredeti Ft'!A49</f>
        <v>0</v>
      </c>
      <c r="B49" s="361">
        <f>'[1]Eredeti Ft'!B49</f>
        <v>0</v>
      </c>
      <c r="C49" s="362">
        <f>ROUND('[1]Eredeti Ft'!C49,-3)/1000</f>
        <v>24704</v>
      </c>
      <c r="D49" s="362">
        <f>ROUND('[1]Eredeti Ft'!D49,-3)/1000</f>
        <v>17634</v>
      </c>
      <c r="E49" s="362">
        <f>ROUND('[1]Eredeti Ft'!E49,-3)/1000</f>
        <v>6008</v>
      </c>
      <c r="F49" s="362">
        <f>ROUND('[1]Eredeti Ft'!F49,-3)/1000</f>
        <v>7900</v>
      </c>
      <c r="G49" s="362">
        <f>ROUND('[1]Eredeti Ft'!G49,-3)/1000</f>
        <v>1679</v>
      </c>
      <c r="H49" s="362">
        <f>ROUND('[1]Eredeti Ft'!H49,-3)/1000</f>
        <v>0</v>
      </c>
      <c r="I49" s="362">
        <f>ROUND('[1]Eredeti Ft'!I49,-3)/1000</f>
        <v>0</v>
      </c>
      <c r="J49" s="362">
        <f>ROUND('[1]Eredeti Ft'!J49,-3)/1000</f>
        <v>0</v>
      </c>
      <c r="K49" s="362">
        <f>ROUND('[1]Eredeti Ft'!K49,-3)/1000</f>
        <v>0</v>
      </c>
      <c r="L49" s="362">
        <f>ROUND('[1]Eredeti Ft'!L49,-3)/1000</f>
        <v>0</v>
      </c>
      <c r="M49" s="362">
        <f>ROUND('[1]Eredeti Ft'!M49,-3)/1000</f>
        <v>0</v>
      </c>
      <c r="N49" s="362">
        <f t="shared" si="0"/>
        <v>40291</v>
      </c>
      <c r="O49" s="362">
        <f>ROUND('[1]Eredeti Ft'!O49,-3)/1000</f>
        <v>147553</v>
      </c>
      <c r="P49" s="362">
        <f>ROUND('[1]Eredeti Ft'!P49,-3)/1000</f>
        <v>39584</v>
      </c>
      <c r="Q49" s="362">
        <f>ROUND('[1]Eredeti Ft'!Q49,-3)/1000</f>
        <v>115246</v>
      </c>
      <c r="R49" s="362">
        <f>ROUND('[1]Eredeti Ft'!R49,-3)/1000</f>
        <v>39024</v>
      </c>
      <c r="S49" s="362">
        <f>ROUND('[1]Eredeti Ft'!S49,-3)/1000</f>
        <v>3000</v>
      </c>
      <c r="T49" s="362">
        <f>ROUND('[1]Eredeti Ft'!T49,-3)/1000</f>
        <v>7920</v>
      </c>
      <c r="U49" s="362">
        <f>ROUND('[1]Eredeti Ft'!U49,-3)/1000</f>
        <v>0</v>
      </c>
      <c r="V49" s="362">
        <f>ROUND('[1]Eredeti Ft'!V49,-3)/1000</f>
        <v>4000</v>
      </c>
      <c r="W49" s="362">
        <f t="shared" si="1"/>
        <v>317303</v>
      </c>
      <c r="Y49" s="363">
        <f>SUM(O49:V49)-R49</f>
        <v>317303</v>
      </c>
    </row>
    <row r="50" spans="1:25" ht="12.75">
      <c r="A50" s="360"/>
      <c r="B50" s="361" t="s">
        <v>380</v>
      </c>
      <c r="C50" s="362">
        <f>C49+131+152</f>
        <v>24987</v>
      </c>
      <c r="D50" s="362">
        <f>D49</f>
        <v>17634</v>
      </c>
      <c r="E50" s="362">
        <f>E49</f>
        <v>6008</v>
      </c>
      <c r="F50" s="362">
        <v>0</v>
      </c>
      <c r="G50" s="362">
        <f>G49</f>
        <v>1679</v>
      </c>
      <c r="H50" s="362">
        <f>H49</f>
        <v>0</v>
      </c>
      <c r="I50" s="362">
        <f>I49+57</f>
        <v>57</v>
      </c>
      <c r="J50" s="362">
        <f>J49</f>
        <v>0</v>
      </c>
      <c r="K50" s="362">
        <f>K49</f>
        <v>0</v>
      </c>
      <c r="L50" s="362">
        <f>L49+5725</f>
        <v>5725</v>
      </c>
      <c r="M50" s="362">
        <f>M49</f>
        <v>0</v>
      </c>
      <c r="N50" s="362">
        <f t="shared" si="0"/>
        <v>38456</v>
      </c>
      <c r="O50" s="362">
        <f>O49+57+776+986+1189-247</f>
        <v>150314</v>
      </c>
      <c r="P50" s="362">
        <f>P49+209+321-67</f>
        <v>40047</v>
      </c>
      <c r="Q50" s="362">
        <f>Q49+131+152+400+1852+1377+247+67</f>
        <v>119472</v>
      </c>
      <c r="R50" s="362">
        <f aca="true" t="shared" si="19" ref="R50:V51">R49</f>
        <v>39024</v>
      </c>
      <c r="S50" s="362">
        <f t="shared" si="19"/>
        <v>3000</v>
      </c>
      <c r="T50" s="362">
        <f>T49-5800</f>
        <v>2120</v>
      </c>
      <c r="U50" s="362">
        <f t="shared" si="19"/>
        <v>0</v>
      </c>
      <c r="V50" s="362">
        <f t="shared" si="19"/>
        <v>4000</v>
      </c>
      <c r="W50" s="362">
        <f t="shared" si="1"/>
        <v>318953</v>
      </c>
      <c r="Y50" s="363"/>
    </row>
    <row r="51" spans="1:25" ht="12.75">
      <c r="A51" s="360"/>
      <c r="B51" s="361" t="s">
        <v>381</v>
      </c>
      <c r="C51" s="362">
        <f>C50+681+200</f>
        <v>25868</v>
      </c>
      <c r="D51" s="362">
        <f>D50</f>
        <v>17634</v>
      </c>
      <c r="E51" s="362">
        <f>E50</f>
        <v>6008</v>
      </c>
      <c r="F51" s="362">
        <v>0</v>
      </c>
      <c r="G51" s="362">
        <f>G50+100+90+75+300+2770+20-1679</f>
        <v>3355</v>
      </c>
      <c r="H51" s="362">
        <f>H50</f>
        <v>0</v>
      </c>
      <c r="I51" s="362">
        <f>I50+1679</f>
        <v>1736</v>
      </c>
      <c r="J51" s="362">
        <f>J50</f>
        <v>0</v>
      </c>
      <c r="K51" s="362">
        <f>K50</f>
        <v>0</v>
      </c>
      <c r="L51" s="362">
        <f>L50</f>
        <v>5725</v>
      </c>
      <c r="M51" s="362">
        <f>M50</f>
        <v>0</v>
      </c>
      <c r="N51" s="362">
        <f t="shared" si="0"/>
        <v>42692</v>
      </c>
      <c r="O51" s="362">
        <f>O50+1260-405+259</f>
        <v>151428</v>
      </c>
      <c r="P51" s="362">
        <f>P50+340</f>
        <v>40387</v>
      </c>
      <c r="Q51" s="362">
        <f>Q50+681+200+3355+3760-60-600+405+95</f>
        <v>127308</v>
      </c>
      <c r="R51" s="362">
        <f t="shared" si="19"/>
        <v>39024</v>
      </c>
      <c r="S51" s="362">
        <f t="shared" si="19"/>
        <v>3000</v>
      </c>
      <c r="T51" s="362">
        <f t="shared" si="19"/>
        <v>2120</v>
      </c>
      <c r="U51" s="362">
        <f t="shared" si="19"/>
        <v>0</v>
      </c>
      <c r="V51" s="362">
        <v>0</v>
      </c>
      <c r="W51" s="362">
        <f t="shared" si="1"/>
        <v>324243</v>
      </c>
      <c r="Y51" s="363"/>
    </row>
    <row r="52" spans="1:25" ht="12.75" customHeight="1">
      <c r="A52" s="360">
        <f>'[1]Eredeti Ft'!A52</f>
        <v>0</v>
      </c>
      <c r="B52" s="361">
        <f>'[1]Eredeti Ft'!B52</f>
        <v>0</v>
      </c>
      <c r="C52" s="362">
        <f>ROUND('[1]Eredeti Ft'!C52,-3)/1000</f>
        <v>4942</v>
      </c>
      <c r="D52" s="362">
        <f>ROUND('[1]Eredeti Ft'!D52,-3)/1000</f>
        <v>4212</v>
      </c>
      <c r="E52" s="362">
        <f>ROUND('[1]Eredeti Ft'!E52,-3)/1000</f>
        <v>1173</v>
      </c>
      <c r="F52" s="362">
        <f>ROUND('[1]Eredeti Ft'!F52,-3)/1000</f>
        <v>0</v>
      </c>
      <c r="G52" s="362">
        <f>ROUND('[1]Eredeti Ft'!G52,-3)/1000</f>
        <v>0</v>
      </c>
      <c r="H52" s="362">
        <f>ROUND('[1]Eredeti Ft'!H52,-3)/1000</f>
        <v>0</v>
      </c>
      <c r="I52" s="362">
        <f>ROUND('[1]Eredeti Ft'!I52,-3)/1000</f>
        <v>0</v>
      </c>
      <c r="J52" s="362">
        <f>ROUND('[1]Eredeti Ft'!J52,-3)/1000</f>
        <v>0</v>
      </c>
      <c r="K52" s="362">
        <f>ROUND('[1]Eredeti Ft'!K52,-3)/1000</f>
        <v>0</v>
      </c>
      <c r="L52" s="362">
        <f>ROUND('[1]Eredeti Ft'!L52,-3)/1000</f>
        <v>0</v>
      </c>
      <c r="M52" s="362">
        <f>ROUND('[1]Eredeti Ft'!M52,-3)/1000</f>
        <v>0</v>
      </c>
      <c r="N52" s="362">
        <f t="shared" si="0"/>
        <v>6115</v>
      </c>
      <c r="O52" s="362">
        <f>ROUND('[1]Eredeti Ft'!O52,-3)/1000</f>
        <v>50863</v>
      </c>
      <c r="P52" s="362">
        <f>ROUND('[1]Eredeti Ft'!P52,-3)/1000</f>
        <v>13605</v>
      </c>
      <c r="Q52" s="362">
        <f>ROUND('[1]Eredeti Ft'!Q52,-3)/1000</f>
        <v>27722</v>
      </c>
      <c r="R52" s="362">
        <f>ROUND('[1]Eredeti Ft'!R52,-3)/1000</f>
        <v>13925</v>
      </c>
      <c r="S52" s="362">
        <f>ROUND('[1]Eredeti Ft'!S52,-3)/1000</f>
        <v>1320</v>
      </c>
      <c r="T52" s="362">
        <f>ROUND('[1]Eredeti Ft'!T52,-3)/1000</f>
        <v>0</v>
      </c>
      <c r="U52" s="362">
        <f>ROUND('[1]Eredeti Ft'!U52,-3)/1000</f>
        <v>0</v>
      </c>
      <c r="V52" s="362">
        <f>ROUND('[1]Eredeti Ft'!V52,-3)/1000</f>
        <v>0</v>
      </c>
      <c r="W52" s="362">
        <f t="shared" si="1"/>
        <v>93510</v>
      </c>
      <c r="Y52" s="363">
        <f>SUM(O52:V52)-R52</f>
        <v>93510</v>
      </c>
    </row>
    <row r="53" spans="1:25" ht="12.75">
      <c r="A53" s="360"/>
      <c r="B53" s="361" t="s">
        <v>380</v>
      </c>
      <c r="C53" s="362">
        <f>C52</f>
        <v>4942</v>
      </c>
      <c r="D53" s="362">
        <f aca="true" t="shared" si="20" ref="D53:V54">D52</f>
        <v>4212</v>
      </c>
      <c r="E53" s="362">
        <f t="shared" si="20"/>
        <v>1173</v>
      </c>
      <c r="F53" s="362">
        <f t="shared" si="20"/>
        <v>0</v>
      </c>
      <c r="G53" s="362">
        <f>G52+70</f>
        <v>70</v>
      </c>
      <c r="H53" s="362">
        <f t="shared" si="20"/>
        <v>0</v>
      </c>
      <c r="I53" s="362">
        <f t="shared" si="20"/>
        <v>0</v>
      </c>
      <c r="J53" s="362">
        <f t="shared" si="20"/>
        <v>0</v>
      </c>
      <c r="K53" s="362">
        <f t="shared" si="20"/>
        <v>0</v>
      </c>
      <c r="L53" s="362">
        <f>L52+73</f>
        <v>73</v>
      </c>
      <c r="M53" s="362">
        <f t="shared" si="20"/>
        <v>0</v>
      </c>
      <c r="N53" s="362">
        <f t="shared" si="0"/>
        <v>6258</v>
      </c>
      <c r="O53" s="362">
        <f>O52+73+249</f>
        <v>51185</v>
      </c>
      <c r="P53" s="362">
        <f>P52+67</f>
        <v>13672</v>
      </c>
      <c r="Q53" s="362">
        <f>Q52+70</f>
        <v>27792</v>
      </c>
      <c r="R53" s="362">
        <f t="shared" si="20"/>
        <v>13925</v>
      </c>
      <c r="S53" s="362">
        <f t="shared" si="20"/>
        <v>1320</v>
      </c>
      <c r="T53" s="362">
        <f t="shared" si="20"/>
        <v>0</v>
      </c>
      <c r="U53" s="362">
        <f t="shared" si="20"/>
        <v>0</v>
      </c>
      <c r="V53" s="362">
        <f t="shared" si="20"/>
        <v>0</v>
      </c>
      <c r="W53" s="362">
        <f t="shared" si="1"/>
        <v>93969</v>
      </c>
      <c r="Y53" s="363"/>
    </row>
    <row r="54" spans="1:25" ht="12.75">
      <c r="A54" s="360"/>
      <c r="B54" s="361" t="s">
        <v>381</v>
      </c>
      <c r="C54" s="362">
        <f>C53</f>
        <v>4942</v>
      </c>
      <c r="D54" s="362">
        <f t="shared" si="20"/>
        <v>4212</v>
      </c>
      <c r="E54" s="362">
        <f t="shared" si="20"/>
        <v>1173</v>
      </c>
      <c r="F54" s="362">
        <f t="shared" si="20"/>
        <v>0</v>
      </c>
      <c r="G54" s="362">
        <f t="shared" si="20"/>
        <v>70</v>
      </c>
      <c r="H54" s="362">
        <f t="shared" si="20"/>
        <v>0</v>
      </c>
      <c r="I54" s="362">
        <f t="shared" si="20"/>
        <v>0</v>
      </c>
      <c r="J54" s="362">
        <f t="shared" si="20"/>
        <v>0</v>
      </c>
      <c r="K54" s="362">
        <f t="shared" si="20"/>
        <v>0</v>
      </c>
      <c r="L54" s="362">
        <f t="shared" si="20"/>
        <v>73</v>
      </c>
      <c r="M54" s="362">
        <f t="shared" si="20"/>
        <v>0</v>
      </c>
      <c r="N54" s="362">
        <f t="shared" si="0"/>
        <v>6258</v>
      </c>
      <c r="O54" s="362">
        <f>O53+407+84</f>
        <v>51676</v>
      </c>
      <c r="P54" s="362">
        <f>P53+110</f>
        <v>13782</v>
      </c>
      <c r="Q54" s="362">
        <f>Q53+650+600</f>
        <v>29042</v>
      </c>
      <c r="R54" s="362">
        <f>R53</f>
        <v>13925</v>
      </c>
      <c r="S54" s="362">
        <f>S53</f>
        <v>1320</v>
      </c>
      <c r="T54" s="362">
        <f>T53</f>
        <v>0</v>
      </c>
      <c r="U54" s="362">
        <f>U53</f>
        <v>0</v>
      </c>
      <c r="V54" s="362">
        <f>V53</f>
        <v>0</v>
      </c>
      <c r="W54" s="362">
        <f t="shared" si="1"/>
        <v>95820</v>
      </c>
      <c r="Y54" s="363"/>
    </row>
    <row r="55" spans="1:25" s="370" customFormat="1" ht="12.75">
      <c r="A55" s="367">
        <f>'[1]Eredeti Ft'!A55</f>
        <v>0</v>
      </c>
      <c r="B55" s="368">
        <f>'[1]Eredeti Ft'!B55</f>
        <v>0</v>
      </c>
      <c r="C55" s="369">
        <f>C49+C52</f>
        <v>29646</v>
      </c>
      <c r="D55" s="369">
        <f>D49+D52</f>
        <v>21846</v>
      </c>
      <c r="E55" s="369">
        <f aca="true" t="shared" si="21" ref="E55:V55">E49+E52</f>
        <v>7181</v>
      </c>
      <c r="F55" s="369">
        <f t="shared" si="21"/>
        <v>7900</v>
      </c>
      <c r="G55" s="369">
        <f t="shared" si="21"/>
        <v>1679</v>
      </c>
      <c r="H55" s="369">
        <f t="shared" si="21"/>
        <v>0</v>
      </c>
      <c r="I55" s="369">
        <f t="shared" si="21"/>
        <v>0</v>
      </c>
      <c r="J55" s="369">
        <f t="shared" si="21"/>
        <v>0</v>
      </c>
      <c r="K55" s="369">
        <f t="shared" si="21"/>
        <v>0</v>
      </c>
      <c r="L55" s="369">
        <f t="shared" si="21"/>
        <v>0</v>
      </c>
      <c r="M55" s="369">
        <f t="shared" si="21"/>
        <v>0</v>
      </c>
      <c r="N55" s="362">
        <f t="shared" si="0"/>
        <v>46406</v>
      </c>
      <c r="O55" s="369">
        <f t="shared" si="21"/>
        <v>198416</v>
      </c>
      <c r="P55" s="369">
        <f t="shared" si="21"/>
        <v>53189</v>
      </c>
      <c r="Q55" s="369">
        <f t="shared" si="21"/>
        <v>142968</v>
      </c>
      <c r="R55" s="369">
        <f t="shared" si="21"/>
        <v>52949</v>
      </c>
      <c r="S55" s="369">
        <f t="shared" si="21"/>
        <v>4320</v>
      </c>
      <c r="T55" s="369">
        <f t="shared" si="21"/>
        <v>7920</v>
      </c>
      <c r="U55" s="369">
        <f t="shared" si="21"/>
        <v>0</v>
      </c>
      <c r="V55" s="369">
        <f t="shared" si="21"/>
        <v>4000</v>
      </c>
      <c r="W55" s="362">
        <f t="shared" si="1"/>
        <v>410813</v>
      </c>
      <c r="Y55" s="363">
        <f>SUM(O55:V55)-R55</f>
        <v>410813</v>
      </c>
    </row>
    <row r="56" spans="1:25" s="370" customFormat="1" ht="12.75">
      <c r="A56" s="367"/>
      <c r="B56" s="361" t="s">
        <v>380</v>
      </c>
      <c r="C56" s="369">
        <f>C50+C53</f>
        <v>29929</v>
      </c>
      <c r="D56" s="369">
        <f aca="true" t="shared" si="22" ref="D56:V57">D50+D53</f>
        <v>21846</v>
      </c>
      <c r="E56" s="369">
        <f t="shared" si="22"/>
        <v>7181</v>
      </c>
      <c r="F56" s="369">
        <f t="shared" si="22"/>
        <v>0</v>
      </c>
      <c r="G56" s="369">
        <f t="shared" si="22"/>
        <v>1749</v>
      </c>
      <c r="H56" s="369">
        <f t="shared" si="22"/>
        <v>0</v>
      </c>
      <c r="I56" s="369">
        <f t="shared" si="22"/>
        <v>57</v>
      </c>
      <c r="J56" s="369">
        <f t="shared" si="22"/>
        <v>0</v>
      </c>
      <c r="K56" s="369">
        <f t="shared" si="22"/>
        <v>0</v>
      </c>
      <c r="L56" s="369">
        <f t="shared" si="22"/>
        <v>5798</v>
      </c>
      <c r="M56" s="369">
        <f t="shared" si="22"/>
        <v>0</v>
      </c>
      <c r="N56" s="362">
        <f t="shared" si="0"/>
        <v>44714</v>
      </c>
      <c r="O56" s="369">
        <f t="shared" si="22"/>
        <v>201499</v>
      </c>
      <c r="P56" s="369">
        <f t="shared" si="22"/>
        <v>53719</v>
      </c>
      <c r="Q56" s="369">
        <f t="shared" si="22"/>
        <v>147264</v>
      </c>
      <c r="R56" s="369">
        <f t="shared" si="22"/>
        <v>52949</v>
      </c>
      <c r="S56" s="369">
        <f t="shared" si="22"/>
        <v>4320</v>
      </c>
      <c r="T56" s="369">
        <f t="shared" si="22"/>
        <v>2120</v>
      </c>
      <c r="U56" s="369">
        <f t="shared" si="22"/>
        <v>0</v>
      </c>
      <c r="V56" s="369">
        <f t="shared" si="22"/>
        <v>4000</v>
      </c>
      <c r="W56" s="362">
        <f t="shared" si="1"/>
        <v>412922</v>
      </c>
      <c r="Y56" s="363"/>
    </row>
    <row r="57" spans="1:25" s="370" customFormat="1" ht="12.75">
      <c r="A57" s="367"/>
      <c r="B57" s="361" t="s">
        <v>381</v>
      </c>
      <c r="C57" s="369">
        <f>C51+C54</f>
        <v>30810</v>
      </c>
      <c r="D57" s="369">
        <f t="shared" si="22"/>
        <v>21846</v>
      </c>
      <c r="E57" s="369">
        <f t="shared" si="22"/>
        <v>7181</v>
      </c>
      <c r="F57" s="369">
        <f t="shared" si="22"/>
        <v>0</v>
      </c>
      <c r="G57" s="369">
        <f t="shared" si="22"/>
        <v>3425</v>
      </c>
      <c r="H57" s="369">
        <f t="shared" si="22"/>
        <v>0</v>
      </c>
      <c r="I57" s="369">
        <f t="shared" si="22"/>
        <v>1736</v>
      </c>
      <c r="J57" s="369">
        <f t="shared" si="22"/>
        <v>0</v>
      </c>
      <c r="K57" s="369">
        <f t="shared" si="22"/>
        <v>0</v>
      </c>
      <c r="L57" s="369">
        <f t="shared" si="22"/>
        <v>5798</v>
      </c>
      <c r="M57" s="369">
        <f t="shared" si="22"/>
        <v>0</v>
      </c>
      <c r="N57" s="362">
        <f t="shared" si="0"/>
        <v>48950</v>
      </c>
      <c r="O57" s="369">
        <f t="shared" si="22"/>
        <v>203104</v>
      </c>
      <c r="P57" s="369">
        <f t="shared" si="22"/>
        <v>54169</v>
      </c>
      <c r="Q57" s="369">
        <f t="shared" si="22"/>
        <v>156350</v>
      </c>
      <c r="R57" s="369">
        <f t="shared" si="22"/>
        <v>52949</v>
      </c>
      <c r="S57" s="369">
        <f t="shared" si="22"/>
        <v>4320</v>
      </c>
      <c r="T57" s="369">
        <f t="shared" si="22"/>
        <v>2120</v>
      </c>
      <c r="U57" s="369">
        <f t="shared" si="22"/>
        <v>0</v>
      </c>
      <c r="V57" s="369">
        <f t="shared" si="22"/>
        <v>0</v>
      </c>
      <c r="W57" s="362">
        <f t="shared" si="1"/>
        <v>420063</v>
      </c>
      <c r="Y57" s="363"/>
    </row>
    <row r="58" spans="1:25" ht="12.75">
      <c r="A58" s="360">
        <f>'[1]Eredeti Ft'!A58</f>
        <v>0</v>
      </c>
      <c r="B58" s="361">
        <f>'[1]Eredeti Ft'!B58</f>
        <v>0</v>
      </c>
      <c r="C58" s="362">
        <f>ROUND('[1]Eredeti Ft'!C58,-3)/1000</f>
        <v>4740</v>
      </c>
      <c r="D58" s="362">
        <f>ROUND('[1]Eredeti Ft'!D58,-3)/1000</f>
        <v>0</v>
      </c>
      <c r="E58" s="362">
        <f>ROUND('[1]Eredeti Ft'!E58,-3)/1000</f>
        <v>0</v>
      </c>
      <c r="F58" s="362">
        <f>ROUND('[1]Eredeti Ft'!F58,-3)/1000</f>
        <v>0</v>
      </c>
      <c r="G58" s="362">
        <f>ROUND('[1]Eredeti Ft'!G58,-3)/1000</f>
        <v>0</v>
      </c>
      <c r="H58" s="362">
        <f>ROUND('[1]Eredeti Ft'!H58,-3)/1000</f>
        <v>0</v>
      </c>
      <c r="I58" s="362">
        <f>ROUND('[1]Eredeti Ft'!I58,-3)/1000</f>
        <v>0</v>
      </c>
      <c r="J58" s="362">
        <f>ROUND('[1]Eredeti Ft'!J58,-3)/1000</f>
        <v>0</v>
      </c>
      <c r="K58" s="362">
        <f>ROUND('[1]Eredeti Ft'!K58,-3)/1000</f>
        <v>0</v>
      </c>
      <c r="L58" s="362">
        <f>ROUND('[1]Eredeti Ft'!L58,-3)/1000</f>
        <v>0</v>
      </c>
      <c r="M58" s="362">
        <f>ROUND('[1]Eredeti Ft'!M58,-3)/1000</f>
        <v>0</v>
      </c>
      <c r="N58" s="362">
        <f t="shared" si="0"/>
        <v>4740</v>
      </c>
      <c r="O58" s="362">
        <f>ROUND('[1]Eredeti Ft'!O58,-3)/1000</f>
        <v>52174</v>
      </c>
      <c r="P58" s="362">
        <f>ROUND('[1]Eredeti Ft'!P58,-3)/1000</f>
        <v>13798</v>
      </c>
      <c r="Q58" s="362">
        <f>ROUND('[1]Eredeti Ft'!Q58,-3)/1000</f>
        <v>6751</v>
      </c>
      <c r="R58" s="362">
        <f>ROUND('[1]Eredeti Ft'!R58,-3)/1000</f>
        <v>0</v>
      </c>
      <c r="S58" s="362">
        <f>ROUND('[1]Eredeti Ft'!S58,-3)/1000</f>
        <v>0</v>
      </c>
      <c r="T58" s="362">
        <f>ROUND('[1]Eredeti Ft'!T58,-3)/1000</f>
        <v>0</v>
      </c>
      <c r="U58" s="362">
        <f>ROUND('[1]Eredeti Ft'!U58,-3)/1000</f>
        <v>0</v>
      </c>
      <c r="V58" s="362">
        <f>ROUND('[1]Eredeti Ft'!V58,-3)/1000</f>
        <v>0</v>
      </c>
      <c r="W58" s="362">
        <f t="shared" si="1"/>
        <v>72723</v>
      </c>
      <c r="Y58" s="363">
        <f>SUM(O58:V58)-R58</f>
        <v>72723</v>
      </c>
    </row>
    <row r="59" spans="1:25" ht="12.75">
      <c r="A59" s="360"/>
      <c r="B59" s="361" t="s">
        <v>380</v>
      </c>
      <c r="C59" s="362">
        <f>C58</f>
        <v>4740</v>
      </c>
      <c r="D59" s="362">
        <f aca="true" t="shared" si="23" ref="D59:V60">D58</f>
        <v>0</v>
      </c>
      <c r="E59" s="362">
        <f t="shared" si="23"/>
        <v>0</v>
      </c>
      <c r="F59" s="362">
        <f t="shared" si="23"/>
        <v>0</v>
      </c>
      <c r="G59" s="362">
        <f t="shared" si="23"/>
        <v>0</v>
      </c>
      <c r="H59" s="362">
        <f t="shared" si="23"/>
        <v>0</v>
      </c>
      <c r="I59" s="362">
        <f t="shared" si="23"/>
        <v>0</v>
      </c>
      <c r="J59" s="362">
        <f t="shared" si="23"/>
        <v>0</v>
      </c>
      <c r="K59" s="362">
        <f t="shared" si="23"/>
        <v>0</v>
      </c>
      <c r="L59" s="362">
        <f>L58+346</f>
        <v>346</v>
      </c>
      <c r="M59" s="362">
        <f t="shared" si="23"/>
        <v>0</v>
      </c>
      <c r="N59" s="362">
        <f t="shared" si="0"/>
        <v>5086</v>
      </c>
      <c r="O59" s="362">
        <f>O58+13+272</f>
        <v>52459</v>
      </c>
      <c r="P59" s="362">
        <f>P58+4</f>
        <v>13802</v>
      </c>
      <c r="Q59" s="362">
        <f>Q58+300+74</f>
        <v>7125</v>
      </c>
      <c r="R59" s="362">
        <f t="shared" si="23"/>
        <v>0</v>
      </c>
      <c r="S59" s="362">
        <f t="shared" si="23"/>
        <v>0</v>
      </c>
      <c r="T59" s="362">
        <f t="shared" si="23"/>
        <v>0</v>
      </c>
      <c r="U59" s="362">
        <f t="shared" si="23"/>
        <v>0</v>
      </c>
      <c r="V59" s="362">
        <f t="shared" si="23"/>
        <v>0</v>
      </c>
      <c r="W59" s="362">
        <f t="shared" si="1"/>
        <v>73386</v>
      </c>
      <c r="Y59" s="363"/>
    </row>
    <row r="60" spans="1:25" ht="12.75">
      <c r="A60" s="360"/>
      <c r="B60" s="361" t="s">
        <v>381</v>
      </c>
      <c r="C60" s="362">
        <f>C59</f>
        <v>4740</v>
      </c>
      <c r="D60" s="362">
        <f>D59</f>
        <v>0</v>
      </c>
      <c r="E60" s="362">
        <f>E59</f>
        <v>0</v>
      </c>
      <c r="F60" s="362">
        <f>F59</f>
        <v>0</v>
      </c>
      <c r="G60" s="362">
        <f>500</f>
        <v>500</v>
      </c>
      <c r="H60" s="362">
        <f t="shared" si="23"/>
        <v>0</v>
      </c>
      <c r="I60" s="362">
        <f t="shared" si="23"/>
        <v>0</v>
      </c>
      <c r="J60" s="362">
        <f t="shared" si="23"/>
        <v>0</v>
      </c>
      <c r="K60" s="362">
        <f t="shared" si="23"/>
        <v>0</v>
      </c>
      <c r="L60" s="362">
        <f t="shared" si="23"/>
        <v>346</v>
      </c>
      <c r="M60" s="362">
        <f t="shared" si="23"/>
        <v>0</v>
      </c>
      <c r="N60" s="362">
        <f t="shared" si="0"/>
        <v>5586</v>
      </c>
      <c r="O60" s="362">
        <f>O59+58+586-1205+12</f>
        <v>51910</v>
      </c>
      <c r="P60" s="362">
        <f>P59+16+141</f>
        <v>13959</v>
      </c>
      <c r="Q60" s="362">
        <f>Q59+500+150+1205</f>
        <v>8980</v>
      </c>
      <c r="R60" s="362">
        <f>R59</f>
        <v>0</v>
      </c>
      <c r="S60" s="362">
        <f>S59</f>
        <v>0</v>
      </c>
      <c r="T60" s="362">
        <f>T59</f>
        <v>0</v>
      </c>
      <c r="U60" s="362">
        <f>U59</f>
        <v>0</v>
      </c>
      <c r="V60" s="362">
        <f>V59</f>
        <v>0</v>
      </c>
      <c r="W60" s="362">
        <f t="shared" si="1"/>
        <v>74849</v>
      </c>
      <c r="Y60" s="363"/>
    </row>
    <row r="61" spans="1:25" ht="12.75">
      <c r="A61" s="360">
        <f>'[1]Eredeti Ft'!A61</f>
        <v>0</v>
      </c>
      <c r="B61" s="361">
        <f>'[1]Eredeti Ft'!B61</f>
        <v>0</v>
      </c>
      <c r="C61" s="362">
        <f>ROUND('[1]Eredeti Ft'!C61,-3)/1000</f>
        <v>1230</v>
      </c>
      <c r="D61" s="362">
        <f>ROUND('[1]Eredeti Ft'!D61,-3)/1000</f>
        <v>0</v>
      </c>
      <c r="E61" s="362">
        <f>ROUND('[1]Eredeti Ft'!E61,-3)/1000</f>
        <v>308</v>
      </c>
      <c r="F61" s="362">
        <f>ROUND('[1]Eredeti Ft'!F61,-3)/1000</f>
        <v>22000</v>
      </c>
      <c r="G61" s="362">
        <f>ROUND('[1]Eredeti Ft'!G61,-3)/1000</f>
        <v>5876</v>
      </c>
      <c r="H61" s="362">
        <f>ROUND('[1]Eredeti Ft'!H61,-3)/1000</f>
        <v>0</v>
      </c>
      <c r="I61" s="362">
        <f>ROUND('[1]Eredeti Ft'!I61,-3)/1000</f>
        <v>9000</v>
      </c>
      <c r="J61" s="362">
        <f>ROUND('[1]Eredeti Ft'!J61,-3)/1000</f>
        <v>0</v>
      </c>
      <c r="K61" s="362">
        <f>ROUND('[1]Eredeti Ft'!K61,-3)/1000</f>
        <v>0</v>
      </c>
      <c r="L61" s="362">
        <f>ROUND('[1]Eredeti Ft'!L61,-3)/1000</f>
        <v>0</v>
      </c>
      <c r="M61" s="362">
        <f>ROUND('[1]Eredeti Ft'!M61,-3)/1000</f>
        <v>0</v>
      </c>
      <c r="N61" s="362">
        <f t="shared" si="0"/>
        <v>38414</v>
      </c>
      <c r="O61" s="362">
        <f>ROUND('[1]Eredeti Ft'!O61,-3)/1000</f>
        <v>24661</v>
      </c>
      <c r="P61" s="362">
        <f>ROUND('[1]Eredeti Ft'!P61,-3)/1000</f>
        <v>6581</v>
      </c>
      <c r="Q61" s="362">
        <f>ROUND('[1]Eredeti Ft'!Q61,-3)/1000</f>
        <v>45046</v>
      </c>
      <c r="R61" s="362">
        <f>ROUND('[1]Eredeti Ft'!R61,-3)/1000</f>
        <v>0</v>
      </c>
      <c r="S61" s="362">
        <f>ROUND('[1]Eredeti Ft'!S61,-3)/1000</f>
        <v>0</v>
      </c>
      <c r="T61" s="362">
        <f>ROUND('[1]Eredeti Ft'!T61,-3)/1000</f>
        <v>2313</v>
      </c>
      <c r="U61" s="362">
        <f>ROUND('[1]Eredeti Ft'!U61,-3)/1000</f>
        <v>0</v>
      </c>
      <c r="V61" s="362">
        <f>ROUND('[1]Eredeti Ft'!V61,-3)/1000</f>
        <v>0</v>
      </c>
      <c r="W61" s="362">
        <f t="shared" si="1"/>
        <v>78601</v>
      </c>
      <c r="Y61" s="363">
        <f>SUM(O61:V61)-R61</f>
        <v>78601</v>
      </c>
    </row>
    <row r="62" spans="1:25" ht="12.75">
      <c r="A62" s="360"/>
      <c r="B62" s="361" t="s">
        <v>380</v>
      </c>
      <c r="C62" s="362">
        <f>C61</f>
        <v>1230</v>
      </c>
      <c r="D62" s="362">
        <f aca="true" t="shared" si="24" ref="D62:V62">D61</f>
        <v>0</v>
      </c>
      <c r="E62" s="362">
        <f t="shared" si="24"/>
        <v>308</v>
      </c>
      <c r="F62" s="362">
        <v>0</v>
      </c>
      <c r="G62" s="362">
        <f t="shared" si="24"/>
        <v>5876</v>
      </c>
      <c r="H62" s="362">
        <f t="shared" si="24"/>
        <v>0</v>
      </c>
      <c r="I62" s="362">
        <f t="shared" si="24"/>
        <v>9000</v>
      </c>
      <c r="J62" s="362">
        <f t="shared" si="24"/>
        <v>0</v>
      </c>
      <c r="K62" s="362">
        <f t="shared" si="24"/>
        <v>0</v>
      </c>
      <c r="L62" s="362">
        <f>L61+6119+12633+1216</f>
        <v>19968</v>
      </c>
      <c r="M62" s="362">
        <f>ROUND('[1]Eredeti Ft'!M62,-3)/1000</f>
        <v>0</v>
      </c>
      <c r="N62" s="362">
        <f t="shared" si="0"/>
        <v>36382</v>
      </c>
      <c r="O62" s="362">
        <f>O61+76+2+1170</f>
        <v>25909</v>
      </c>
      <c r="P62" s="362">
        <f>P61+20+316</f>
        <v>6917</v>
      </c>
      <c r="Q62" s="362">
        <f>Q61+11772+1216</f>
        <v>58034</v>
      </c>
      <c r="R62" s="362">
        <f t="shared" si="24"/>
        <v>0</v>
      </c>
      <c r="S62" s="362">
        <f t="shared" si="24"/>
        <v>0</v>
      </c>
      <c r="T62" s="362">
        <v>2313</v>
      </c>
      <c r="U62" s="362">
        <v>3179</v>
      </c>
      <c r="V62" s="362">
        <f t="shared" si="24"/>
        <v>0</v>
      </c>
      <c r="W62" s="362">
        <f t="shared" si="1"/>
        <v>96352</v>
      </c>
      <c r="Y62" s="363"/>
    </row>
    <row r="63" spans="1:25" ht="12.75">
      <c r="A63" s="360"/>
      <c r="B63" s="361" t="s">
        <v>381</v>
      </c>
      <c r="C63" s="362">
        <f>C62</f>
        <v>1230</v>
      </c>
      <c r="D63" s="362">
        <f>D62</f>
        <v>0</v>
      </c>
      <c r="E63" s="362">
        <f>E62</f>
        <v>308</v>
      </c>
      <c r="F63" s="362">
        <v>0</v>
      </c>
      <c r="G63" s="362">
        <v>0</v>
      </c>
      <c r="H63" s="362">
        <f>H62</f>
        <v>0</v>
      </c>
      <c r="I63" s="362">
        <f>I62+5876</f>
        <v>14876</v>
      </c>
      <c r="J63" s="362">
        <f>J62</f>
        <v>0</v>
      </c>
      <c r="K63" s="362">
        <f>K62</f>
        <v>0</v>
      </c>
      <c r="L63" s="362">
        <f>L62-2313</f>
        <v>17655</v>
      </c>
      <c r="M63" s="362">
        <f>M61</f>
        <v>0</v>
      </c>
      <c r="N63" s="362">
        <f>SUM(C63:M63)-D63</f>
        <v>34069</v>
      </c>
      <c r="O63" s="362">
        <f>O62+132+27</f>
        <v>26068</v>
      </c>
      <c r="P63" s="362">
        <f>P62+36</f>
        <v>6953</v>
      </c>
      <c r="Q63" s="362">
        <f>Q62+90+1117</f>
        <v>59241</v>
      </c>
      <c r="R63" s="362">
        <f>R62</f>
        <v>0</v>
      </c>
      <c r="S63" s="362">
        <f>S62</f>
        <v>0</v>
      </c>
      <c r="T63" s="362">
        <v>2313</v>
      </c>
      <c r="U63" s="362">
        <v>3179</v>
      </c>
      <c r="V63" s="362">
        <f>V62</f>
        <v>0</v>
      </c>
      <c r="W63" s="362">
        <f t="shared" si="1"/>
        <v>97754</v>
      </c>
      <c r="Y63" s="363"/>
    </row>
    <row r="64" spans="1:25" ht="12.75" customHeight="1">
      <c r="A64" s="360">
        <f>'[1]Eredeti Ft'!A64</f>
        <v>0</v>
      </c>
      <c r="B64" s="361">
        <f>'[1]Eredeti Ft'!B64</f>
        <v>0</v>
      </c>
      <c r="C64" s="362">
        <f>ROUND('[1]Eredeti Ft'!C64,-3)/1000</f>
        <v>480</v>
      </c>
      <c r="D64" s="362">
        <f>ROUND('[1]Eredeti Ft'!D64,-3)/1000</f>
        <v>0</v>
      </c>
      <c r="E64" s="362">
        <f>ROUND('[1]Eredeti Ft'!E64,-3)/1000</f>
        <v>120</v>
      </c>
      <c r="F64" s="362">
        <f>ROUND('[1]Eredeti Ft'!F64,-3)/1000</f>
        <v>0</v>
      </c>
      <c r="G64" s="362">
        <f>ROUND('[1]Eredeti Ft'!G64,-3)/1000</f>
        <v>0</v>
      </c>
      <c r="H64" s="362">
        <f>ROUND('[1]Eredeti Ft'!H64,-3)/1000</f>
        <v>0</v>
      </c>
      <c r="I64" s="362">
        <f>ROUND('[1]Eredeti Ft'!I64,-3)/1000</f>
        <v>0</v>
      </c>
      <c r="J64" s="362">
        <f>ROUND('[1]Eredeti Ft'!J64,-3)/1000</f>
        <v>0</v>
      </c>
      <c r="K64" s="362">
        <f>ROUND('[1]Eredeti Ft'!K64,-3)/1000</f>
        <v>0</v>
      </c>
      <c r="L64" s="362">
        <f>ROUND('[1]Eredeti Ft'!L64,-3)/1000</f>
        <v>0</v>
      </c>
      <c r="M64" s="362">
        <f>ROUND('[1]Eredeti Ft'!M64,-3)/1000</f>
        <v>0</v>
      </c>
      <c r="N64" s="362">
        <f t="shared" si="0"/>
        <v>600</v>
      </c>
      <c r="O64" s="362">
        <f>ROUND('[1]Eredeti Ft'!O64,-3)/1000</f>
        <v>2110</v>
      </c>
      <c r="P64" s="362">
        <f>ROUND('[1]Eredeti Ft'!P64,-3)/1000</f>
        <v>570</v>
      </c>
      <c r="Q64" s="362">
        <f>ROUND('[1]Eredeti Ft'!Q64,-3)/1000</f>
        <v>462</v>
      </c>
      <c r="R64" s="362">
        <f>ROUND('[1]Eredeti Ft'!R64,-3)/1000</f>
        <v>0</v>
      </c>
      <c r="S64" s="362">
        <f>ROUND('[1]Eredeti Ft'!S64,-3)/1000</f>
        <v>0</v>
      </c>
      <c r="T64" s="362">
        <f>ROUND('[1]Eredeti Ft'!T64,-3)/1000</f>
        <v>0</v>
      </c>
      <c r="U64" s="362">
        <f>ROUND('[1]Eredeti Ft'!U64,-3)/1000</f>
        <v>0</v>
      </c>
      <c r="V64" s="362">
        <f>ROUND('[1]Eredeti Ft'!V64,-3)/1000</f>
        <v>0</v>
      </c>
      <c r="W64" s="362">
        <f t="shared" si="1"/>
        <v>3142</v>
      </c>
      <c r="Y64" s="363">
        <f>SUM(O64:V64)-R64</f>
        <v>3142</v>
      </c>
    </row>
    <row r="65" spans="1:25" ht="12.75">
      <c r="A65" s="360"/>
      <c r="B65" s="361" t="s">
        <v>380</v>
      </c>
      <c r="C65" s="362">
        <f>C64</f>
        <v>480</v>
      </c>
      <c r="D65" s="362">
        <f aca="true" t="shared" si="25" ref="D65:V66">D64</f>
        <v>0</v>
      </c>
      <c r="E65" s="362">
        <f t="shared" si="25"/>
        <v>120</v>
      </c>
      <c r="F65" s="362">
        <f t="shared" si="25"/>
        <v>0</v>
      </c>
      <c r="G65" s="362">
        <f t="shared" si="25"/>
        <v>0</v>
      </c>
      <c r="H65" s="362">
        <f t="shared" si="25"/>
        <v>0</v>
      </c>
      <c r="I65" s="362">
        <f t="shared" si="25"/>
        <v>0</v>
      </c>
      <c r="J65" s="362">
        <f t="shared" si="25"/>
        <v>0</v>
      </c>
      <c r="K65" s="362">
        <f t="shared" si="25"/>
        <v>0</v>
      </c>
      <c r="L65" s="362">
        <f t="shared" si="25"/>
        <v>0</v>
      </c>
      <c r="M65" s="362">
        <f t="shared" si="25"/>
        <v>0</v>
      </c>
      <c r="N65" s="362">
        <f t="shared" si="0"/>
        <v>600</v>
      </c>
      <c r="O65" s="362">
        <f t="shared" si="25"/>
        <v>2110</v>
      </c>
      <c r="P65" s="362">
        <f t="shared" si="25"/>
        <v>570</v>
      </c>
      <c r="Q65" s="362">
        <f t="shared" si="25"/>
        <v>462</v>
      </c>
      <c r="R65" s="362">
        <f t="shared" si="25"/>
        <v>0</v>
      </c>
      <c r="S65" s="362">
        <f t="shared" si="25"/>
        <v>0</v>
      </c>
      <c r="T65" s="362">
        <f t="shared" si="25"/>
        <v>0</v>
      </c>
      <c r="U65" s="362">
        <f t="shared" si="25"/>
        <v>0</v>
      </c>
      <c r="V65" s="362">
        <f t="shared" si="25"/>
        <v>0</v>
      </c>
      <c r="W65" s="362">
        <f t="shared" si="1"/>
        <v>3142</v>
      </c>
      <c r="Y65" s="363"/>
    </row>
    <row r="66" spans="1:25" ht="12.75">
      <c r="A66" s="360"/>
      <c r="B66" s="361" t="s">
        <v>381</v>
      </c>
      <c r="C66" s="362">
        <f>C65</f>
        <v>480</v>
      </c>
      <c r="D66" s="362">
        <f t="shared" si="25"/>
        <v>0</v>
      </c>
      <c r="E66" s="362">
        <f t="shared" si="25"/>
        <v>120</v>
      </c>
      <c r="F66" s="362">
        <f t="shared" si="25"/>
        <v>0</v>
      </c>
      <c r="G66" s="362">
        <f t="shared" si="25"/>
        <v>0</v>
      </c>
      <c r="H66" s="362">
        <f t="shared" si="25"/>
        <v>0</v>
      </c>
      <c r="I66" s="362">
        <f t="shared" si="25"/>
        <v>0</v>
      </c>
      <c r="J66" s="362">
        <f t="shared" si="25"/>
        <v>0</v>
      </c>
      <c r="K66" s="362">
        <f t="shared" si="25"/>
        <v>0</v>
      </c>
      <c r="L66" s="362">
        <f t="shared" si="25"/>
        <v>0</v>
      </c>
      <c r="M66" s="362">
        <f t="shared" si="25"/>
        <v>0</v>
      </c>
      <c r="N66" s="362">
        <f t="shared" si="0"/>
        <v>600</v>
      </c>
      <c r="O66" s="362">
        <f t="shared" si="25"/>
        <v>2110</v>
      </c>
      <c r="P66" s="362">
        <f t="shared" si="25"/>
        <v>570</v>
      </c>
      <c r="Q66" s="362">
        <f t="shared" si="25"/>
        <v>462</v>
      </c>
      <c r="R66" s="362">
        <f t="shared" si="25"/>
        <v>0</v>
      </c>
      <c r="S66" s="362">
        <f t="shared" si="25"/>
        <v>0</v>
      </c>
      <c r="T66" s="362">
        <f t="shared" si="25"/>
        <v>0</v>
      </c>
      <c r="U66" s="362">
        <f t="shared" si="25"/>
        <v>0</v>
      </c>
      <c r="V66" s="362">
        <f t="shared" si="25"/>
        <v>0</v>
      </c>
      <c r="W66" s="362">
        <f t="shared" si="1"/>
        <v>3142</v>
      </c>
      <c r="Y66" s="363"/>
    </row>
    <row r="67" spans="1:25" ht="12.75">
      <c r="A67" s="360">
        <f>'[1]Eredeti Ft'!A67</f>
        <v>0</v>
      </c>
      <c r="B67" s="361">
        <f>'[1]Eredeti Ft'!B67</f>
        <v>0</v>
      </c>
      <c r="C67" s="362">
        <f>ROUND('[1]Eredeti Ft'!C67,-3)/1000</f>
        <v>0</v>
      </c>
      <c r="D67" s="362">
        <f>ROUND('[1]Eredeti Ft'!D67,-3)/1000</f>
        <v>0</v>
      </c>
      <c r="E67" s="362">
        <f>ROUND('[1]Eredeti Ft'!E67,-3)/1000</f>
        <v>0</v>
      </c>
      <c r="F67" s="362">
        <f>ROUND('[1]Eredeti Ft'!F67,-3)/1000</f>
        <v>0</v>
      </c>
      <c r="G67" s="362">
        <f>ROUND('[1]Eredeti Ft'!G67,-3)/1000</f>
        <v>0</v>
      </c>
      <c r="H67" s="362">
        <f>ROUND('[1]Eredeti Ft'!H67,-3)/1000</f>
        <v>0</v>
      </c>
      <c r="I67" s="362">
        <f>ROUND('[1]Eredeti Ft'!I67,-3)/1000</f>
        <v>0</v>
      </c>
      <c r="J67" s="362">
        <f>ROUND('[1]Eredeti Ft'!J67,-3)/1000</f>
        <v>0</v>
      </c>
      <c r="K67" s="362">
        <f>ROUND('[1]Eredeti Ft'!K67,-3)/1000</f>
        <v>0</v>
      </c>
      <c r="L67" s="362">
        <f>ROUND('[1]Eredeti Ft'!L67,-3)/1000</f>
        <v>0</v>
      </c>
      <c r="M67" s="362">
        <f>ROUND('[1]Eredeti Ft'!M67,-3)/1000</f>
        <v>0</v>
      </c>
      <c r="N67" s="362">
        <f t="shared" si="0"/>
        <v>0</v>
      </c>
      <c r="O67" s="362">
        <f>ROUND('[1]Eredeti Ft'!O67,-3)/1000</f>
        <v>9807</v>
      </c>
      <c r="P67" s="362">
        <f>ROUND('[1]Eredeti Ft'!P67,-3)/1000</f>
        <v>2562</v>
      </c>
      <c r="Q67" s="362">
        <f>ROUND('[1]Eredeti Ft'!Q67,-3)/1000</f>
        <v>4514</v>
      </c>
      <c r="R67" s="362">
        <f>ROUND('[1]Eredeti Ft'!R67,-3)/1000</f>
        <v>0</v>
      </c>
      <c r="S67" s="362">
        <f>ROUND('[1]Eredeti Ft'!S67,-3)/1000</f>
        <v>0</v>
      </c>
      <c r="T67" s="362">
        <f>ROUND('[1]Eredeti Ft'!T67,-3)/1000</f>
        <v>0</v>
      </c>
      <c r="U67" s="362">
        <f>ROUND('[1]Eredeti Ft'!U67,-3)/1000</f>
        <v>0</v>
      </c>
      <c r="V67" s="362">
        <f>ROUND('[1]Eredeti Ft'!V67,-3)/1000</f>
        <v>0</v>
      </c>
      <c r="W67" s="362">
        <f t="shared" si="1"/>
        <v>16883</v>
      </c>
      <c r="Y67" s="363">
        <f>SUM(O67:V67)-R67</f>
        <v>16883</v>
      </c>
    </row>
    <row r="68" spans="1:25" ht="12.75">
      <c r="A68" s="360"/>
      <c r="B68" s="361" t="s">
        <v>380</v>
      </c>
      <c r="C68" s="362">
        <f aca="true" t="shared" si="26" ref="C68:L69">C67</f>
        <v>0</v>
      </c>
      <c r="D68" s="362">
        <f t="shared" si="26"/>
        <v>0</v>
      </c>
      <c r="E68" s="362">
        <f t="shared" si="26"/>
        <v>0</v>
      </c>
      <c r="F68" s="362">
        <f t="shared" si="26"/>
        <v>0</v>
      </c>
      <c r="G68" s="362">
        <f t="shared" si="26"/>
        <v>0</v>
      </c>
      <c r="H68" s="362">
        <f t="shared" si="26"/>
        <v>0</v>
      </c>
      <c r="I68" s="362">
        <f t="shared" si="26"/>
        <v>0</v>
      </c>
      <c r="J68" s="362">
        <f t="shared" si="26"/>
        <v>0</v>
      </c>
      <c r="K68" s="362">
        <f t="shared" si="26"/>
        <v>0</v>
      </c>
      <c r="L68" s="362">
        <f>L67+30</f>
        <v>30</v>
      </c>
      <c r="M68" s="362">
        <f>M67</f>
        <v>0</v>
      </c>
      <c r="N68" s="362">
        <f aca="true" t="shared" si="27" ref="N68:N82">SUM(C68:M68)-D68</f>
        <v>30</v>
      </c>
      <c r="O68" s="362">
        <f>O67+17+30</f>
        <v>9854</v>
      </c>
      <c r="P68" s="362">
        <f>P67+4</f>
        <v>2566</v>
      </c>
      <c r="Q68" s="362">
        <f aca="true" t="shared" si="28" ref="Q68:V68">Q67</f>
        <v>4514</v>
      </c>
      <c r="R68" s="362">
        <f t="shared" si="28"/>
        <v>0</v>
      </c>
      <c r="S68" s="362">
        <f t="shared" si="28"/>
        <v>0</v>
      </c>
      <c r="T68" s="362">
        <f t="shared" si="28"/>
        <v>0</v>
      </c>
      <c r="U68" s="362">
        <f t="shared" si="28"/>
        <v>0</v>
      </c>
      <c r="V68" s="362">
        <f t="shared" si="28"/>
        <v>0</v>
      </c>
      <c r="W68" s="362">
        <f aca="true" t="shared" si="29" ref="W68:W81">SUM(O68:V68)-R68</f>
        <v>16934</v>
      </c>
      <c r="Y68" s="363"/>
    </row>
    <row r="69" spans="1:25" ht="12.75">
      <c r="A69" s="360"/>
      <c r="B69" s="361" t="s">
        <v>381</v>
      </c>
      <c r="C69" s="362">
        <f>C68+800+500-500</f>
        <v>800</v>
      </c>
      <c r="D69" s="362">
        <f>D68</f>
        <v>0</v>
      </c>
      <c r="E69" s="362">
        <f>E68+500-500</f>
        <v>0</v>
      </c>
      <c r="F69" s="362">
        <f t="shared" si="26"/>
        <v>0</v>
      </c>
      <c r="G69" s="362">
        <f t="shared" si="26"/>
        <v>0</v>
      </c>
      <c r="H69" s="362">
        <f t="shared" si="26"/>
        <v>0</v>
      </c>
      <c r="I69" s="362">
        <f t="shared" si="26"/>
        <v>0</v>
      </c>
      <c r="J69" s="362">
        <f t="shared" si="26"/>
        <v>0</v>
      </c>
      <c r="K69" s="362">
        <f t="shared" si="26"/>
        <v>0</v>
      </c>
      <c r="L69" s="362">
        <f t="shared" si="26"/>
        <v>30</v>
      </c>
      <c r="M69" s="362">
        <f>M68</f>
        <v>0</v>
      </c>
      <c r="N69" s="362">
        <f t="shared" si="27"/>
        <v>830</v>
      </c>
      <c r="O69" s="362">
        <f>O68+36-1454+7</f>
        <v>8443</v>
      </c>
      <c r="P69" s="362">
        <f>P68+10-350</f>
        <v>2226</v>
      </c>
      <c r="Q69" s="362">
        <f>Q68-500</f>
        <v>4014</v>
      </c>
      <c r="R69" s="362">
        <f>R68</f>
        <v>0</v>
      </c>
      <c r="S69" s="362">
        <f>S68</f>
        <v>0</v>
      </c>
      <c r="T69" s="362">
        <f>T68</f>
        <v>0</v>
      </c>
      <c r="U69" s="362">
        <f>U68+500+500+800+1454+350+500</f>
        <v>4104</v>
      </c>
      <c r="V69" s="362"/>
      <c r="W69" s="362">
        <f t="shared" si="29"/>
        <v>18787</v>
      </c>
      <c r="Y69" s="363"/>
    </row>
    <row r="70" spans="1:25" ht="12.75">
      <c r="A70" s="360">
        <f>'[1]Eredeti Ft'!A70</f>
        <v>0</v>
      </c>
      <c r="B70" s="361">
        <f>'[1]Eredeti Ft'!B70</f>
        <v>0</v>
      </c>
      <c r="C70" s="362">
        <f>ROUND('[1]Eredeti Ft'!C70,-3)/1000</f>
        <v>0</v>
      </c>
      <c r="D70" s="362">
        <f>ROUND('[1]Eredeti Ft'!D70,-3)/1000</f>
        <v>0</v>
      </c>
      <c r="E70" s="362">
        <f>ROUND('[1]Eredeti Ft'!E70,-3)/1000</f>
        <v>0</v>
      </c>
      <c r="F70" s="362">
        <f>ROUND('[1]Eredeti Ft'!F70,-3)/1000</f>
        <v>0</v>
      </c>
      <c r="G70" s="362">
        <f>ROUND('[1]Eredeti Ft'!G70,-3)/1000</f>
        <v>0</v>
      </c>
      <c r="H70" s="362">
        <f>ROUND('[1]Eredeti Ft'!H70,-3)/1000</f>
        <v>0</v>
      </c>
      <c r="I70" s="362">
        <f>ROUND('[1]Eredeti Ft'!I70,-3)/1000</f>
        <v>0</v>
      </c>
      <c r="J70" s="362">
        <f>ROUND('[1]Eredeti Ft'!J70,-3)/1000</f>
        <v>0</v>
      </c>
      <c r="K70" s="362">
        <f>ROUND('[1]Eredeti Ft'!K70,-3)/1000</f>
        <v>0</v>
      </c>
      <c r="L70" s="362">
        <f>ROUND('[1]Eredeti Ft'!L70,-3)/1000</f>
        <v>0</v>
      </c>
      <c r="M70" s="362">
        <f>ROUND('[1]Eredeti Ft'!M70,-3)/1000</f>
        <v>0</v>
      </c>
      <c r="N70" s="362">
        <f t="shared" si="27"/>
        <v>0</v>
      </c>
      <c r="O70" s="362">
        <f>ROUND('[1]Eredeti Ft'!O70,-3)/1000</f>
        <v>4957</v>
      </c>
      <c r="P70" s="362">
        <f>ROUND('[1]Eredeti Ft'!P70,-3)/1000</f>
        <v>1311</v>
      </c>
      <c r="Q70" s="362">
        <f>ROUND('[1]Eredeti Ft'!Q70,-3)/1000</f>
        <v>1947</v>
      </c>
      <c r="R70" s="362">
        <f>ROUND('[1]Eredeti Ft'!R70,-3)/1000</f>
        <v>0</v>
      </c>
      <c r="S70" s="362">
        <f>ROUND('[1]Eredeti Ft'!S70,-3)/1000</f>
        <v>0</v>
      </c>
      <c r="T70" s="362">
        <f>ROUND('[1]Eredeti Ft'!T70,-3)/1000</f>
        <v>0</v>
      </c>
      <c r="U70" s="362">
        <f>ROUND('[1]Eredeti Ft'!U70,-3)/1000</f>
        <v>0</v>
      </c>
      <c r="V70" s="362">
        <f>ROUND('[1]Eredeti Ft'!V70,-3)/1000</f>
        <v>0</v>
      </c>
      <c r="W70" s="362">
        <f t="shared" si="29"/>
        <v>8215</v>
      </c>
      <c r="Y70" s="363">
        <f>SUM(O70:V70)-R70</f>
        <v>8215</v>
      </c>
    </row>
    <row r="71" spans="1:25" ht="12.75">
      <c r="A71" s="360"/>
      <c r="B71" s="361" t="s">
        <v>380</v>
      </c>
      <c r="C71" s="362">
        <f aca="true" t="shared" si="30" ref="C71:H72">C70</f>
        <v>0</v>
      </c>
      <c r="D71" s="362">
        <f t="shared" si="30"/>
        <v>0</v>
      </c>
      <c r="E71" s="362">
        <f t="shared" si="30"/>
        <v>0</v>
      </c>
      <c r="F71" s="362">
        <f t="shared" si="30"/>
        <v>0</v>
      </c>
      <c r="G71" s="362">
        <f t="shared" si="30"/>
        <v>0</v>
      </c>
      <c r="H71" s="362">
        <f t="shared" si="30"/>
        <v>0</v>
      </c>
      <c r="I71" s="362">
        <f>I70+332</f>
        <v>332</v>
      </c>
      <c r="J71" s="362">
        <f>J70</f>
        <v>0</v>
      </c>
      <c r="K71" s="362">
        <f>K70</f>
        <v>0</v>
      </c>
      <c r="L71" s="362">
        <f>L70+96</f>
        <v>96</v>
      </c>
      <c r="M71" s="362">
        <f>M70</f>
        <v>0</v>
      </c>
      <c r="N71" s="362">
        <f t="shared" si="27"/>
        <v>428</v>
      </c>
      <c r="O71" s="362">
        <f>O70+261+14+76</f>
        <v>5308</v>
      </c>
      <c r="P71" s="362">
        <f>P70+4+20+71</f>
        <v>1406</v>
      </c>
      <c r="Q71" s="362">
        <f aca="true" t="shared" si="31" ref="Q71:V72">Q70</f>
        <v>1947</v>
      </c>
      <c r="R71" s="362">
        <f t="shared" si="31"/>
        <v>0</v>
      </c>
      <c r="S71" s="362">
        <f t="shared" si="31"/>
        <v>0</v>
      </c>
      <c r="T71" s="362">
        <f t="shared" si="31"/>
        <v>0</v>
      </c>
      <c r="U71" s="362">
        <f t="shared" si="31"/>
        <v>0</v>
      </c>
      <c r="V71" s="362">
        <f t="shared" si="31"/>
        <v>0</v>
      </c>
      <c r="W71" s="362">
        <f t="shared" si="29"/>
        <v>8661</v>
      </c>
      <c r="Y71" s="363"/>
    </row>
    <row r="72" spans="1:25" ht="12.75">
      <c r="A72" s="360"/>
      <c r="B72" s="361" t="s">
        <v>381</v>
      </c>
      <c r="C72" s="362">
        <f t="shared" si="30"/>
        <v>0</v>
      </c>
      <c r="D72" s="362">
        <f t="shared" si="30"/>
        <v>0</v>
      </c>
      <c r="E72" s="362">
        <f t="shared" si="30"/>
        <v>0</v>
      </c>
      <c r="F72" s="362">
        <f t="shared" si="30"/>
        <v>0</v>
      </c>
      <c r="G72" s="362">
        <f t="shared" si="30"/>
        <v>0</v>
      </c>
      <c r="H72" s="362">
        <f t="shared" si="30"/>
        <v>0</v>
      </c>
      <c r="I72" s="362">
        <f>I71-332</f>
        <v>0</v>
      </c>
      <c r="J72" s="362">
        <f>J71</f>
        <v>0</v>
      </c>
      <c r="K72" s="362">
        <f>K71</f>
        <v>0</v>
      </c>
      <c r="L72" s="362">
        <f>L71</f>
        <v>96</v>
      </c>
      <c r="M72" s="362">
        <f>M71</f>
        <v>0</v>
      </c>
      <c r="N72" s="362">
        <f t="shared" si="27"/>
        <v>96</v>
      </c>
      <c r="O72" s="362">
        <f>O71+32-261+7</f>
        <v>5086</v>
      </c>
      <c r="P72" s="362">
        <f>P71+9-71</f>
        <v>1344</v>
      </c>
      <c r="Q72" s="362">
        <f t="shared" si="31"/>
        <v>1947</v>
      </c>
      <c r="R72" s="362">
        <f t="shared" si="31"/>
        <v>0</v>
      </c>
      <c r="S72" s="362">
        <f t="shared" si="31"/>
        <v>0</v>
      </c>
      <c r="T72" s="362">
        <f t="shared" si="31"/>
        <v>0</v>
      </c>
      <c r="U72" s="362">
        <f t="shared" si="31"/>
        <v>0</v>
      </c>
      <c r="V72" s="362">
        <f t="shared" si="31"/>
        <v>0</v>
      </c>
      <c r="W72" s="362">
        <f t="shared" si="29"/>
        <v>8377</v>
      </c>
      <c r="Y72" s="363"/>
    </row>
    <row r="73" spans="1:25" ht="12.75" customHeight="1">
      <c r="A73" s="360">
        <f>'[1]Eredeti Ft'!A73</f>
        <v>0</v>
      </c>
      <c r="B73" s="361">
        <f>'[1]Eredeti Ft'!B73</f>
        <v>0</v>
      </c>
      <c r="C73" s="362">
        <f>ROUND('[1]Eredeti Ft'!C73,-3)/1000+1</f>
        <v>11473</v>
      </c>
      <c r="D73" s="362">
        <f>ROUND('[1]Eredeti Ft'!D73,-3)/1000</f>
        <v>0</v>
      </c>
      <c r="E73" s="362">
        <f>ROUND('[1]Eredeti Ft'!E73,-3)/1000-1</f>
        <v>81</v>
      </c>
      <c r="F73" s="362">
        <f>ROUND('[1]Eredeti Ft'!F73,-3)/1000</f>
        <v>0</v>
      </c>
      <c r="G73" s="362">
        <f>ROUND('[1]Eredeti Ft'!G73,-3)/1000</f>
        <v>0</v>
      </c>
      <c r="H73" s="362">
        <f>ROUND('[1]Eredeti Ft'!H73,-3)/1000</f>
        <v>0</v>
      </c>
      <c r="I73" s="362">
        <f>ROUND('[1]Eredeti Ft'!I73,-3)/1000</f>
        <v>21996</v>
      </c>
      <c r="J73" s="362">
        <f>ROUND('[1]Eredeti Ft'!J73,-3)/1000</f>
        <v>0</v>
      </c>
      <c r="K73" s="362">
        <f>ROUND('[1]Eredeti Ft'!K73,-3)/1000</f>
        <v>0</v>
      </c>
      <c r="L73" s="362">
        <f>ROUND('[1]Eredeti Ft'!L73,-3)/1000</f>
        <v>0</v>
      </c>
      <c r="M73" s="362">
        <f>ROUND('[1]Eredeti Ft'!M73,-3)/1000</f>
        <v>0</v>
      </c>
      <c r="N73" s="362">
        <f t="shared" si="27"/>
        <v>33550</v>
      </c>
      <c r="O73" s="362">
        <f>ROUND('[1]Eredeti Ft'!O73,-3)/1000</f>
        <v>80758</v>
      </c>
      <c r="P73" s="362">
        <f>ROUND('[1]Eredeti Ft'!P73,-3)/1000</f>
        <v>20852</v>
      </c>
      <c r="Q73" s="362">
        <f>ROUND('[1]Eredeti Ft'!Q73,-3)/1000</f>
        <v>26124</v>
      </c>
      <c r="R73" s="362">
        <f>ROUND('[1]Eredeti Ft'!R73,-3)/1000</f>
        <v>9896</v>
      </c>
      <c r="S73" s="362">
        <f>ROUND('[1]Eredeti Ft'!S73,-3)/1000</f>
        <v>0</v>
      </c>
      <c r="T73" s="362">
        <f>ROUND('[1]Eredeti Ft'!T73,-3)/1000</f>
        <v>0</v>
      </c>
      <c r="U73" s="362">
        <f>ROUND('[1]Eredeti Ft'!U73,-3)/1000</f>
        <v>0</v>
      </c>
      <c r="V73" s="362">
        <f>ROUND('[1]Eredeti Ft'!V73,-3)/1000</f>
        <v>0</v>
      </c>
      <c r="W73" s="362">
        <f t="shared" si="29"/>
        <v>127734</v>
      </c>
      <c r="Y73" s="363">
        <f>SUM(O73:V73)-R73</f>
        <v>127734</v>
      </c>
    </row>
    <row r="74" spans="1:25" ht="12.75">
      <c r="A74" s="360"/>
      <c r="B74" s="361" t="s">
        <v>380</v>
      </c>
      <c r="C74" s="362">
        <f aca="true" t="shared" si="32" ref="C74:F75">C73</f>
        <v>11473</v>
      </c>
      <c r="D74" s="362">
        <f t="shared" si="32"/>
        <v>0</v>
      </c>
      <c r="E74" s="362">
        <f t="shared" si="32"/>
        <v>81</v>
      </c>
      <c r="F74" s="362">
        <f t="shared" si="32"/>
        <v>0</v>
      </c>
      <c r="G74" s="362">
        <f>G73+153+680+693</f>
        <v>1526</v>
      </c>
      <c r="H74" s="362">
        <f>H73</f>
        <v>0</v>
      </c>
      <c r="I74" s="362">
        <f>I73</f>
        <v>21996</v>
      </c>
      <c r="J74" s="362">
        <f>J73</f>
        <v>0</v>
      </c>
      <c r="K74" s="362">
        <f>K73</f>
        <v>0</v>
      </c>
      <c r="L74" s="362">
        <f>L73+1081</f>
        <v>1081</v>
      </c>
      <c r="M74" s="362">
        <f>M73</f>
        <v>0</v>
      </c>
      <c r="N74" s="362">
        <f t="shared" si="27"/>
        <v>36157</v>
      </c>
      <c r="O74" s="362">
        <f>O73+420+271+452</f>
        <v>81901</v>
      </c>
      <c r="P74" s="362">
        <f>P73+113+73</f>
        <v>21038</v>
      </c>
      <c r="Q74" s="362">
        <f>Q73+153+680+160+200+300+100+629</f>
        <v>28346</v>
      </c>
      <c r="R74" s="362">
        <f aca="true" t="shared" si="33" ref="R74:V75">R73</f>
        <v>9896</v>
      </c>
      <c r="S74" s="362">
        <f t="shared" si="33"/>
        <v>0</v>
      </c>
      <c r="T74" s="362">
        <f t="shared" si="33"/>
        <v>0</v>
      </c>
      <c r="U74" s="362">
        <f t="shared" si="33"/>
        <v>0</v>
      </c>
      <c r="V74" s="362">
        <f t="shared" si="33"/>
        <v>0</v>
      </c>
      <c r="W74" s="362">
        <f t="shared" si="29"/>
        <v>131285</v>
      </c>
      <c r="Y74" s="363"/>
    </row>
    <row r="75" spans="1:25" ht="12.75">
      <c r="A75" s="360"/>
      <c r="B75" s="361" t="s">
        <v>381</v>
      </c>
      <c r="C75" s="362">
        <f>C74+500</f>
        <v>11973</v>
      </c>
      <c r="D75" s="362">
        <f t="shared" si="32"/>
        <v>0</v>
      </c>
      <c r="E75" s="362">
        <f>E74+500</f>
        <v>581</v>
      </c>
      <c r="F75" s="362">
        <f t="shared" si="32"/>
        <v>0</v>
      </c>
      <c r="G75" s="362">
        <f>G74+279+180+325</f>
        <v>2310</v>
      </c>
      <c r="H75" s="362">
        <f>H74</f>
        <v>0</v>
      </c>
      <c r="I75" s="362">
        <f>I74+963+332</f>
        <v>23291</v>
      </c>
      <c r="J75" s="362">
        <f>J74</f>
        <v>0</v>
      </c>
      <c r="K75" s="362">
        <f>K74</f>
        <v>0</v>
      </c>
      <c r="L75" s="362">
        <f>L74</f>
        <v>1081</v>
      </c>
      <c r="M75" s="362">
        <f>M74</f>
        <v>0</v>
      </c>
      <c r="N75" s="362">
        <f t="shared" si="27"/>
        <v>39236</v>
      </c>
      <c r="O75" s="362">
        <f>O74+256+758+384+261+79</f>
        <v>83639</v>
      </c>
      <c r="P75" s="362">
        <f>P74+69+205+100+71</f>
        <v>21483</v>
      </c>
      <c r="Q75" s="362">
        <f>Q74+459+150</f>
        <v>28955</v>
      </c>
      <c r="R75" s="362">
        <f t="shared" si="33"/>
        <v>9896</v>
      </c>
      <c r="S75" s="362">
        <f t="shared" si="33"/>
        <v>0</v>
      </c>
      <c r="T75" s="362">
        <f t="shared" si="33"/>
        <v>0</v>
      </c>
      <c r="U75" s="362">
        <f t="shared" si="33"/>
        <v>0</v>
      </c>
      <c r="V75" s="362">
        <f t="shared" si="33"/>
        <v>0</v>
      </c>
      <c r="W75" s="362">
        <f t="shared" si="29"/>
        <v>134077</v>
      </c>
      <c r="Y75" s="363"/>
    </row>
    <row r="76" spans="1:25" s="370" customFormat="1" ht="12.75" customHeight="1">
      <c r="A76" s="367">
        <f>'[1]Eredeti Ft'!A76</f>
        <v>0</v>
      </c>
      <c r="B76" s="368">
        <f>'[1]Eredeti Ft'!B76</f>
        <v>0</v>
      </c>
      <c r="C76" s="369">
        <f aca="true" t="shared" si="34" ref="C76:V78">C64+C67+C70+C73</f>
        <v>11953</v>
      </c>
      <c r="D76" s="369">
        <f t="shared" si="34"/>
        <v>0</v>
      </c>
      <c r="E76" s="369">
        <f t="shared" si="34"/>
        <v>201</v>
      </c>
      <c r="F76" s="369">
        <f t="shared" si="34"/>
        <v>0</v>
      </c>
      <c r="G76" s="369">
        <f t="shared" si="34"/>
        <v>0</v>
      </c>
      <c r="H76" s="369">
        <f t="shared" si="34"/>
        <v>0</v>
      </c>
      <c r="I76" s="369">
        <f t="shared" si="34"/>
        <v>21996</v>
      </c>
      <c r="J76" s="369">
        <f t="shared" si="34"/>
        <v>0</v>
      </c>
      <c r="K76" s="369">
        <f t="shared" si="34"/>
        <v>0</v>
      </c>
      <c r="L76" s="369">
        <f t="shared" si="34"/>
        <v>0</v>
      </c>
      <c r="M76" s="369">
        <f t="shared" si="34"/>
        <v>0</v>
      </c>
      <c r="N76" s="362">
        <f t="shared" si="27"/>
        <v>34150</v>
      </c>
      <c r="O76" s="369">
        <f t="shared" si="34"/>
        <v>97632</v>
      </c>
      <c r="P76" s="369">
        <f t="shared" si="34"/>
        <v>25295</v>
      </c>
      <c r="Q76" s="369">
        <f t="shared" si="34"/>
        <v>33047</v>
      </c>
      <c r="R76" s="369">
        <f t="shared" si="34"/>
        <v>9896</v>
      </c>
      <c r="S76" s="369">
        <f t="shared" si="34"/>
        <v>0</v>
      </c>
      <c r="T76" s="369">
        <f t="shared" si="34"/>
        <v>0</v>
      </c>
      <c r="U76" s="369">
        <f t="shared" si="34"/>
        <v>0</v>
      </c>
      <c r="V76" s="369">
        <f t="shared" si="34"/>
        <v>0</v>
      </c>
      <c r="W76" s="362">
        <f t="shared" si="29"/>
        <v>155974</v>
      </c>
      <c r="Y76" s="371">
        <f>SUM(O76:V76)-R76</f>
        <v>155974</v>
      </c>
    </row>
    <row r="77" spans="1:25" s="370" customFormat="1" ht="12.75">
      <c r="A77" s="367"/>
      <c r="B77" s="361" t="s">
        <v>380</v>
      </c>
      <c r="C77" s="369">
        <f>C65+C68+C71+C74</f>
        <v>11953</v>
      </c>
      <c r="D77" s="369">
        <f t="shared" si="34"/>
        <v>0</v>
      </c>
      <c r="E77" s="369">
        <f t="shared" si="34"/>
        <v>201</v>
      </c>
      <c r="F77" s="369">
        <f t="shared" si="34"/>
        <v>0</v>
      </c>
      <c r="G77" s="369">
        <f t="shared" si="34"/>
        <v>1526</v>
      </c>
      <c r="H77" s="369">
        <f t="shared" si="34"/>
        <v>0</v>
      </c>
      <c r="I77" s="369">
        <f t="shared" si="34"/>
        <v>22328</v>
      </c>
      <c r="J77" s="369">
        <f t="shared" si="34"/>
        <v>0</v>
      </c>
      <c r="K77" s="369">
        <f t="shared" si="34"/>
        <v>0</v>
      </c>
      <c r="L77" s="369">
        <f t="shared" si="34"/>
        <v>1207</v>
      </c>
      <c r="M77" s="369">
        <f t="shared" si="34"/>
        <v>0</v>
      </c>
      <c r="N77" s="362">
        <f t="shared" si="27"/>
        <v>37215</v>
      </c>
      <c r="O77" s="369">
        <f t="shared" si="34"/>
        <v>99173</v>
      </c>
      <c r="P77" s="369">
        <f t="shared" si="34"/>
        <v>25580</v>
      </c>
      <c r="Q77" s="369">
        <f t="shared" si="34"/>
        <v>35269</v>
      </c>
      <c r="R77" s="369">
        <f t="shared" si="34"/>
        <v>9896</v>
      </c>
      <c r="S77" s="369">
        <f t="shared" si="34"/>
        <v>0</v>
      </c>
      <c r="T77" s="369">
        <f t="shared" si="34"/>
        <v>0</v>
      </c>
      <c r="U77" s="369">
        <f t="shared" si="34"/>
        <v>0</v>
      </c>
      <c r="V77" s="369">
        <f t="shared" si="34"/>
        <v>0</v>
      </c>
      <c r="W77" s="362">
        <f t="shared" si="29"/>
        <v>160022</v>
      </c>
      <c r="Y77" s="371"/>
    </row>
    <row r="78" spans="1:25" s="370" customFormat="1" ht="12.75">
      <c r="A78" s="367"/>
      <c r="B78" s="361" t="s">
        <v>381</v>
      </c>
      <c r="C78" s="369">
        <f>C66+C69+C72+C75</f>
        <v>13253</v>
      </c>
      <c r="D78" s="369">
        <f t="shared" si="34"/>
        <v>0</v>
      </c>
      <c r="E78" s="369">
        <f t="shared" si="34"/>
        <v>701</v>
      </c>
      <c r="F78" s="369">
        <f t="shared" si="34"/>
        <v>0</v>
      </c>
      <c r="G78" s="369">
        <f t="shared" si="34"/>
        <v>2310</v>
      </c>
      <c r="H78" s="369">
        <f t="shared" si="34"/>
        <v>0</v>
      </c>
      <c r="I78" s="369">
        <f t="shared" si="34"/>
        <v>23291</v>
      </c>
      <c r="J78" s="369">
        <f t="shared" si="34"/>
        <v>0</v>
      </c>
      <c r="K78" s="369">
        <f t="shared" si="34"/>
        <v>0</v>
      </c>
      <c r="L78" s="369">
        <f t="shared" si="34"/>
        <v>1207</v>
      </c>
      <c r="M78" s="369">
        <f t="shared" si="34"/>
        <v>0</v>
      </c>
      <c r="N78" s="362">
        <f t="shared" si="27"/>
        <v>40762</v>
      </c>
      <c r="O78" s="369">
        <f t="shared" si="34"/>
        <v>99278</v>
      </c>
      <c r="P78" s="369">
        <f t="shared" si="34"/>
        <v>25623</v>
      </c>
      <c r="Q78" s="369">
        <f t="shared" si="34"/>
        <v>35378</v>
      </c>
      <c r="R78" s="369">
        <f t="shared" si="34"/>
        <v>9896</v>
      </c>
      <c r="S78" s="369">
        <f t="shared" si="34"/>
        <v>0</v>
      </c>
      <c r="T78" s="369">
        <f t="shared" si="34"/>
        <v>0</v>
      </c>
      <c r="U78" s="369">
        <f t="shared" si="34"/>
        <v>4104</v>
      </c>
      <c r="V78" s="369">
        <f t="shared" si="34"/>
        <v>0</v>
      </c>
      <c r="W78" s="362">
        <f t="shared" si="29"/>
        <v>164383</v>
      </c>
      <c r="Y78" s="371"/>
    </row>
    <row r="79" spans="1:25" ht="12.75" customHeight="1">
      <c r="A79" s="360">
        <f>'[1]Eredeti Ft'!A79</f>
        <v>0</v>
      </c>
      <c r="B79" s="361">
        <f>'[1]Eredeti Ft'!B79</f>
        <v>0</v>
      </c>
      <c r="C79" s="362">
        <f>ROUND('[1]Eredeti Ft'!C79,-3)/1000</f>
        <v>666</v>
      </c>
      <c r="D79" s="362">
        <f>ROUND('[1]Eredeti Ft'!D79,-3)/1000</f>
        <v>0</v>
      </c>
      <c r="E79" s="362">
        <f>ROUND('[1]Eredeti Ft'!E79,-3)/1000</f>
        <v>5731</v>
      </c>
      <c r="F79" s="362">
        <f>ROUND('[1]Eredeti Ft'!F79,-3)/1000</f>
        <v>0</v>
      </c>
      <c r="G79" s="362">
        <f>ROUND('[1]Eredeti Ft'!G79,-3)/1000</f>
        <v>0</v>
      </c>
      <c r="H79" s="362">
        <f>ROUND('[1]Eredeti Ft'!H79,-3)/1000</f>
        <v>0</v>
      </c>
      <c r="I79" s="362">
        <f>ROUND('[1]Eredeti Ft'!I79,-3)/1000</f>
        <v>0</v>
      </c>
      <c r="J79" s="362">
        <f>ROUND('[1]Eredeti Ft'!J79,-3)/1000</f>
        <v>0</v>
      </c>
      <c r="K79" s="362">
        <f>ROUND('[1]Eredeti Ft'!K79,-3)/1000</f>
        <v>0</v>
      </c>
      <c r="L79" s="362">
        <f>ROUND('[1]Eredeti Ft'!L79,-3)/1000</f>
        <v>0</v>
      </c>
      <c r="M79" s="362">
        <f>ROUND('[1]Eredeti Ft'!M79,-3)/1000</f>
        <v>0</v>
      </c>
      <c r="N79" s="362">
        <f t="shared" si="27"/>
        <v>6397</v>
      </c>
      <c r="O79" s="362">
        <f>ROUND('[1]Eredeti Ft'!O79,-3)/1000</f>
        <v>17857</v>
      </c>
      <c r="P79" s="362">
        <f>ROUND('[1]Eredeti Ft'!P79,-3)/1000</f>
        <v>4760</v>
      </c>
      <c r="Q79" s="362">
        <f>ROUND('[1]Eredeti Ft'!Q79,-3)/1000</f>
        <v>7863</v>
      </c>
      <c r="R79" s="362">
        <f>ROUND('[1]Eredeti Ft'!R79,-3)/1000</f>
        <v>0</v>
      </c>
      <c r="S79" s="362">
        <f>ROUND('[1]Eredeti Ft'!S79,-3)/1000</f>
        <v>0</v>
      </c>
      <c r="T79" s="362">
        <f>ROUND('[1]Eredeti Ft'!T79,-3)/1000</f>
        <v>0</v>
      </c>
      <c r="U79" s="362">
        <f>ROUND('[1]Eredeti Ft'!U79,-3)/1000</f>
        <v>0</v>
      </c>
      <c r="V79" s="362">
        <f>ROUND('[1]Eredeti Ft'!V79,-3)/1000</f>
        <v>0</v>
      </c>
      <c r="W79" s="362">
        <f t="shared" si="29"/>
        <v>30480</v>
      </c>
      <c r="Y79" s="363">
        <f>SUM(O79:V79)-R79</f>
        <v>30480</v>
      </c>
    </row>
    <row r="80" spans="1:25" ht="12.75">
      <c r="A80" s="360"/>
      <c r="B80" s="361" t="s">
        <v>380</v>
      </c>
      <c r="C80" s="362">
        <f aca="true" t="shared" si="35" ref="C80:K81">C79</f>
        <v>666</v>
      </c>
      <c r="D80" s="362">
        <f t="shared" si="35"/>
        <v>0</v>
      </c>
      <c r="E80" s="362">
        <f t="shared" si="35"/>
        <v>5731</v>
      </c>
      <c r="F80" s="362">
        <f t="shared" si="35"/>
        <v>0</v>
      </c>
      <c r="G80" s="362">
        <f t="shared" si="35"/>
        <v>0</v>
      </c>
      <c r="H80" s="362">
        <f t="shared" si="35"/>
        <v>0</v>
      </c>
      <c r="I80" s="362">
        <f t="shared" si="35"/>
        <v>0</v>
      </c>
      <c r="J80" s="362">
        <f t="shared" si="35"/>
        <v>0</v>
      </c>
      <c r="K80" s="362">
        <f t="shared" si="35"/>
        <v>0</v>
      </c>
      <c r="L80" s="362">
        <f>L79+384</f>
        <v>384</v>
      </c>
      <c r="M80" s="362">
        <f>M79</f>
        <v>0</v>
      </c>
      <c r="N80" s="362">
        <f t="shared" si="27"/>
        <v>6781</v>
      </c>
      <c r="O80" s="362">
        <f>O79+97+15</f>
        <v>17969</v>
      </c>
      <c r="P80" s="362">
        <f>P79+26</f>
        <v>4786</v>
      </c>
      <c r="Q80" s="362">
        <f>Q79+369+508</f>
        <v>8740</v>
      </c>
      <c r="R80" s="362">
        <f aca="true" t="shared" si="36" ref="R80:V81">R79</f>
        <v>0</v>
      </c>
      <c r="S80" s="362">
        <f t="shared" si="36"/>
        <v>0</v>
      </c>
      <c r="T80" s="362">
        <f t="shared" si="36"/>
        <v>0</v>
      </c>
      <c r="U80" s="362">
        <f t="shared" si="36"/>
        <v>0</v>
      </c>
      <c r="V80" s="362">
        <f t="shared" si="36"/>
        <v>0</v>
      </c>
      <c r="W80" s="362">
        <f t="shared" si="29"/>
        <v>31495</v>
      </c>
      <c r="Y80" s="363"/>
    </row>
    <row r="81" spans="1:25" ht="12.75">
      <c r="A81" s="360"/>
      <c r="B81" s="361" t="s">
        <v>381</v>
      </c>
      <c r="C81" s="362">
        <f t="shared" si="35"/>
        <v>666</v>
      </c>
      <c r="D81" s="362">
        <f t="shared" si="35"/>
        <v>0</v>
      </c>
      <c r="E81" s="362">
        <f t="shared" si="35"/>
        <v>5731</v>
      </c>
      <c r="F81" s="362">
        <f t="shared" si="35"/>
        <v>0</v>
      </c>
      <c r="G81" s="362">
        <f t="shared" si="35"/>
        <v>0</v>
      </c>
      <c r="H81" s="362">
        <f t="shared" si="35"/>
        <v>0</v>
      </c>
      <c r="I81" s="362">
        <f t="shared" si="35"/>
        <v>0</v>
      </c>
      <c r="J81" s="362">
        <f t="shared" si="35"/>
        <v>0</v>
      </c>
      <c r="K81" s="362">
        <f t="shared" si="35"/>
        <v>0</v>
      </c>
      <c r="L81" s="362">
        <f>L80+508</f>
        <v>892</v>
      </c>
      <c r="M81" s="362">
        <f>M80</f>
        <v>0</v>
      </c>
      <c r="N81" s="362">
        <f t="shared" si="27"/>
        <v>7289</v>
      </c>
      <c r="O81" s="362">
        <f>O80+259+54+2</f>
        <v>18284</v>
      </c>
      <c r="P81" s="362">
        <f>P80+72</f>
        <v>4858</v>
      </c>
      <c r="Q81" s="362">
        <f>Q80</f>
        <v>8740</v>
      </c>
      <c r="R81" s="362">
        <f t="shared" si="36"/>
        <v>0</v>
      </c>
      <c r="S81" s="362">
        <f t="shared" si="36"/>
        <v>0</v>
      </c>
      <c r="T81" s="362">
        <f t="shared" si="36"/>
        <v>0</v>
      </c>
      <c r="U81" s="362">
        <f t="shared" si="36"/>
        <v>0</v>
      </c>
      <c r="V81" s="362">
        <f t="shared" si="36"/>
        <v>0</v>
      </c>
      <c r="W81" s="362">
        <f t="shared" si="29"/>
        <v>31882</v>
      </c>
      <c r="Y81" s="363"/>
    </row>
    <row r="82" spans="1:25" s="370" customFormat="1" ht="27" customHeight="1">
      <c r="A82" s="367">
        <f>'[1]Eredeti Ft'!A82</f>
        <v>0</v>
      </c>
      <c r="B82" s="368">
        <f>'[1]Eredeti Ft'!B82</f>
        <v>0</v>
      </c>
      <c r="C82" s="369">
        <f aca="true" t="shared" si="37" ref="C82:M82">C4+C7+C10+C13+C16+C19+C22+C25+C28+C31+C34+C37+C40+C43+C49+C52+C58+C61+C64+C67+C70+C73+C79</f>
        <v>111304</v>
      </c>
      <c r="D82" s="369">
        <f t="shared" si="37"/>
        <v>70835</v>
      </c>
      <c r="E82" s="369">
        <f t="shared" si="37"/>
        <v>28515</v>
      </c>
      <c r="F82" s="369">
        <f t="shared" si="37"/>
        <v>34100</v>
      </c>
      <c r="G82" s="369">
        <f t="shared" si="37"/>
        <v>9055</v>
      </c>
      <c r="H82" s="369">
        <f t="shared" si="37"/>
        <v>0</v>
      </c>
      <c r="I82" s="369">
        <f t="shared" si="37"/>
        <v>36490</v>
      </c>
      <c r="J82" s="369">
        <f t="shared" si="37"/>
        <v>0</v>
      </c>
      <c r="K82" s="369">
        <f t="shared" si="37"/>
        <v>0</v>
      </c>
      <c r="L82" s="369">
        <f t="shared" si="37"/>
        <v>0</v>
      </c>
      <c r="M82" s="369">
        <f t="shared" si="37"/>
        <v>0</v>
      </c>
      <c r="N82" s="362">
        <f t="shared" si="27"/>
        <v>219464</v>
      </c>
      <c r="O82" s="369">
        <f aca="true" t="shared" si="38" ref="O82:W82">O4+O7+O10+O13+O16+O19+O22+O25+O28+O31+O34+O37+O40+O43+O49+O52+O58+O61+O64+O67+O70+O73+O79</f>
        <v>891576</v>
      </c>
      <c r="P82" s="369">
        <f t="shared" si="38"/>
        <v>237043</v>
      </c>
      <c r="Q82" s="369">
        <f t="shared" si="38"/>
        <v>447353</v>
      </c>
      <c r="R82" s="369">
        <f t="shared" si="38"/>
        <v>153423</v>
      </c>
      <c r="S82" s="369">
        <f t="shared" si="38"/>
        <v>10200</v>
      </c>
      <c r="T82" s="369">
        <f t="shared" si="38"/>
        <v>14433</v>
      </c>
      <c r="U82" s="369">
        <f t="shared" si="38"/>
        <v>0</v>
      </c>
      <c r="V82" s="369">
        <f t="shared" si="38"/>
        <v>15800</v>
      </c>
      <c r="W82" s="369">
        <f t="shared" si="38"/>
        <v>1616405</v>
      </c>
      <c r="Y82" s="363">
        <f aca="true" t="shared" si="39" ref="Y82:Y88">SUM(O82:V82)-R82</f>
        <v>1616405</v>
      </c>
    </row>
    <row r="83" spans="1:25" s="373" customFormat="1" ht="12.75">
      <c r="A83" s="367"/>
      <c r="B83" s="361" t="s">
        <v>380</v>
      </c>
      <c r="C83" s="369">
        <f aca="true" t="shared" si="40" ref="C83:L83">C5+C8+C11+C14+C17+C20+C23+C26+C29+C32+C35+C38+C41+C44+C50+C53+C59+C62+C65+C68+C71+C74+C80</f>
        <v>111881</v>
      </c>
      <c r="D83" s="369">
        <f t="shared" si="40"/>
        <v>70835</v>
      </c>
      <c r="E83" s="369">
        <f t="shared" si="40"/>
        <v>28588</v>
      </c>
      <c r="F83" s="369">
        <f t="shared" si="40"/>
        <v>0</v>
      </c>
      <c r="G83" s="369">
        <f t="shared" si="40"/>
        <v>11307</v>
      </c>
      <c r="H83" s="369">
        <f t="shared" si="40"/>
        <v>0</v>
      </c>
      <c r="I83" s="369">
        <f t="shared" si="40"/>
        <v>36879</v>
      </c>
      <c r="J83" s="369">
        <f t="shared" si="40"/>
        <v>0</v>
      </c>
      <c r="K83" s="369">
        <f t="shared" si="40"/>
        <v>0</v>
      </c>
      <c r="L83" s="369">
        <f t="shared" si="40"/>
        <v>35799</v>
      </c>
      <c r="M83" s="369">
        <f>M5+M8+M11+M14+M17+M20+M23+M26+M29+M32+M35+M38+M41+M44+M50+M53+M59+M63+M65+M68+M71+M74+M80</f>
        <v>0</v>
      </c>
      <c r="N83" s="369">
        <f>N5+N8+N11+N14+N17+N20+N23+N26+N29+N32+N35+N38+N41+N44+N50+N53+N59+N62+N65+N68+N71+N74+N80</f>
        <v>224454</v>
      </c>
      <c r="O83" s="369">
        <f aca="true" t="shared" si="41" ref="O83:W83">O5+O8+O11+O14+O17+O20+O23+O26+O29+O32+O35+O38+O41+O44+O50+O53+O59+O62+O65+O68+O71+O74+O80</f>
        <v>905479</v>
      </c>
      <c r="P83" s="369">
        <f t="shared" si="41"/>
        <v>239878</v>
      </c>
      <c r="Q83" s="369">
        <f t="shared" si="41"/>
        <v>480453</v>
      </c>
      <c r="R83" s="369">
        <f t="shared" si="41"/>
        <v>153423</v>
      </c>
      <c r="S83" s="369">
        <f t="shared" si="41"/>
        <v>10200</v>
      </c>
      <c r="T83" s="369">
        <f t="shared" si="41"/>
        <v>4433</v>
      </c>
      <c r="U83" s="369">
        <f t="shared" si="41"/>
        <v>3179</v>
      </c>
      <c r="V83" s="369">
        <f t="shared" si="41"/>
        <v>15800</v>
      </c>
      <c r="W83" s="369">
        <f t="shared" si="41"/>
        <v>1659422</v>
      </c>
      <c r="X83" s="372"/>
      <c r="Y83" s="366">
        <f t="shared" si="39"/>
        <v>1659422</v>
      </c>
    </row>
    <row r="84" spans="1:25" ht="12.75" customHeight="1" hidden="1">
      <c r="A84" s="367"/>
      <c r="B84" s="373"/>
      <c r="C84" s="369">
        <f aca="true" t="shared" si="42" ref="C84:C90">C6+C9+C12+C15+C18+C21+C24+C27+C30+C33+C36+C39+C42+C45+C51+C54+C60+C63+C66+C69+C72+C75+C81</f>
        <v>115140</v>
      </c>
      <c r="D84" s="369">
        <f aca="true" t="shared" si="43" ref="D84:D90">D6+D9+D12+D15+D18+D21+D24+D27+D30+D33+D36+D39+D42+D45+D51+D54+D60+D63+D66+D69+D72+D75+D81</f>
        <v>70835</v>
      </c>
      <c r="E84" s="366">
        <f aca="true" t="shared" si="44" ref="E84:W84">SUM(E4:E79)-E46-E55-E76</f>
        <v>102393</v>
      </c>
      <c r="F84" s="366">
        <f t="shared" si="44"/>
        <v>34100</v>
      </c>
      <c r="G84" s="366">
        <f t="shared" si="44"/>
        <v>39777</v>
      </c>
      <c r="H84" s="366">
        <f t="shared" si="44"/>
        <v>304</v>
      </c>
      <c r="I84" s="366">
        <f t="shared" si="44"/>
        <v>180166</v>
      </c>
      <c r="J84" s="366">
        <f t="shared" si="44"/>
        <v>0</v>
      </c>
      <c r="K84" s="366">
        <f t="shared" si="44"/>
        <v>0</v>
      </c>
      <c r="L84" s="369">
        <f aca="true" t="shared" si="45" ref="L84:L90">L6+L9+L12+L15+L18+L21+L24+L27+L30+L33+L36+L39+L42+L45+L51+L54+L60+L63+L66+L69+L72+L75+L81</f>
        <v>35799</v>
      </c>
      <c r="M84" s="366">
        <f t="shared" si="44"/>
        <v>0</v>
      </c>
      <c r="N84" s="366">
        <f t="shared" si="44"/>
        <v>930639</v>
      </c>
      <c r="O84" s="366">
        <f t="shared" si="44"/>
        <v>3793078</v>
      </c>
      <c r="P84" s="366">
        <f t="shared" si="44"/>
        <v>1006029</v>
      </c>
      <c r="Q84" s="366">
        <f t="shared" si="44"/>
        <v>2010963</v>
      </c>
      <c r="R84" s="374">
        <f t="shared" si="44"/>
        <v>694449</v>
      </c>
      <c r="S84" s="366">
        <f t="shared" si="44"/>
        <v>51000</v>
      </c>
      <c r="T84" s="366">
        <f t="shared" si="44"/>
        <v>27539</v>
      </c>
      <c r="U84" s="366">
        <f t="shared" si="44"/>
        <v>15370</v>
      </c>
      <c r="V84" s="366">
        <f t="shared" si="44"/>
        <v>51890</v>
      </c>
      <c r="W84" s="366">
        <f t="shared" si="44"/>
        <v>6955869</v>
      </c>
      <c r="Y84" s="363">
        <f t="shared" si="39"/>
        <v>6955869</v>
      </c>
    </row>
    <row r="85" spans="1:25" ht="12.75" customHeight="1" hidden="1">
      <c r="A85" s="367"/>
      <c r="B85" s="373"/>
      <c r="C85" s="369">
        <f t="shared" si="42"/>
        <v>254375</v>
      </c>
      <c r="D85" s="369">
        <f t="shared" si="43"/>
        <v>163352</v>
      </c>
      <c r="E85" s="373"/>
      <c r="F85" s="373"/>
      <c r="G85" s="373"/>
      <c r="H85" s="373"/>
      <c r="I85" s="373"/>
      <c r="J85" s="373"/>
      <c r="K85" s="373"/>
      <c r="L85" s="369">
        <f t="shared" si="45"/>
        <v>0</v>
      </c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Y85" s="363">
        <f t="shared" si="39"/>
        <v>0</v>
      </c>
    </row>
    <row r="86" spans="1:25" ht="12.75" customHeight="1" hidden="1">
      <c r="A86" s="367"/>
      <c r="B86" s="373"/>
      <c r="C86" s="369">
        <f t="shared" si="42"/>
        <v>255823</v>
      </c>
      <c r="D86" s="369">
        <f t="shared" si="43"/>
        <v>163352</v>
      </c>
      <c r="E86" s="373"/>
      <c r="F86" s="373"/>
      <c r="G86" s="373"/>
      <c r="H86" s="373"/>
      <c r="I86" s="373"/>
      <c r="J86" s="373"/>
      <c r="K86" s="373"/>
      <c r="L86" s="369">
        <f t="shared" si="45"/>
        <v>76972</v>
      </c>
      <c r="M86" s="373"/>
      <c r="N86" s="373"/>
      <c r="O86" s="373">
        <v>0</v>
      </c>
      <c r="P86" s="373">
        <v>0</v>
      </c>
      <c r="Q86" s="373">
        <v>460341</v>
      </c>
      <c r="R86" s="373"/>
      <c r="S86" s="373"/>
      <c r="T86" s="373"/>
      <c r="U86" s="373"/>
      <c r="V86" s="373"/>
      <c r="W86" s="373">
        <v>0</v>
      </c>
      <c r="Y86" s="363">
        <f t="shared" si="39"/>
        <v>460341</v>
      </c>
    </row>
    <row r="87" spans="1:25" ht="12.75" customHeight="1" hidden="1">
      <c r="A87" s="367"/>
      <c r="B87" s="373"/>
      <c r="C87" s="369">
        <f t="shared" si="42"/>
        <v>264007</v>
      </c>
      <c r="D87" s="369">
        <f t="shared" si="43"/>
        <v>163352</v>
      </c>
      <c r="E87" s="373"/>
      <c r="F87" s="373"/>
      <c r="G87" s="373"/>
      <c r="H87" s="373"/>
      <c r="I87" s="373"/>
      <c r="J87" s="373"/>
      <c r="K87" s="373"/>
      <c r="L87" s="369">
        <f t="shared" si="45"/>
        <v>78269</v>
      </c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Y87" s="363">
        <f t="shared" si="39"/>
        <v>0</v>
      </c>
    </row>
    <row r="88" spans="1:25" ht="12.75" customHeight="1" hidden="1">
      <c r="A88" s="367"/>
      <c r="B88" s="373"/>
      <c r="C88" s="369">
        <f t="shared" si="42"/>
        <v>418326</v>
      </c>
      <c r="D88" s="369">
        <f t="shared" si="43"/>
        <v>266804</v>
      </c>
      <c r="E88" s="373">
        <v>28349</v>
      </c>
      <c r="F88" s="373"/>
      <c r="G88" s="373">
        <v>53839</v>
      </c>
      <c r="H88" s="373"/>
      <c r="I88" s="373"/>
      <c r="J88" s="373"/>
      <c r="K88" s="373"/>
      <c r="L88" s="369">
        <f t="shared" si="45"/>
        <v>0</v>
      </c>
      <c r="M88" s="373"/>
      <c r="N88" s="373">
        <v>194928</v>
      </c>
      <c r="O88" s="373">
        <v>913969</v>
      </c>
      <c r="P88" s="373">
        <v>237285</v>
      </c>
      <c r="Q88" s="373">
        <v>482813</v>
      </c>
      <c r="R88" s="373"/>
      <c r="S88" s="373">
        <v>10200</v>
      </c>
      <c r="T88" s="373">
        <v>4433</v>
      </c>
      <c r="U88" s="373">
        <v>1300</v>
      </c>
      <c r="V88" s="373">
        <v>46500</v>
      </c>
      <c r="W88" s="373">
        <v>1696500</v>
      </c>
      <c r="Y88" s="363">
        <f t="shared" si="39"/>
        <v>1696500</v>
      </c>
    </row>
    <row r="89" spans="1:23" ht="12.75" customHeight="1" hidden="1">
      <c r="A89" s="367"/>
      <c r="B89" s="373"/>
      <c r="C89" s="369">
        <f t="shared" si="42"/>
        <v>420928</v>
      </c>
      <c r="D89" s="369">
        <f t="shared" si="43"/>
        <v>266804</v>
      </c>
      <c r="E89" s="373"/>
      <c r="F89" s="373"/>
      <c r="G89" s="373"/>
      <c r="H89" s="373"/>
      <c r="I89" s="373"/>
      <c r="J89" s="373"/>
      <c r="K89" s="373"/>
      <c r="L89" s="369">
        <f t="shared" si="45"/>
        <v>104455</v>
      </c>
      <c r="M89" s="373"/>
      <c r="N89" s="373"/>
      <c r="O89" s="366">
        <f>O88-O82</f>
        <v>22393</v>
      </c>
      <c r="P89" s="366">
        <f aca="true" t="shared" si="46" ref="P89:W89">P88-P82</f>
        <v>242</v>
      </c>
      <c r="Q89" s="366">
        <f t="shared" si="46"/>
        <v>35460</v>
      </c>
      <c r="R89" s="366"/>
      <c r="S89" s="366">
        <f t="shared" si="46"/>
        <v>0</v>
      </c>
      <c r="T89" s="366">
        <f t="shared" si="46"/>
        <v>-10000</v>
      </c>
      <c r="U89" s="366">
        <f t="shared" si="46"/>
        <v>1300</v>
      </c>
      <c r="V89" s="366">
        <f t="shared" si="46"/>
        <v>30700</v>
      </c>
      <c r="W89" s="366">
        <f t="shared" si="46"/>
        <v>80095</v>
      </c>
    </row>
    <row r="90" spans="1:23" ht="12.75" customHeight="1" hidden="1">
      <c r="A90" s="367"/>
      <c r="B90" s="373"/>
      <c r="C90" s="369">
        <f t="shared" si="42"/>
        <v>434918</v>
      </c>
      <c r="D90" s="369">
        <f t="shared" si="43"/>
        <v>266804</v>
      </c>
      <c r="E90" s="373"/>
      <c r="F90" s="373"/>
      <c r="G90" s="373"/>
      <c r="H90" s="373"/>
      <c r="I90" s="373"/>
      <c r="J90" s="373"/>
      <c r="K90" s="373"/>
      <c r="L90" s="369">
        <f t="shared" si="45"/>
        <v>109870</v>
      </c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</row>
    <row r="91" spans="1:25" s="373" customFormat="1" ht="12.75">
      <c r="A91" s="367"/>
      <c r="B91" s="361" t="s">
        <v>381</v>
      </c>
      <c r="C91" s="369">
        <f>C6+C9+C12+C18+C21+C24+C27+C30+C33+C36+C39+C42+C45+C51+C54+C60+C63+C66+C69+C72+C75+C81</f>
        <v>115140</v>
      </c>
      <c r="D91" s="369">
        <f aca="true" t="shared" si="47" ref="D91:M91">D6+D9+D12+D18+D21+D24+D27+D30+D33+D36+D39+D42+D45+D51+D54+D60+D63+D66+D69+D72+D75+D81</f>
        <v>70835</v>
      </c>
      <c r="E91" s="369">
        <f t="shared" si="47"/>
        <v>29357</v>
      </c>
      <c r="F91" s="369">
        <f t="shared" si="47"/>
        <v>0</v>
      </c>
      <c r="G91" s="369">
        <f t="shared" si="47"/>
        <v>7476</v>
      </c>
      <c r="H91" s="369">
        <f t="shared" si="47"/>
        <v>304</v>
      </c>
      <c r="I91" s="369">
        <f t="shared" si="47"/>
        <v>46897</v>
      </c>
      <c r="J91" s="369">
        <f t="shared" si="47"/>
        <v>0</v>
      </c>
      <c r="K91" s="369">
        <f t="shared" si="47"/>
        <v>0</v>
      </c>
      <c r="L91" s="369">
        <f t="shared" si="47"/>
        <v>35799</v>
      </c>
      <c r="M91" s="369">
        <f t="shared" si="47"/>
        <v>0</v>
      </c>
      <c r="N91" s="369">
        <f>N6+N9+N12+N18+N21+N24+N27+N30+N33+N36+N39+N42+N45+N51+N54+N60+N63+N66+N69+N72+N75+N81</f>
        <v>234973</v>
      </c>
      <c r="O91" s="369">
        <f aca="true" t="shared" si="48" ref="O91:W91">O6+O9+O12+O18+O21+O24+O27+O30+O33+O36+O39+O42+O45+O51+O54+O60+O63+O66+O69+O72+O75+O81</f>
        <v>904382</v>
      </c>
      <c r="P91" s="369">
        <f t="shared" si="48"/>
        <v>240267</v>
      </c>
      <c r="Q91" s="369">
        <f t="shared" si="48"/>
        <v>487334</v>
      </c>
      <c r="R91" s="369">
        <f t="shared" si="48"/>
        <v>153423</v>
      </c>
      <c r="S91" s="369">
        <f t="shared" si="48"/>
        <v>10200</v>
      </c>
      <c r="T91" s="369">
        <f t="shared" si="48"/>
        <v>4433</v>
      </c>
      <c r="U91" s="369">
        <f t="shared" si="48"/>
        <v>8087</v>
      </c>
      <c r="V91" s="369">
        <f t="shared" si="48"/>
        <v>7590</v>
      </c>
      <c r="W91" s="369">
        <f t="shared" si="48"/>
        <v>1662293</v>
      </c>
      <c r="X91" s="372"/>
      <c r="Y91" s="366"/>
    </row>
    <row r="93" spans="14:23" ht="12.75" hidden="1">
      <c r="N93" s="363">
        <f>N83-N82</f>
        <v>4990</v>
      </c>
      <c r="O93" s="363">
        <f>O83-O82</f>
        <v>13903</v>
      </c>
      <c r="P93" s="363">
        <f aca="true" t="shared" si="49" ref="P93:W93">P83-P82</f>
        <v>2835</v>
      </c>
      <c r="Q93" s="363">
        <f t="shared" si="49"/>
        <v>33100</v>
      </c>
      <c r="R93" s="363">
        <f t="shared" si="49"/>
        <v>0</v>
      </c>
      <c r="S93" s="363">
        <f t="shared" si="49"/>
        <v>0</v>
      </c>
      <c r="T93" s="363">
        <v>0</v>
      </c>
      <c r="U93" s="363">
        <f t="shared" si="49"/>
        <v>3179</v>
      </c>
      <c r="V93" s="363">
        <f t="shared" si="49"/>
        <v>0</v>
      </c>
      <c r="W93" s="363">
        <f t="shared" si="49"/>
        <v>43017</v>
      </c>
    </row>
    <row r="95" spans="3:23" ht="12.75" hidden="1">
      <c r="C95" s="363">
        <f>C91-C83</f>
        <v>3259</v>
      </c>
      <c r="D95" s="363">
        <f aca="true" t="shared" si="50" ref="D95:W95">D91-D83</f>
        <v>0</v>
      </c>
      <c r="E95" s="363">
        <f t="shared" si="50"/>
        <v>769</v>
      </c>
      <c r="F95" s="363">
        <f t="shared" si="50"/>
        <v>0</v>
      </c>
      <c r="G95" s="363">
        <f t="shared" si="50"/>
        <v>-3831</v>
      </c>
      <c r="H95" s="363">
        <f t="shared" si="50"/>
        <v>304</v>
      </c>
      <c r="I95" s="363">
        <f t="shared" si="50"/>
        <v>10018</v>
      </c>
      <c r="J95" s="363">
        <f t="shared" si="50"/>
        <v>0</v>
      </c>
      <c r="K95" s="363">
        <f t="shared" si="50"/>
        <v>0</v>
      </c>
      <c r="L95" s="363">
        <f t="shared" si="50"/>
        <v>0</v>
      </c>
      <c r="M95" s="363">
        <f t="shared" si="50"/>
        <v>0</v>
      </c>
      <c r="N95" s="363">
        <f t="shared" si="50"/>
        <v>10519</v>
      </c>
      <c r="O95" s="375">
        <f t="shared" si="50"/>
        <v>-1097</v>
      </c>
      <c r="P95" s="375">
        <f t="shared" si="50"/>
        <v>389</v>
      </c>
      <c r="Q95" s="375">
        <f t="shared" si="50"/>
        <v>6881</v>
      </c>
      <c r="R95" s="363">
        <f t="shared" si="50"/>
        <v>0</v>
      </c>
      <c r="S95" s="363">
        <f t="shared" si="50"/>
        <v>0</v>
      </c>
      <c r="T95" s="363">
        <f t="shared" si="50"/>
        <v>0</v>
      </c>
      <c r="U95" s="363">
        <f t="shared" si="50"/>
        <v>4908</v>
      </c>
      <c r="V95" s="375">
        <f t="shared" si="50"/>
        <v>-8210</v>
      </c>
      <c r="W95" s="363">
        <f t="shared" si="50"/>
        <v>2871</v>
      </c>
    </row>
    <row r="97" spans="3:23" ht="12.75" hidden="1">
      <c r="C97">
        <v>3259</v>
      </c>
      <c r="E97">
        <v>769</v>
      </c>
      <c r="G97">
        <v>-3831</v>
      </c>
      <c r="H97">
        <v>304</v>
      </c>
      <c r="I97">
        <v>10018</v>
      </c>
      <c r="N97">
        <v>10519</v>
      </c>
      <c r="O97" s="363">
        <v>5797</v>
      </c>
      <c r="P97" s="363">
        <v>1991</v>
      </c>
      <c r="Q97" s="363">
        <v>16486</v>
      </c>
      <c r="U97">
        <v>4908</v>
      </c>
      <c r="V97">
        <v>7590</v>
      </c>
      <c r="W97">
        <v>36772</v>
      </c>
    </row>
  </sheetData>
  <sheetProtection selectLockedCells="1" selectUnlockedCells="1"/>
  <mergeCells count="42">
    <mergeCell ref="A1:N1"/>
    <mergeCell ref="O1:W1"/>
    <mergeCell ref="A2:B3"/>
    <mergeCell ref="C2:C3"/>
    <mergeCell ref="D2:D3"/>
    <mergeCell ref="E2:E3"/>
    <mergeCell ref="F2:F3"/>
    <mergeCell ref="G2:H2"/>
    <mergeCell ref="I2:J2"/>
    <mergeCell ref="K2:K3"/>
    <mergeCell ref="L2:M2"/>
    <mergeCell ref="N2:N3"/>
    <mergeCell ref="O2:S2"/>
    <mergeCell ref="U2:V2"/>
    <mergeCell ref="W2:W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91"/>
  </mergeCells>
  <printOptions horizontalCentered="1"/>
  <pageMargins left="0.2" right="0.2" top="0.5395833333333333" bottom="0.39375" header="0.42986111111111114" footer="0.5118055555555555"/>
  <pageSetup horizontalDpi="300" verticalDpi="300" orientation="landscape" paperSize="9" scale="61"/>
  <headerFooter alignWithMargins="0">
    <oddHeader>&amp;L&amp;8 5. melléklet a 30/2011.(X.28.) önkormányzati rendelethez</oddHeader>
  </headerFooter>
  <rowBreaks count="1" manualBreakCount="1">
    <brk id="63" max="255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85.00390625" style="376" customWidth="1"/>
    <col min="2" max="2" width="13.75390625" style="377" customWidth="1"/>
    <col min="3" max="4" width="13.75390625" style="376" customWidth="1"/>
    <col min="5" max="5" width="13.75390625" style="378" customWidth="1"/>
    <col min="6" max="7" width="13.75390625" style="379" customWidth="1"/>
    <col min="8" max="16384" width="9.125" style="376" customWidth="1"/>
  </cols>
  <sheetData>
    <row r="1" spans="1:2" ht="12.75">
      <c r="A1" s="380"/>
      <c r="B1" s="379"/>
    </row>
    <row r="2" spans="1:2" ht="12.75">
      <c r="A2" s="380"/>
      <c r="B2" s="379"/>
    </row>
    <row r="3" spans="1:7" ht="15.75">
      <c r="A3" s="381" t="s">
        <v>382</v>
      </c>
      <c r="B3" s="381"/>
      <c r="C3" s="381"/>
      <c r="D3" s="381"/>
      <c r="E3" s="381"/>
      <c r="F3" s="381"/>
      <c r="G3" s="381"/>
    </row>
    <row r="4" spans="1:7" ht="15.75" customHeight="1">
      <c r="A4" s="382" t="s">
        <v>383</v>
      </c>
      <c r="B4" s="382"/>
      <c r="C4" s="382"/>
      <c r="D4" s="382"/>
      <c r="E4" s="382"/>
      <c r="F4" s="382"/>
      <c r="G4" s="382"/>
    </row>
    <row r="6" spans="1:7" ht="13.5">
      <c r="A6" s="383" t="s">
        <v>242</v>
      </c>
      <c r="B6" s="384" t="s">
        <v>3</v>
      </c>
      <c r="C6" s="385" t="s">
        <v>384</v>
      </c>
      <c r="D6" s="385" t="s">
        <v>102</v>
      </c>
      <c r="E6" s="384" t="s">
        <v>385</v>
      </c>
      <c r="F6" s="385" t="s">
        <v>386</v>
      </c>
      <c r="G6" s="386" t="s">
        <v>385</v>
      </c>
    </row>
    <row r="7" spans="1:7" ht="12.75">
      <c r="A7" s="387"/>
      <c r="B7" s="388"/>
      <c r="C7" s="388"/>
      <c r="D7" s="388"/>
      <c r="E7" s="388"/>
      <c r="F7" s="389"/>
      <c r="G7" s="390"/>
    </row>
    <row r="8" spans="1:7" ht="12.75">
      <c r="A8" s="391" t="s">
        <v>9</v>
      </c>
      <c r="B8" s="392">
        <f aca="true" t="shared" si="0" ref="B8:G8">SUM(B31,B10,B14,B21)</f>
        <v>99646</v>
      </c>
      <c r="C8" s="392">
        <f t="shared" si="0"/>
        <v>66331</v>
      </c>
      <c r="D8" s="392">
        <f t="shared" si="0"/>
        <v>99646</v>
      </c>
      <c r="E8" s="392">
        <f t="shared" si="0"/>
        <v>66331</v>
      </c>
      <c r="F8" s="392">
        <f t="shared" si="0"/>
        <v>81396</v>
      </c>
      <c r="G8" s="393">
        <f t="shared" si="0"/>
        <v>0</v>
      </c>
    </row>
    <row r="9" spans="1:7" ht="12.75">
      <c r="A9" s="387"/>
      <c r="B9" s="388"/>
      <c r="C9" s="388"/>
      <c r="D9" s="388"/>
      <c r="E9" s="388"/>
      <c r="F9" s="389"/>
      <c r="G9" s="390"/>
    </row>
    <row r="10" spans="1:7" ht="13.5">
      <c r="A10" s="394" t="s">
        <v>387</v>
      </c>
      <c r="B10" s="395">
        <f aca="true" t="shared" si="1" ref="B10:G10">SUM(B11:B12)</f>
        <v>14055</v>
      </c>
      <c r="C10" s="395">
        <f t="shared" si="1"/>
        <v>0</v>
      </c>
      <c r="D10" s="395">
        <f t="shared" si="1"/>
        <v>14055</v>
      </c>
      <c r="E10" s="395">
        <f t="shared" si="1"/>
        <v>0</v>
      </c>
      <c r="F10" s="395">
        <f>SUM(F11:F12)</f>
        <v>14055</v>
      </c>
      <c r="G10" s="396">
        <f t="shared" si="1"/>
        <v>0</v>
      </c>
    </row>
    <row r="11" spans="1:7" ht="12.75">
      <c r="A11" s="397" t="s">
        <v>388</v>
      </c>
      <c r="B11" s="388">
        <v>11855</v>
      </c>
      <c r="C11" s="388"/>
      <c r="D11" s="388">
        <v>11855</v>
      </c>
      <c r="E11" s="388"/>
      <c r="F11" s="389">
        <v>11855</v>
      </c>
      <c r="G11" s="390"/>
    </row>
    <row r="12" spans="1:7" ht="12.75">
      <c r="A12" s="387" t="s">
        <v>389</v>
      </c>
      <c r="B12" s="388">
        <v>2200</v>
      </c>
      <c r="C12" s="388"/>
      <c r="D12" s="388">
        <v>2200</v>
      </c>
      <c r="E12" s="388"/>
      <c r="F12" s="389">
        <v>2200</v>
      </c>
      <c r="G12" s="390"/>
    </row>
    <row r="13" spans="1:7" ht="12.75">
      <c r="A13" s="387"/>
      <c r="B13" s="388"/>
      <c r="C13" s="388"/>
      <c r="D13" s="388"/>
      <c r="E13" s="388"/>
      <c r="F13" s="389"/>
      <c r="G13" s="390"/>
    </row>
    <row r="14" spans="1:7" ht="13.5">
      <c r="A14" s="394" t="s">
        <v>390</v>
      </c>
      <c r="B14" s="395">
        <f aca="true" t="shared" si="2" ref="B14:G14">SUM(B15:B19)</f>
        <v>37841</v>
      </c>
      <c r="C14" s="395">
        <f t="shared" si="2"/>
        <v>20581</v>
      </c>
      <c r="D14" s="395">
        <f t="shared" si="2"/>
        <v>37841</v>
      </c>
      <c r="E14" s="395">
        <f t="shared" si="2"/>
        <v>20581</v>
      </c>
      <c r="F14" s="395">
        <f t="shared" si="2"/>
        <v>37841</v>
      </c>
      <c r="G14" s="396">
        <f t="shared" si="2"/>
        <v>0</v>
      </c>
    </row>
    <row r="15" spans="1:7" ht="12.75">
      <c r="A15" s="387" t="s">
        <v>391</v>
      </c>
      <c r="B15" s="388">
        <v>3500</v>
      </c>
      <c r="C15" s="388"/>
      <c r="D15" s="388">
        <v>3500</v>
      </c>
      <c r="E15" s="388"/>
      <c r="F15" s="389">
        <v>3500</v>
      </c>
      <c r="G15" s="390"/>
    </row>
    <row r="16" spans="1:7" ht="12.75">
      <c r="A16" s="387" t="s">
        <v>392</v>
      </c>
      <c r="B16" s="388">
        <v>7000</v>
      </c>
      <c r="C16" s="388">
        <v>7000</v>
      </c>
      <c r="D16" s="388">
        <v>7000</v>
      </c>
      <c r="E16" s="388">
        <v>7000</v>
      </c>
      <c r="F16" s="389">
        <v>7000</v>
      </c>
      <c r="G16" s="390">
        <v>0</v>
      </c>
    </row>
    <row r="17" spans="1:7" ht="12.75">
      <c r="A17" s="387" t="s">
        <v>393</v>
      </c>
      <c r="B17" s="388">
        <v>3581</v>
      </c>
      <c r="C17" s="388">
        <v>3581</v>
      </c>
      <c r="D17" s="388">
        <v>3581</v>
      </c>
      <c r="E17" s="388">
        <v>3581</v>
      </c>
      <c r="F17" s="389">
        <v>3581</v>
      </c>
      <c r="G17" s="390">
        <v>0</v>
      </c>
    </row>
    <row r="18" spans="1:7" ht="12.75">
      <c r="A18" s="387" t="s">
        <v>394</v>
      </c>
      <c r="B18" s="388">
        <v>13760</v>
      </c>
      <c r="C18" s="388"/>
      <c r="D18" s="388">
        <v>13760</v>
      </c>
      <c r="E18" s="388"/>
      <c r="F18" s="389">
        <v>13760</v>
      </c>
      <c r="G18" s="390">
        <v>0</v>
      </c>
    </row>
    <row r="19" spans="1:7" ht="12.75">
      <c r="A19" s="387" t="s">
        <v>395</v>
      </c>
      <c r="B19" s="388">
        <v>10000</v>
      </c>
      <c r="C19" s="388">
        <v>10000</v>
      </c>
      <c r="D19" s="388">
        <v>10000</v>
      </c>
      <c r="E19" s="388">
        <v>10000</v>
      </c>
      <c r="F19" s="389">
        <v>10000</v>
      </c>
      <c r="G19" s="390">
        <v>0</v>
      </c>
    </row>
    <row r="20" spans="1:7" ht="12.75">
      <c r="A20" s="397"/>
      <c r="B20" s="388"/>
      <c r="C20" s="388"/>
      <c r="D20" s="388"/>
      <c r="E20" s="388"/>
      <c r="F20" s="389"/>
      <c r="G20" s="390"/>
    </row>
    <row r="21" spans="1:7" ht="13.5">
      <c r="A21" s="394" t="s">
        <v>396</v>
      </c>
      <c r="B21" s="395">
        <f>SUM(B22:B23)</f>
        <v>14500</v>
      </c>
      <c r="C21" s="395">
        <f>SUM(C22:C23)</f>
        <v>12500</v>
      </c>
      <c r="D21" s="395">
        <f>SUM(D22:D23)</f>
        <v>14500</v>
      </c>
      <c r="E21" s="395">
        <f>SUM(E22:E23)</f>
        <v>12500</v>
      </c>
      <c r="F21" s="395">
        <f>SUM(F22:F29)</f>
        <v>27500</v>
      </c>
      <c r="G21" s="396">
        <f>SUM(G22:G29)</f>
        <v>0</v>
      </c>
    </row>
    <row r="22" spans="1:7" ht="12.75">
      <c r="A22" s="387" t="s">
        <v>397</v>
      </c>
      <c r="B22" s="388">
        <v>12000</v>
      </c>
      <c r="C22" s="388">
        <v>10000</v>
      </c>
      <c r="D22" s="388">
        <v>12000</v>
      </c>
      <c r="E22" s="388">
        <v>10000</v>
      </c>
      <c r="F22" s="389">
        <v>2000</v>
      </c>
      <c r="G22" s="390">
        <v>0</v>
      </c>
    </row>
    <row r="23" spans="1:7" ht="12.75">
      <c r="A23" s="387" t="s">
        <v>398</v>
      </c>
      <c r="B23" s="388">
        <v>2500</v>
      </c>
      <c r="C23" s="388">
        <v>2500</v>
      </c>
      <c r="D23" s="388">
        <v>2500</v>
      </c>
      <c r="E23" s="388">
        <v>2500</v>
      </c>
      <c r="F23" s="389">
        <v>0</v>
      </c>
      <c r="G23" s="390">
        <v>0</v>
      </c>
    </row>
    <row r="24" spans="1:7" ht="25.5">
      <c r="A24" s="398" t="s">
        <v>399</v>
      </c>
      <c r="B24" s="388"/>
      <c r="C24" s="388"/>
      <c r="D24" s="388"/>
      <c r="E24" s="388"/>
      <c r="F24" s="389">
        <v>10000</v>
      </c>
      <c r="G24" s="390">
        <v>0</v>
      </c>
    </row>
    <row r="25" spans="1:7" ht="12.75">
      <c r="A25" s="398" t="s">
        <v>400</v>
      </c>
      <c r="B25" s="388"/>
      <c r="C25" s="388"/>
      <c r="D25" s="388"/>
      <c r="E25" s="388"/>
      <c r="F25" s="389">
        <v>8000</v>
      </c>
      <c r="G25" s="390">
        <v>0</v>
      </c>
    </row>
    <row r="26" spans="1:7" ht="12.75">
      <c r="A26" s="398" t="s">
        <v>401</v>
      </c>
      <c r="B26" s="388"/>
      <c r="C26" s="388"/>
      <c r="D26" s="388"/>
      <c r="E26" s="388"/>
      <c r="F26" s="389">
        <v>2975</v>
      </c>
      <c r="G26" s="390">
        <v>0</v>
      </c>
    </row>
    <row r="27" spans="1:7" ht="12.75">
      <c r="A27" s="398" t="s">
        <v>402</v>
      </c>
      <c r="B27" s="388"/>
      <c r="C27" s="388"/>
      <c r="D27" s="388"/>
      <c r="E27" s="388"/>
      <c r="F27" s="389">
        <v>3275</v>
      </c>
      <c r="G27" s="390">
        <v>0</v>
      </c>
    </row>
    <row r="28" spans="1:7" ht="12.75">
      <c r="A28" s="398" t="s">
        <v>403</v>
      </c>
      <c r="B28" s="388"/>
      <c r="C28" s="388"/>
      <c r="D28" s="388"/>
      <c r="E28" s="388"/>
      <c r="F28" s="389">
        <v>250</v>
      </c>
      <c r="G28" s="390">
        <v>0</v>
      </c>
    </row>
    <row r="29" spans="1:7" ht="12.75">
      <c r="A29" s="399" t="s">
        <v>404</v>
      </c>
      <c r="B29" s="388"/>
      <c r="C29" s="388"/>
      <c r="D29" s="388"/>
      <c r="E29" s="388"/>
      <c r="F29" s="388">
        <v>1000</v>
      </c>
      <c r="G29" s="400">
        <v>0</v>
      </c>
    </row>
    <row r="30" spans="1:7" ht="12.75">
      <c r="A30" s="387"/>
      <c r="B30" s="388"/>
      <c r="C30" s="388"/>
      <c r="D30" s="388"/>
      <c r="E30" s="388"/>
      <c r="F30" s="389"/>
      <c r="G30" s="390"/>
    </row>
    <row r="31" spans="1:7" ht="13.5">
      <c r="A31" s="394" t="s">
        <v>405</v>
      </c>
      <c r="B31" s="395">
        <f aca="true" t="shared" si="3" ref="B31:G31">SUM(B32:B36)</f>
        <v>33250</v>
      </c>
      <c r="C31" s="395">
        <f t="shared" si="3"/>
        <v>33250</v>
      </c>
      <c r="D31" s="395">
        <f t="shared" si="3"/>
        <v>33250</v>
      </c>
      <c r="E31" s="395">
        <f t="shared" si="3"/>
        <v>33250</v>
      </c>
      <c r="F31" s="395">
        <f t="shared" si="3"/>
        <v>2000</v>
      </c>
      <c r="G31" s="396">
        <f t="shared" si="3"/>
        <v>0</v>
      </c>
    </row>
    <row r="32" spans="1:7" ht="12.75">
      <c r="A32" s="387" t="s">
        <v>406</v>
      </c>
      <c r="B32" s="388">
        <v>1000</v>
      </c>
      <c r="C32" s="388">
        <v>1000</v>
      </c>
      <c r="D32" s="388">
        <v>1000</v>
      </c>
      <c r="E32" s="388">
        <v>1000</v>
      </c>
      <c r="F32" s="389">
        <v>1000</v>
      </c>
      <c r="G32" s="390">
        <v>0</v>
      </c>
    </row>
    <row r="33" spans="1:7" ht="12.75">
      <c r="A33" s="387" t="s">
        <v>407</v>
      </c>
      <c r="B33" s="388">
        <v>1000</v>
      </c>
      <c r="C33" s="388">
        <v>1000</v>
      </c>
      <c r="D33" s="388">
        <v>1000</v>
      </c>
      <c r="E33" s="388">
        <v>1000</v>
      </c>
      <c r="F33" s="389">
        <v>1000</v>
      </c>
      <c r="G33" s="390">
        <v>0</v>
      </c>
    </row>
    <row r="34" spans="1:7" ht="12.75">
      <c r="A34" s="387" t="s">
        <v>408</v>
      </c>
      <c r="B34" s="388">
        <v>5000</v>
      </c>
      <c r="C34" s="388">
        <v>5000</v>
      </c>
      <c r="D34" s="388">
        <v>5000</v>
      </c>
      <c r="E34" s="388">
        <v>5000</v>
      </c>
      <c r="F34" s="389">
        <v>0</v>
      </c>
      <c r="G34" s="390">
        <v>0</v>
      </c>
    </row>
    <row r="35" spans="1:7" ht="12.75">
      <c r="A35" s="387" t="s">
        <v>409</v>
      </c>
      <c r="B35" s="388">
        <v>20000</v>
      </c>
      <c r="C35" s="388">
        <v>20000</v>
      </c>
      <c r="D35" s="388">
        <v>20000</v>
      </c>
      <c r="E35" s="388">
        <v>20000</v>
      </c>
      <c r="F35" s="389">
        <v>0</v>
      </c>
      <c r="G35" s="390">
        <v>0</v>
      </c>
    </row>
    <row r="36" spans="1:7" ht="12.75">
      <c r="A36" s="387" t="s">
        <v>410</v>
      </c>
      <c r="B36" s="388">
        <v>6250</v>
      </c>
      <c r="C36" s="388">
        <v>6250</v>
      </c>
      <c r="D36" s="388">
        <v>6250</v>
      </c>
      <c r="E36" s="388">
        <v>6250</v>
      </c>
      <c r="F36" s="389">
        <v>0</v>
      </c>
      <c r="G36" s="390">
        <v>0</v>
      </c>
    </row>
    <row r="37" spans="1:7" ht="12.75">
      <c r="A37" s="387"/>
      <c r="B37" s="388"/>
      <c r="C37" s="388"/>
      <c r="D37" s="388"/>
      <c r="E37" s="388"/>
      <c r="F37" s="389"/>
      <c r="G37" s="390"/>
    </row>
    <row r="38" spans="1:7" ht="12.75">
      <c r="A38" s="391" t="s">
        <v>12</v>
      </c>
      <c r="B38" s="392">
        <f aca="true" t="shared" si="4" ref="B38:G38">SUM(B39)</f>
        <v>2350</v>
      </c>
      <c r="C38" s="392">
        <f t="shared" si="4"/>
        <v>0</v>
      </c>
      <c r="D38" s="392">
        <f t="shared" si="4"/>
        <v>2350</v>
      </c>
      <c r="E38" s="392">
        <f t="shared" si="4"/>
        <v>0</v>
      </c>
      <c r="F38" s="392">
        <f t="shared" si="4"/>
        <v>3750</v>
      </c>
      <c r="G38" s="393">
        <f t="shared" si="4"/>
        <v>0</v>
      </c>
    </row>
    <row r="39" spans="1:7" ht="12.75">
      <c r="A39" s="387" t="s">
        <v>411</v>
      </c>
      <c r="B39" s="388">
        <v>2350</v>
      </c>
      <c r="C39" s="388"/>
      <c r="D39" s="388">
        <v>2350</v>
      </c>
      <c r="E39" s="388"/>
      <c r="F39" s="389">
        <v>3750</v>
      </c>
      <c r="G39" s="390">
        <v>0</v>
      </c>
    </row>
    <row r="40" spans="1:7" ht="12.75">
      <c r="A40" s="387"/>
      <c r="B40" s="388"/>
      <c r="C40" s="388"/>
      <c r="D40" s="388"/>
      <c r="E40" s="388"/>
      <c r="F40" s="389"/>
      <c r="G40" s="390"/>
    </row>
    <row r="41" spans="1:7" s="401" customFormat="1" ht="12.75">
      <c r="A41" s="391" t="s">
        <v>10</v>
      </c>
      <c r="B41" s="392">
        <f>SUM(B42:B45)</f>
        <v>15800</v>
      </c>
      <c r="C41" s="392">
        <f>SUM(C42:C45)</f>
        <v>15800</v>
      </c>
      <c r="D41" s="392">
        <f>SUM(D42:D45)</f>
        <v>15800</v>
      </c>
      <c r="E41" s="392">
        <f>SUM(E42:E45)</f>
        <v>15800</v>
      </c>
      <c r="F41" s="392">
        <f>SUM(F42:F47)</f>
        <v>7590</v>
      </c>
      <c r="G41" s="393">
        <f>SUM(G42:G47)</f>
        <v>0</v>
      </c>
    </row>
    <row r="42" spans="1:7" ht="12.75">
      <c r="A42" s="387" t="s">
        <v>412</v>
      </c>
      <c r="B42" s="388">
        <v>4500</v>
      </c>
      <c r="C42" s="388">
        <v>4500</v>
      </c>
      <c r="D42" s="388">
        <v>4500</v>
      </c>
      <c r="E42" s="388">
        <v>4500</v>
      </c>
      <c r="F42" s="389">
        <v>0</v>
      </c>
      <c r="G42" s="390">
        <v>0</v>
      </c>
    </row>
    <row r="43" spans="1:7" ht="12.75">
      <c r="A43" s="387" t="s">
        <v>413</v>
      </c>
      <c r="B43" s="388">
        <v>5000</v>
      </c>
      <c r="C43" s="388">
        <v>5000</v>
      </c>
      <c r="D43" s="388">
        <v>5000</v>
      </c>
      <c r="E43" s="388">
        <v>5000</v>
      </c>
      <c r="F43" s="389">
        <v>0</v>
      </c>
      <c r="G43" s="390">
        <v>0</v>
      </c>
    </row>
    <row r="44" spans="1:7" ht="12.75">
      <c r="A44" s="397" t="s">
        <v>414</v>
      </c>
      <c r="B44" s="388">
        <v>2300</v>
      </c>
      <c r="C44" s="388">
        <v>2300</v>
      </c>
      <c r="D44" s="388">
        <v>2300</v>
      </c>
      <c r="E44" s="388">
        <v>2300</v>
      </c>
      <c r="F44" s="389">
        <v>0</v>
      </c>
      <c r="G44" s="390">
        <v>0</v>
      </c>
    </row>
    <row r="45" spans="1:7" ht="12.75">
      <c r="A45" s="387" t="s">
        <v>415</v>
      </c>
      <c r="B45" s="388">
        <v>4000</v>
      </c>
      <c r="C45" s="388">
        <v>4000</v>
      </c>
      <c r="D45" s="388">
        <v>4000</v>
      </c>
      <c r="E45" s="388">
        <v>4000</v>
      </c>
      <c r="F45" s="389">
        <v>0</v>
      </c>
      <c r="G45" s="390">
        <v>0</v>
      </c>
    </row>
    <row r="46" spans="1:7" ht="12.75">
      <c r="A46" s="387" t="s">
        <v>416</v>
      </c>
      <c r="B46" s="388"/>
      <c r="C46" s="388"/>
      <c r="D46" s="388"/>
      <c r="E46" s="388"/>
      <c r="F46" s="389">
        <v>1190</v>
      </c>
      <c r="G46" s="390">
        <v>0</v>
      </c>
    </row>
    <row r="47" spans="1:7" ht="12.75">
      <c r="A47" s="387" t="s">
        <v>417</v>
      </c>
      <c r="B47" s="388"/>
      <c r="C47" s="388"/>
      <c r="D47" s="388"/>
      <c r="E47" s="388"/>
      <c r="F47" s="389">
        <v>6400</v>
      </c>
      <c r="G47" s="390">
        <v>0</v>
      </c>
    </row>
    <row r="48" spans="1:7" ht="12.75">
      <c r="A48" s="387"/>
      <c r="B48" s="388"/>
      <c r="C48" s="388"/>
      <c r="D48" s="388"/>
      <c r="E48" s="388"/>
      <c r="F48" s="389"/>
      <c r="G48" s="390"/>
    </row>
    <row r="49" spans="1:7" s="405" customFormat="1" ht="13.5">
      <c r="A49" s="402" t="s">
        <v>418</v>
      </c>
      <c r="B49" s="403">
        <f aca="true" t="shared" si="5" ref="B49:G49">SUM(B8,B38,B41)</f>
        <v>117796</v>
      </c>
      <c r="C49" s="403">
        <f t="shared" si="5"/>
        <v>82131</v>
      </c>
      <c r="D49" s="403">
        <f t="shared" si="5"/>
        <v>117796</v>
      </c>
      <c r="E49" s="403">
        <f t="shared" si="5"/>
        <v>82131</v>
      </c>
      <c r="F49" s="403">
        <f t="shared" si="5"/>
        <v>92736</v>
      </c>
      <c r="G49" s="404">
        <f t="shared" si="5"/>
        <v>0</v>
      </c>
    </row>
  </sheetData>
  <sheetProtection selectLockedCells="1" selectUnlockedCells="1"/>
  <mergeCells count="2">
    <mergeCell ref="A3:G3"/>
    <mergeCell ref="A4:G4"/>
  </mergeCells>
  <printOptions horizontalCentered="1"/>
  <pageMargins left="0.4722222222222222" right="0.2361111111111111" top="0.7597222222222223" bottom="0.43333333333333335" header="0.5798611111111112" footer="0.5118055555555555"/>
  <pageSetup horizontalDpi="300" verticalDpi="300" orientation="landscape" paperSize="9" scale="79"/>
  <headerFooter alignWithMargins="0">
    <oddHeader>&amp;L&amp;8 6. melléklet a 30/2011.(X.28.)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84.625" style="376" customWidth="1"/>
    <col min="2" max="2" width="13.75390625" style="377" customWidth="1"/>
    <col min="3" max="3" width="13.75390625" style="376" customWidth="1"/>
    <col min="4" max="5" width="13.75390625" style="378" customWidth="1"/>
    <col min="6" max="7" width="13.75390625" style="376" customWidth="1"/>
    <col min="8" max="16384" width="9.125" style="376" customWidth="1"/>
  </cols>
  <sheetData>
    <row r="1" spans="1:7" ht="15.75">
      <c r="A1" s="381" t="s">
        <v>419</v>
      </c>
      <c r="B1" s="381"/>
      <c r="C1" s="381"/>
      <c r="D1" s="381"/>
      <c r="E1" s="381"/>
      <c r="F1" s="381"/>
      <c r="G1" s="381"/>
    </row>
    <row r="2" spans="1:7" ht="15.75">
      <c r="A2" s="382" t="s">
        <v>420</v>
      </c>
      <c r="B2" s="382"/>
      <c r="C2" s="382"/>
      <c r="D2" s="382"/>
      <c r="E2" s="382"/>
      <c r="F2" s="382"/>
      <c r="G2" s="382"/>
    </row>
    <row r="4" spans="1:7" s="401" customFormat="1" ht="13.5">
      <c r="A4" s="383" t="s">
        <v>242</v>
      </c>
      <c r="B4" s="384" t="s">
        <v>3</v>
      </c>
      <c r="C4" s="385" t="s">
        <v>384</v>
      </c>
      <c r="D4" s="384" t="s">
        <v>102</v>
      </c>
      <c r="E4" s="384" t="s">
        <v>385</v>
      </c>
      <c r="F4" s="385" t="s">
        <v>386</v>
      </c>
      <c r="G4" s="386" t="s">
        <v>385</v>
      </c>
    </row>
    <row r="5" spans="1:7" ht="12.75">
      <c r="A5" s="387"/>
      <c r="B5" s="388"/>
      <c r="C5" s="406"/>
      <c r="D5" s="388"/>
      <c r="E5" s="388"/>
      <c r="F5" s="407"/>
      <c r="G5" s="408"/>
    </row>
    <row r="6" spans="1:7" ht="12.75">
      <c r="A6" s="391" t="s">
        <v>9</v>
      </c>
      <c r="B6" s="392">
        <f>SUM(B8,B14,B31,B68)</f>
        <v>2517144</v>
      </c>
      <c r="C6" s="392">
        <f>SUM(C14,C8,C31,C68)</f>
        <v>2125655</v>
      </c>
      <c r="D6" s="392">
        <f>SUM(D14,D8,D31,D68)</f>
        <v>2653845</v>
      </c>
      <c r="E6" s="392">
        <f>SUM(E14,E8,E31,E68)</f>
        <v>2125655</v>
      </c>
      <c r="F6" s="392">
        <f>SUM(F14,F8,F31,F68)</f>
        <v>857277</v>
      </c>
      <c r="G6" s="393">
        <f>SUM(G14,G8,G31,G68)</f>
        <v>0</v>
      </c>
    </row>
    <row r="7" spans="1:7" ht="12.75">
      <c r="A7" s="387"/>
      <c r="B7" s="388"/>
      <c r="C7" s="388"/>
      <c r="D7" s="388"/>
      <c r="E7" s="388"/>
      <c r="F7" s="388"/>
      <c r="G7" s="400"/>
    </row>
    <row r="8" spans="1:7" ht="13.5">
      <c r="A8" s="394" t="s">
        <v>387</v>
      </c>
      <c r="B8" s="395">
        <f aca="true" t="shared" si="0" ref="B8:G8">SUM(B9:B12)</f>
        <v>11081</v>
      </c>
      <c r="C8" s="395">
        <f t="shared" si="0"/>
        <v>0</v>
      </c>
      <c r="D8" s="395">
        <f t="shared" si="0"/>
        <v>14116</v>
      </c>
      <c r="E8" s="395">
        <f t="shared" si="0"/>
        <v>0</v>
      </c>
      <c r="F8" s="395">
        <f t="shared" si="0"/>
        <v>9550</v>
      </c>
      <c r="G8" s="396">
        <f t="shared" si="0"/>
        <v>0</v>
      </c>
    </row>
    <row r="9" spans="1:7" ht="12.75">
      <c r="A9" s="387" t="s">
        <v>421</v>
      </c>
      <c r="B9" s="388">
        <v>4431</v>
      </c>
      <c r="C9" s="388"/>
      <c r="D9" s="388">
        <f>B9+3035</f>
        <v>7466</v>
      </c>
      <c r="E9" s="388"/>
      <c r="F9" s="388">
        <f>7466-3566</f>
        <v>3900</v>
      </c>
      <c r="G9" s="400">
        <v>0</v>
      </c>
    </row>
    <row r="10" spans="1:7" ht="12.75">
      <c r="A10" s="387" t="s">
        <v>422</v>
      </c>
      <c r="B10" s="388">
        <v>100</v>
      </c>
      <c r="C10" s="388"/>
      <c r="D10" s="388">
        <v>100</v>
      </c>
      <c r="E10" s="388"/>
      <c r="F10" s="388">
        <v>100</v>
      </c>
      <c r="G10" s="400">
        <v>0</v>
      </c>
    </row>
    <row r="11" spans="1:7" ht="12.75">
      <c r="A11" s="387" t="s">
        <v>423</v>
      </c>
      <c r="B11" s="388">
        <v>2500</v>
      </c>
      <c r="C11" s="388"/>
      <c r="D11" s="388">
        <v>2500</v>
      </c>
      <c r="E11" s="388"/>
      <c r="F11" s="388">
        <f>2500-650-350</f>
        <v>1500</v>
      </c>
      <c r="G11" s="400">
        <v>0</v>
      </c>
    </row>
    <row r="12" spans="1:7" ht="12.75">
      <c r="A12" s="387" t="s">
        <v>424</v>
      </c>
      <c r="B12" s="388">
        <v>4050</v>
      </c>
      <c r="C12" s="388"/>
      <c r="D12" s="388">
        <v>4050</v>
      </c>
      <c r="E12" s="388"/>
      <c r="F12" s="388">
        <v>4050</v>
      </c>
      <c r="G12" s="400">
        <v>0</v>
      </c>
    </row>
    <row r="13" spans="1:7" ht="12.75">
      <c r="A13" s="387"/>
      <c r="B13" s="388"/>
      <c r="C13" s="388"/>
      <c r="D13" s="388"/>
      <c r="E13" s="388"/>
      <c r="F13" s="388"/>
      <c r="G13" s="400"/>
    </row>
    <row r="14" spans="1:7" s="409" customFormat="1" ht="13.5">
      <c r="A14" s="394" t="s">
        <v>390</v>
      </c>
      <c r="B14" s="395">
        <f>SUM(B15:B27)</f>
        <v>2428563</v>
      </c>
      <c r="C14" s="395">
        <f>SUM(C15:C27)</f>
        <v>2098855</v>
      </c>
      <c r="D14" s="395">
        <f>SUM(D15:D29)</f>
        <v>2525177</v>
      </c>
      <c r="E14" s="395">
        <f>SUM(E15:E27)</f>
        <v>2098855</v>
      </c>
      <c r="F14" s="395">
        <f>SUM(F15:F29)</f>
        <v>578154</v>
      </c>
      <c r="G14" s="396">
        <f>SUM(G15:G29)</f>
        <v>0</v>
      </c>
    </row>
    <row r="15" spans="1:7" ht="12.75">
      <c r="A15" s="387" t="s">
        <v>425</v>
      </c>
      <c r="B15" s="388">
        <v>20000</v>
      </c>
      <c r="C15" s="388"/>
      <c r="D15" s="388">
        <v>20000</v>
      </c>
      <c r="E15" s="388"/>
      <c r="F15" s="388">
        <v>20000</v>
      </c>
      <c r="G15" s="400">
        <v>0</v>
      </c>
    </row>
    <row r="16" spans="1:7" ht="12.75">
      <c r="A16" s="387" t="s">
        <v>426</v>
      </c>
      <c r="B16" s="388">
        <v>718000</v>
      </c>
      <c r="C16" s="388">
        <v>714669</v>
      </c>
      <c r="D16" s="388">
        <v>718000</v>
      </c>
      <c r="E16" s="388">
        <v>714669</v>
      </c>
      <c r="F16" s="388">
        <f>718000-569167</f>
        <v>148833</v>
      </c>
      <c r="G16" s="400">
        <v>0</v>
      </c>
    </row>
    <row r="17" spans="1:7" ht="12.75">
      <c r="A17" s="387" t="s">
        <v>427</v>
      </c>
      <c r="B17" s="388">
        <v>1250000</v>
      </c>
      <c r="C17" s="388">
        <v>1248631</v>
      </c>
      <c r="D17" s="388">
        <v>1250000</v>
      </c>
      <c r="E17" s="388">
        <v>1248631</v>
      </c>
      <c r="F17" s="388">
        <f>1250000-1248631</f>
        <v>1369</v>
      </c>
      <c r="G17" s="400">
        <v>0</v>
      </c>
    </row>
    <row r="18" spans="1:7" ht="12.75">
      <c r="A18" s="387" t="s">
        <v>428</v>
      </c>
      <c r="B18" s="388">
        <v>10500</v>
      </c>
      <c r="C18" s="388"/>
      <c r="D18" s="388">
        <v>10500</v>
      </c>
      <c r="E18" s="388"/>
      <c r="F18" s="388">
        <v>10500</v>
      </c>
      <c r="G18" s="400">
        <v>0</v>
      </c>
    </row>
    <row r="19" spans="1:7" ht="12.75">
      <c r="A19" s="387" t="s">
        <v>429</v>
      </c>
      <c r="B19" s="388">
        <v>80000</v>
      </c>
      <c r="C19" s="388"/>
      <c r="D19" s="388">
        <v>80000</v>
      </c>
      <c r="E19" s="388"/>
      <c r="F19" s="388">
        <f>80000-15000</f>
        <v>65000</v>
      </c>
      <c r="G19" s="400">
        <v>0</v>
      </c>
    </row>
    <row r="20" spans="1:7" ht="12.75">
      <c r="A20" s="387" t="s">
        <v>430</v>
      </c>
      <c r="B20" s="388">
        <v>146343</v>
      </c>
      <c r="C20" s="388"/>
      <c r="D20" s="388">
        <v>146343</v>
      </c>
      <c r="E20" s="388"/>
      <c r="F20" s="388">
        <f>146343-2809</f>
        <v>143534</v>
      </c>
      <c r="G20" s="400">
        <v>0</v>
      </c>
    </row>
    <row r="21" spans="1:7" ht="13.5" customHeight="1">
      <c r="A21" s="397" t="s">
        <v>431</v>
      </c>
      <c r="B21" s="388">
        <v>59352</v>
      </c>
      <c r="C21" s="388"/>
      <c r="D21" s="388">
        <v>59352</v>
      </c>
      <c r="E21" s="388"/>
      <c r="F21" s="388">
        <f>59352-966</f>
        <v>58386</v>
      </c>
      <c r="G21" s="400">
        <v>0</v>
      </c>
    </row>
    <row r="22" spans="1:7" ht="13.5" customHeight="1">
      <c r="A22" s="397" t="s">
        <v>432</v>
      </c>
      <c r="B22" s="388">
        <v>130000</v>
      </c>
      <c r="C22" s="388">
        <v>130000</v>
      </c>
      <c r="D22" s="388">
        <v>130000</v>
      </c>
      <c r="E22" s="388">
        <v>130000</v>
      </c>
      <c r="F22" s="388">
        <f>130000-110000</f>
        <v>20000</v>
      </c>
      <c r="G22" s="400">
        <v>0</v>
      </c>
    </row>
    <row r="23" spans="1:7" ht="12.75">
      <c r="A23" s="387" t="s">
        <v>433</v>
      </c>
      <c r="B23" s="388">
        <v>1240</v>
      </c>
      <c r="C23" s="388">
        <v>1240</v>
      </c>
      <c r="D23" s="388">
        <v>1240</v>
      </c>
      <c r="E23" s="388">
        <v>1240</v>
      </c>
      <c r="F23" s="388">
        <v>1240</v>
      </c>
      <c r="G23" s="400">
        <v>0</v>
      </c>
    </row>
    <row r="24" spans="1:7" ht="12.75">
      <c r="A24" s="387" t="s">
        <v>434</v>
      </c>
      <c r="B24" s="388">
        <v>450</v>
      </c>
      <c r="C24" s="388">
        <v>450</v>
      </c>
      <c r="D24" s="388">
        <v>450</v>
      </c>
      <c r="E24" s="388">
        <v>450</v>
      </c>
      <c r="F24" s="388">
        <v>0</v>
      </c>
      <c r="G24" s="400">
        <v>0</v>
      </c>
    </row>
    <row r="25" spans="1:7" ht="12.75">
      <c r="A25" s="387" t="s">
        <v>435</v>
      </c>
      <c r="B25" s="388">
        <v>3000</v>
      </c>
      <c r="C25" s="388"/>
      <c r="D25" s="388">
        <v>3000</v>
      </c>
      <c r="E25" s="388"/>
      <c r="F25" s="388">
        <v>3000</v>
      </c>
      <c r="G25" s="400">
        <v>0</v>
      </c>
    </row>
    <row r="26" spans="1:7" ht="12.75">
      <c r="A26" s="387" t="s">
        <v>436</v>
      </c>
      <c r="B26" s="388">
        <v>3865</v>
      </c>
      <c r="C26" s="388">
        <v>3865</v>
      </c>
      <c r="D26" s="388">
        <v>3865</v>
      </c>
      <c r="E26" s="388">
        <v>3865</v>
      </c>
      <c r="F26" s="388">
        <v>3865</v>
      </c>
      <c r="G26" s="400">
        <v>0</v>
      </c>
    </row>
    <row r="27" spans="1:7" ht="12.75">
      <c r="A27" s="387" t="s">
        <v>437</v>
      </c>
      <c r="B27" s="388">
        <v>5813</v>
      </c>
      <c r="C27" s="388"/>
      <c r="D27" s="388">
        <v>5813</v>
      </c>
      <c r="E27" s="388"/>
      <c r="F27" s="388">
        <v>5813</v>
      </c>
      <c r="G27" s="400">
        <v>0</v>
      </c>
    </row>
    <row r="28" spans="1:7" ht="12.75">
      <c r="A28" s="387" t="s">
        <v>438</v>
      </c>
      <c r="B28" s="388"/>
      <c r="C28" s="388"/>
      <c r="D28" s="388">
        <v>46933</v>
      </c>
      <c r="E28" s="388"/>
      <c r="F28" s="388">
        <v>46933</v>
      </c>
      <c r="G28" s="400">
        <v>0</v>
      </c>
    </row>
    <row r="29" spans="1:7" ht="12.75">
      <c r="A29" s="387" t="s">
        <v>439</v>
      </c>
      <c r="B29" s="388"/>
      <c r="C29" s="388"/>
      <c r="D29" s="388">
        <v>49681</v>
      </c>
      <c r="E29" s="388"/>
      <c r="F29" s="388">
        <v>49681</v>
      </c>
      <c r="G29" s="400">
        <v>0</v>
      </c>
    </row>
    <row r="30" spans="1:7" ht="12.75">
      <c r="A30" s="387"/>
      <c r="B30" s="388"/>
      <c r="C30" s="388"/>
      <c r="D30" s="388"/>
      <c r="E30" s="388"/>
      <c r="F30" s="388"/>
      <c r="G30" s="400"/>
    </row>
    <row r="31" spans="1:7" ht="13.5">
      <c r="A31" s="394" t="s">
        <v>396</v>
      </c>
      <c r="B31" s="395">
        <f>SUM(B32:B33)</f>
        <v>20950</v>
      </c>
      <c r="C31" s="395">
        <f>SUM(C32:C33)</f>
        <v>0</v>
      </c>
      <c r="D31" s="395">
        <f>SUM(D32:D37)</f>
        <v>42002</v>
      </c>
      <c r="E31" s="395">
        <f>SUM(E32:E35)</f>
        <v>0</v>
      </c>
      <c r="F31" s="395">
        <f>SUM(F32:F66)</f>
        <v>223823</v>
      </c>
      <c r="G31" s="396">
        <f>SUM(G32:G41)</f>
        <v>0</v>
      </c>
    </row>
    <row r="32" spans="1:7" ht="12.75">
      <c r="A32" s="387" t="s">
        <v>440</v>
      </c>
      <c r="B32" s="388">
        <v>5000</v>
      </c>
      <c r="C32" s="388"/>
      <c r="D32" s="388">
        <v>0</v>
      </c>
      <c r="E32" s="388"/>
      <c r="F32" s="388">
        <v>0</v>
      </c>
      <c r="G32" s="400">
        <v>0</v>
      </c>
    </row>
    <row r="33" spans="1:7" ht="12.75">
      <c r="A33" s="387" t="s">
        <v>441</v>
      </c>
      <c r="B33" s="388">
        <f>20000-4050</f>
        <v>15950</v>
      </c>
      <c r="C33" s="388"/>
      <c r="D33" s="388">
        <v>15950</v>
      </c>
      <c r="E33" s="388"/>
      <c r="F33" s="388">
        <v>15950</v>
      </c>
      <c r="G33" s="400">
        <v>0</v>
      </c>
    </row>
    <row r="34" spans="1:7" ht="12.75">
      <c r="A34" s="387" t="s">
        <v>442</v>
      </c>
      <c r="B34" s="388"/>
      <c r="C34" s="388"/>
      <c r="D34" s="388">
        <v>11202</v>
      </c>
      <c r="E34" s="388"/>
      <c r="F34" s="388">
        <f>11202-574</f>
        <v>10628</v>
      </c>
      <c r="G34" s="400">
        <v>0</v>
      </c>
    </row>
    <row r="35" spans="1:7" ht="12.75">
      <c r="A35" s="387" t="s">
        <v>443</v>
      </c>
      <c r="B35" s="388"/>
      <c r="C35" s="388"/>
      <c r="D35" s="388">
        <v>1100</v>
      </c>
      <c r="E35" s="388"/>
      <c r="F35" s="388">
        <v>1100</v>
      </c>
      <c r="G35" s="400">
        <v>0</v>
      </c>
    </row>
    <row r="36" spans="1:7" ht="12.75">
      <c r="A36" s="387" t="s">
        <v>444</v>
      </c>
      <c r="B36" s="388"/>
      <c r="C36" s="388"/>
      <c r="D36" s="388">
        <v>3750</v>
      </c>
      <c r="E36" s="388"/>
      <c r="F36" s="388">
        <v>3750</v>
      </c>
      <c r="G36" s="400">
        <v>0</v>
      </c>
    </row>
    <row r="37" spans="1:7" ht="12.75">
      <c r="A37" s="387" t="s">
        <v>445</v>
      </c>
      <c r="B37" s="388"/>
      <c r="C37" s="388"/>
      <c r="D37" s="388">
        <v>10000</v>
      </c>
      <c r="E37" s="388"/>
      <c r="F37" s="388">
        <v>10000</v>
      </c>
      <c r="G37" s="400">
        <v>0</v>
      </c>
    </row>
    <row r="38" spans="1:7" ht="12.75">
      <c r="A38" s="387" t="s">
        <v>446</v>
      </c>
      <c r="B38" s="388"/>
      <c r="C38" s="388"/>
      <c r="D38" s="388"/>
      <c r="E38" s="388"/>
      <c r="F38" s="388">
        <v>1580</v>
      </c>
      <c r="G38" s="400">
        <v>0</v>
      </c>
    </row>
    <row r="39" spans="1:7" ht="12.75">
      <c r="A39" s="387" t="s">
        <v>447</v>
      </c>
      <c r="B39" s="388"/>
      <c r="C39" s="388"/>
      <c r="D39" s="388"/>
      <c r="E39" s="388"/>
      <c r="F39" s="388">
        <v>5000</v>
      </c>
      <c r="G39" s="400">
        <v>0</v>
      </c>
    </row>
    <row r="40" spans="1:7" ht="25.5">
      <c r="A40" s="397" t="s">
        <v>448</v>
      </c>
      <c r="B40" s="388"/>
      <c r="C40" s="388"/>
      <c r="D40" s="388"/>
      <c r="E40" s="388"/>
      <c r="F40" s="388">
        <v>811</v>
      </c>
      <c r="G40" s="400">
        <v>0</v>
      </c>
    </row>
    <row r="41" spans="1:7" ht="12.75">
      <c r="A41" s="410" t="s">
        <v>449</v>
      </c>
      <c r="B41" s="388"/>
      <c r="C41" s="388"/>
      <c r="D41" s="388"/>
      <c r="E41" s="388"/>
      <c r="F41" s="388">
        <v>65</v>
      </c>
      <c r="G41" s="400">
        <v>0</v>
      </c>
    </row>
    <row r="42" spans="1:7" ht="25.5">
      <c r="A42" s="399" t="s">
        <v>450</v>
      </c>
      <c r="B42" s="388"/>
      <c r="C42" s="388"/>
      <c r="D42" s="388"/>
      <c r="E42" s="388"/>
      <c r="F42" s="388">
        <v>929</v>
      </c>
      <c r="G42" s="400">
        <v>0</v>
      </c>
    </row>
    <row r="43" spans="1:7" ht="12.75">
      <c r="A43" s="387" t="s">
        <v>451</v>
      </c>
      <c r="B43" s="388"/>
      <c r="C43" s="388"/>
      <c r="D43" s="388"/>
      <c r="E43" s="388"/>
      <c r="F43" s="388">
        <v>15000</v>
      </c>
      <c r="G43" s="400">
        <v>0</v>
      </c>
    </row>
    <row r="44" spans="1:7" ht="25.5">
      <c r="A44" s="399" t="s">
        <v>452</v>
      </c>
      <c r="B44" s="388"/>
      <c r="C44" s="388"/>
      <c r="D44" s="388"/>
      <c r="E44" s="388"/>
      <c r="F44" s="388">
        <v>4875</v>
      </c>
      <c r="G44" s="400">
        <v>0</v>
      </c>
    </row>
    <row r="45" spans="1:7" ht="12.75">
      <c r="A45" s="399" t="s">
        <v>453</v>
      </c>
      <c r="B45" s="388"/>
      <c r="C45" s="388"/>
      <c r="D45" s="388"/>
      <c r="E45" s="388"/>
      <c r="F45" s="388">
        <v>3742</v>
      </c>
      <c r="G45" s="400">
        <v>0</v>
      </c>
    </row>
    <row r="46" spans="1:7" ht="12.75">
      <c r="A46" s="399" t="s">
        <v>454</v>
      </c>
      <c r="B46" s="388"/>
      <c r="C46" s="388"/>
      <c r="D46" s="388"/>
      <c r="E46" s="388"/>
      <c r="F46" s="388">
        <v>18046</v>
      </c>
      <c r="G46" s="400">
        <v>0</v>
      </c>
    </row>
    <row r="47" spans="1:7" ht="12.75">
      <c r="A47" s="399" t="s">
        <v>455</v>
      </c>
      <c r="B47" s="388"/>
      <c r="C47" s="388"/>
      <c r="D47" s="388"/>
      <c r="E47" s="388"/>
      <c r="F47" s="388">
        <v>24000</v>
      </c>
      <c r="G47" s="400">
        <v>0</v>
      </c>
    </row>
    <row r="48" spans="1:7" ht="12.75">
      <c r="A48" s="399" t="s">
        <v>456</v>
      </c>
      <c r="B48" s="388"/>
      <c r="C48" s="388"/>
      <c r="D48" s="388"/>
      <c r="E48" s="388"/>
      <c r="F48" s="388">
        <v>63</v>
      </c>
      <c r="G48" s="400">
        <v>0</v>
      </c>
    </row>
    <row r="49" spans="1:7" ht="12.75">
      <c r="A49" s="399" t="s">
        <v>457</v>
      </c>
      <c r="B49" s="388"/>
      <c r="C49" s="388"/>
      <c r="D49" s="388"/>
      <c r="E49" s="388"/>
      <c r="F49" s="388">
        <v>330</v>
      </c>
      <c r="G49" s="400">
        <v>0</v>
      </c>
    </row>
    <row r="50" spans="1:7" ht="27" customHeight="1">
      <c r="A50" s="399" t="s">
        <v>458</v>
      </c>
      <c r="B50" s="388"/>
      <c r="C50" s="388"/>
      <c r="D50" s="388"/>
      <c r="E50" s="388"/>
      <c r="F50" s="388">
        <v>200</v>
      </c>
      <c r="G50" s="400">
        <v>0</v>
      </c>
    </row>
    <row r="51" spans="1:7" ht="14.25" customHeight="1">
      <c r="A51" s="399" t="s">
        <v>459</v>
      </c>
      <c r="B51" s="388"/>
      <c r="C51" s="388"/>
      <c r="D51" s="388"/>
      <c r="E51" s="388"/>
      <c r="F51" s="388">
        <v>10000</v>
      </c>
      <c r="G51" s="400">
        <v>0</v>
      </c>
    </row>
    <row r="52" spans="1:7" ht="14.25" customHeight="1">
      <c r="A52" s="399" t="s">
        <v>460</v>
      </c>
      <c r="B52" s="388"/>
      <c r="C52" s="388"/>
      <c r="D52" s="388"/>
      <c r="E52" s="388"/>
      <c r="F52" s="388">
        <v>22900</v>
      </c>
      <c r="G52" s="400">
        <v>0</v>
      </c>
    </row>
    <row r="53" spans="1:7" ht="14.25" customHeight="1">
      <c r="A53" s="399" t="s">
        <v>461</v>
      </c>
      <c r="B53" s="388"/>
      <c r="C53" s="388"/>
      <c r="D53" s="388"/>
      <c r="E53" s="388"/>
      <c r="F53" s="388">
        <v>12600</v>
      </c>
      <c r="G53" s="400">
        <v>0</v>
      </c>
    </row>
    <row r="54" spans="1:7" ht="14.25" customHeight="1">
      <c r="A54" s="399" t="s">
        <v>462</v>
      </c>
      <c r="B54" s="388"/>
      <c r="C54" s="388"/>
      <c r="D54" s="388"/>
      <c r="E54" s="388"/>
      <c r="F54" s="388">
        <v>450</v>
      </c>
      <c r="G54" s="400">
        <v>0</v>
      </c>
    </row>
    <row r="55" spans="1:7" ht="14.25" customHeight="1">
      <c r="A55" s="399" t="s">
        <v>463</v>
      </c>
      <c r="B55" s="388"/>
      <c r="C55" s="388"/>
      <c r="D55" s="388"/>
      <c r="E55" s="388"/>
      <c r="F55" s="388">
        <v>2100</v>
      </c>
      <c r="G55" s="400">
        <v>0</v>
      </c>
    </row>
    <row r="56" spans="1:7" ht="14.25" customHeight="1">
      <c r="A56" s="399" t="s">
        <v>464</v>
      </c>
      <c r="B56" s="388"/>
      <c r="C56" s="388"/>
      <c r="D56" s="388"/>
      <c r="E56" s="388"/>
      <c r="F56" s="388">
        <v>15000</v>
      </c>
      <c r="G56" s="400">
        <v>0</v>
      </c>
    </row>
    <row r="57" spans="1:7" ht="14.25" customHeight="1">
      <c r="A57" s="399" t="s">
        <v>465</v>
      </c>
      <c r="B57" s="388"/>
      <c r="C57" s="388"/>
      <c r="D57" s="388"/>
      <c r="E57" s="388"/>
      <c r="F57" s="388">
        <v>1000</v>
      </c>
      <c r="G57" s="400">
        <v>0</v>
      </c>
    </row>
    <row r="58" spans="1:7" ht="25.5">
      <c r="A58" s="399" t="s">
        <v>466</v>
      </c>
      <c r="B58" s="388"/>
      <c r="C58" s="388"/>
      <c r="D58" s="388"/>
      <c r="E58" s="388"/>
      <c r="F58" s="388">
        <v>28669</v>
      </c>
      <c r="G58" s="400">
        <v>0</v>
      </c>
    </row>
    <row r="59" spans="1:7" ht="12.75">
      <c r="A59" s="399" t="s">
        <v>467</v>
      </c>
      <c r="B59" s="388"/>
      <c r="C59" s="388"/>
      <c r="D59" s="388"/>
      <c r="E59" s="388"/>
      <c r="F59" s="388">
        <v>25</v>
      </c>
      <c r="G59" s="400">
        <v>0</v>
      </c>
    </row>
    <row r="60" spans="1:7" ht="12.75">
      <c r="A60" s="399" t="s">
        <v>468</v>
      </c>
      <c r="B60" s="388"/>
      <c r="C60" s="388"/>
      <c r="D60" s="388"/>
      <c r="E60" s="388"/>
      <c r="F60" s="388">
        <v>2604</v>
      </c>
      <c r="G60" s="400">
        <v>0</v>
      </c>
    </row>
    <row r="61" spans="1:7" ht="12.75">
      <c r="A61" s="399" t="s">
        <v>469</v>
      </c>
      <c r="B61" s="388"/>
      <c r="C61" s="388"/>
      <c r="D61" s="388"/>
      <c r="E61" s="388"/>
      <c r="F61" s="388">
        <v>8760</v>
      </c>
      <c r="G61" s="400">
        <v>0</v>
      </c>
    </row>
    <row r="62" spans="1:7" ht="12.75">
      <c r="A62" s="399" t="s">
        <v>470</v>
      </c>
      <c r="B62" s="388"/>
      <c r="C62" s="388"/>
      <c r="D62" s="388"/>
      <c r="E62" s="388"/>
      <c r="F62" s="388">
        <v>1881</v>
      </c>
      <c r="G62" s="400">
        <v>0</v>
      </c>
    </row>
    <row r="63" spans="1:7" ht="12.75">
      <c r="A63" s="399" t="s">
        <v>471</v>
      </c>
      <c r="B63" s="388"/>
      <c r="C63" s="388"/>
      <c r="D63" s="388"/>
      <c r="E63" s="388"/>
      <c r="F63" s="388">
        <v>56</v>
      </c>
      <c r="G63" s="400">
        <v>0</v>
      </c>
    </row>
    <row r="64" spans="1:7" ht="12.75">
      <c r="A64" s="399" t="s">
        <v>472</v>
      </c>
      <c r="B64" s="388"/>
      <c r="C64" s="388"/>
      <c r="D64" s="388"/>
      <c r="E64" s="388"/>
      <c r="F64" s="388">
        <v>369</v>
      </c>
      <c r="G64" s="400"/>
    </row>
    <row r="65" spans="1:7" ht="12.75">
      <c r="A65" s="399" t="s">
        <v>473</v>
      </c>
      <c r="B65" s="388"/>
      <c r="C65" s="388"/>
      <c r="D65" s="388"/>
      <c r="E65" s="388"/>
      <c r="F65" s="388">
        <f>119+8</f>
        <v>127</v>
      </c>
      <c r="G65" s="400"/>
    </row>
    <row r="66" spans="1:7" ht="12.75">
      <c r="A66" s="399" t="s">
        <v>474</v>
      </c>
      <c r="B66" s="388"/>
      <c r="C66" s="388"/>
      <c r="D66" s="388"/>
      <c r="E66" s="388"/>
      <c r="F66" s="388">
        <v>1213</v>
      </c>
      <c r="G66" s="400">
        <v>0</v>
      </c>
    </row>
    <row r="67" spans="1:7" ht="12.75">
      <c r="A67" s="387"/>
      <c r="B67" s="388"/>
      <c r="C67" s="388"/>
      <c r="D67" s="388"/>
      <c r="E67" s="388"/>
      <c r="F67" s="388"/>
      <c r="G67" s="400"/>
    </row>
    <row r="68" spans="1:7" s="409" customFormat="1" ht="13.5">
      <c r="A68" s="394" t="s">
        <v>405</v>
      </c>
      <c r="B68" s="395">
        <f>SUM(B69:B77)</f>
        <v>56550</v>
      </c>
      <c r="C68" s="395">
        <f>SUM(C69:C77)</f>
        <v>26800</v>
      </c>
      <c r="D68" s="395">
        <f>SUM(D69:D78)</f>
        <v>72550</v>
      </c>
      <c r="E68" s="395">
        <f>SUM(E69:E78)</f>
        <v>26800</v>
      </c>
      <c r="F68" s="395">
        <f>SUM(F69:F78)</f>
        <v>45750</v>
      </c>
      <c r="G68" s="396">
        <f>SUM(G69:G78)</f>
        <v>0</v>
      </c>
    </row>
    <row r="69" spans="1:7" ht="12.75">
      <c r="A69" s="387" t="s">
        <v>475</v>
      </c>
      <c r="B69" s="388">
        <v>4000</v>
      </c>
      <c r="C69" s="388">
        <v>4000</v>
      </c>
      <c r="D69" s="388">
        <v>4000</v>
      </c>
      <c r="E69" s="388">
        <v>4000</v>
      </c>
      <c r="F69" s="388">
        <v>0</v>
      </c>
      <c r="G69" s="400">
        <v>0</v>
      </c>
    </row>
    <row r="70" spans="1:7" ht="12.75">
      <c r="A70" s="387" t="s">
        <v>476</v>
      </c>
      <c r="B70" s="388">
        <v>800</v>
      </c>
      <c r="C70" s="388">
        <v>800</v>
      </c>
      <c r="D70" s="388">
        <v>800</v>
      </c>
      <c r="E70" s="388">
        <v>800</v>
      </c>
      <c r="F70" s="388">
        <v>0</v>
      </c>
      <c r="G70" s="400">
        <v>0</v>
      </c>
    </row>
    <row r="71" spans="1:7" ht="12.75">
      <c r="A71" s="387" t="s">
        <v>444</v>
      </c>
      <c r="B71" s="388">
        <v>1250</v>
      </c>
      <c r="C71" s="388"/>
      <c r="D71" s="388">
        <v>1250</v>
      </c>
      <c r="E71" s="388"/>
      <c r="F71" s="388">
        <v>1250</v>
      </c>
      <c r="G71" s="400">
        <v>0</v>
      </c>
    </row>
    <row r="72" spans="1:7" ht="12.75">
      <c r="A72" s="387" t="s">
        <v>477</v>
      </c>
      <c r="B72" s="388">
        <v>18750</v>
      </c>
      <c r="C72" s="388"/>
      <c r="D72" s="388">
        <v>18750</v>
      </c>
      <c r="E72" s="388"/>
      <c r="F72" s="388">
        <v>18750</v>
      </c>
      <c r="G72" s="400">
        <v>0</v>
      </c>
    </row>
    <row r="73" spans="1:7" ht="12.75">
      <c r="A73" s="387" t="s">
        <v>478</v>
      </c>
      <c r="B73" s="388"/>
      <c r="C73" s="388"/>
      <c r="D73" s="388"/>
      <c r="E73" s="388"/>
      <c r="F73" s="388"/>
      <c r="G73" s="400"/>
    </row>
    <row r="74" spans="1:7" ht="12.75">
      <c r="A74" s="387" t="s">
        <v>479</v>
      </c>
      <c r="B74" s="388">
        <v>8000</v>
      </c>
      <c r="C74" s="388">
        <v>8000</v>
      </c>
      <c r="D74" s="388">
        <v>8000</v>
      </c>
      <c r="E74" s="388">
        <v>8000</v>
      </c>
      <c r="F74" s="388">
        <v>0</v>
      </c>
      <c r="G74" s="400">
        <v>0</v>
      </c>
    </row>
    <row r="75" spans="1:7" ht="12.75">
      <c r="A75" s="387" t="s">
        <v>480</v>
      </c>
      <c r="B75" s="388">
        <v>10000</v>
      </c>
      <c r="C75" s="388">
        <v>10000</v>
      </c>
      <c r="D75" s="388">
        <v>10000</v>
      </c>
      <c r="E75" s="388">
        <v>10000</v>
      </c>
      <c r="F75" s="388">
        <v>0</v>
      </c>
      <c r="G75" s="400">
        <v>0</v>
      </c>
    </row>
    <row r="76" spans="1:7" ht="12.75">
      <c r="A76" s="387" t="s">
        <v>481</v>
      </c>
      <c r="B76" s="388">
        <v>5000</v>
      </c>
      <c r="C76" s="388">
        <v>4000</v>
      </c>
      <c r="D76" s="388">
        <v>5000</v>
      </c>
      <c r="E76" s="388">
        <v>4000</v>
      </c>
      <c r="F76" s="388">
        <v>1000</v>
      </c>
      <c r="G76" s="400">
        <v>0</v>
      </c>
    </row>
    <row r="77" spans="1:7" ht="12.75">
      <c r="A77" s="387" t="s">
        <v>482</v>
      </c>
      <c r="B77" s="388">
        <v>8750</v>
      </c>
      <c r="C77" s="388"/>
      <c r="D77" s="388">
        <v>8750</v>
      </c>
      <c r="E77" s="388"/>
      <c r="F77" s="388">
        <v>8750</v>
      </c>
      <c r="G77" s="400">
        <v>0</v>
      </c>
    </row>
    <row r="78" spans="1:7" ht="12.75">
      <c r="A78" s="387" t="s">
        <v>483</v>
      </c>
      <c r="B78" s="388"/>
      <c r="C78" s="388"/>
      <c r="D78" s="388">
        <v>16000</v>
      </c>
      <c r="E78" s="388"/>
      <c r="F78" s="388">
        <v>16000</v>
      </c>
      <c r="G78" s="400">
        <v>0</v>
      </c>
    </row>
    <row r="79" spans="1:7" ht="12.75">
      <c r="A79" s="387"/>
      <c r="B79" s="388"/>
      <c r="C79" s="388"/>
      <c r="D79" s="388"/>
      <c r="E79" s="388"/>
      <c r="F79" s="388"/>
      <c r="G79" s="400"/>
    </row>
    <row r="80" spans="1:7" s="401" customFormat="1" ht="12.75">
      <c r="A80" s="391" t="s">
        <v>12</v>
      </c>
      <c r="B80" s="392">
        <f aca="true" t="shared" si="1" ref="B80:G80">SUM(B81)</f>
        <v>1500</v>
      </c>
      <c r="C80" s="392">
        <f t="shared" si="1"/>
        <v>0</v>
      </c>
      <c r="D80" s="392">
        <f t="shared" si="1"/>
        <v>3500</v>
      </c>
      <c r="E80" s="392">
        <f t="shared" si="1"/>
        <v>0</v>
      </c>
      <c r="F80" s="392">
        <f t="shared" si="1"/>
        <v>10500</v>
      </c>
      <c r="G80" s="393">
        <f t="shared" si="1"/>
        <v>0</v>
      </c>
    </row>
    <row r="81" spans="1:7" ht="12.75">
      <c r="A81" s="387" t="s">
        <v>484</v>
      </c>
      <c r="B81" s="388">
        <v>1500</v>
      </c>
      <c r="C81" s="388"/>
      <c r="D81" s="388">
        <v>3500</v>
      </c>
      <c r="E81" s="388"/>
      <c r="F81" s="388">
        <v>10500</v>
      </c>
      <c r="G81" s="400">
        <v>0</v>
      </c>
    </row>
    <row r="82" spans="1:7" ht="12.75">
      <c r="A82" s="387"/>
      <c r="B82" s="388"/>
      <c r="C82" s="388"/>
      <c r="D82" s="388"/>
      <c r="E82" s="388"/>
      <c r="F82" s="388"/>
      <c r="G82" s="400"/>
    </row>
    <row r="83" spans="1:7" s="401" customFormat="1" ht="12.75">
      <c r="A83" s="391" t="s">
        <v>10</v>
      </c>
      <c r="B83" s="392">
        <v>0</v>
      </c>
      <c r="C83" s="392">
        <v>0</v>
      </c>
      <c r="D83" s="392">
        <v>3179</v>
      </c>
      <c r="E83" s="392">
        <v>0</v>
      </c>
      <c r="F83" s="392">
        <f>SUM(F84:F87)</f>
        <v>8087</v>
      </c>
      <c r="G83" s="393">
        <v>0</v>
      </c>
    </row>
    <row r="84" spans="1:7" s="411" customFormat="1" ht="12.75">
      <c r="A84" s="387" t="s">
        <v>485</v>
      </c>
      <c r="B84" s="388"/>
      <c r="C84" s="388"/>
      <c r="D84" s="388">
        <v>3179</v>
      </c>
      <c r="E84" s="388"/>
      <c r="F84" s="388">
        <v>3179</v>
      </c>
      <c r="G84" s="400">
        <v>0</v>
      </c>
    </row>
    <row r="85" spans="1:7" s="411" customFormat="1" ht="12.75">
      <c r="A85" s="387" t="s">
        <v>486</v>
      </c>
      <c r="B85" s="388"/>
      <c r="C85" s="388"/>
      <c r="D85" s="388"/>
      <c r="E85" s="388"/>
      <c r="F85" s="388">
        <v>500</v>
      </c>
      <c r="G85" s="400">
        <v>0</v>
      </c>
    </row>
    <row r="86" spans="1:7" s="411" customFormat="1" ht="12.75">
      <c r="A86" s="387" t="s">
        <v>487</v>
      </c>
      <c r="B86" s="388"/>
      <c r="C86" s="388"/>
      <c r="D86" s="388"/>
      <c r="E86" s="388"/>
      <c r="F86" s="388">
        <v>304</v>
      </c>
      <c r="G86" s="400">
        <v>0</v>
      </c>
    </row>
    <row r="87" spans="1:7" s="411" customFormat="1" ht="12.75">
      <c r="A87" s="387" t="s">
        <v>488</v>
      </c>
      <c r="B87" s="388"/>
      <c r="C87" s="388"/>
      <c r="D87" s="388"/>
      <c r="E87" s="388"/>
      <c r="F87" s="388">
        <v>4104</v>
      </c>
      <c r="G87" s="400">
        <v>0</v>
      </c>
    </row>
    <row r="88" spans="1:7" ht="12.75">
      <c r="A88" s="387"/>
      <c r="B88" s="388"/>
      <c r="C88" s="388"/>
      <c r="D88" s="388"/>
      <c r="E88" s="388"/>
      <c r="F88" s="388"/>
      <c r="G88" s="400"/>
    </row>
    <row r="89" spans="1:7" s="405" customFormat="1" ht="13.5">
      <c r="A89" s="402" t="s">
        <v>418</v>
      </c>
      <c r="B89" s="403">
        <f aca="true" t="shared" si="2" ref="B89:G89">SUM(B6,B80,B83)</f>
        <v>2518644</v>
      </c>
      <c r="C89" s="403">
        <f t="shared" si="2"/>
        <v>2125655</v>
      </c>
      <c r="D89" s="403">
        <f t="shared" si="2"/>
        <v>2660524</v>
      </c>
      <c r="E89" s="403">
        <f t="shared" si="2"/>
        <v>2125655</v>
      </c>
      <c r="F89" s="403">
        <f t="shared" si="2"/>
        <v>875864</v>
      </c>
      <c r="G89" s="404">
        <f t="shared" si="2"/>
        <v>0</v>
      </c>
    </row>
  </sheetData>
  <sheetProtection selectLockedCells="1" selectUnlockedCells="1"/>
  <mergeCells count="2">
    <mergeCell ref="A1:G1"/>
    <mergeCell ref="A2:G2"/>
  </mergeCells>
  <printOptions horizontalCentered="1"/>
  <pageMargins left="0.5118055555555555" right="0.27569444444444446" top="0.8659722222222223" bottom="0.2361111111111111" header="0.7083333333333334" footer="0.5118055555555555"/>
  <pageSetup horizontalDpi="300" verticalDpi="300" orientation="portrait" paperSize="9" scale="56"/>
  <headerFooter alignWithMargins="0">
    <oddHeader>&amp;L&amp;8 7. melléklet a 30/2011.(X.28.)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1">
      <selection activeCell="G42" sqref="G42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7" width="10.25390625" style="0" customWidth="1"/>
  </cols>
  <sheetData>
    <row r="1" spans="1:3" ht="12.75">
      <c r="A1" s="241"/>
      <c r="B1" s="1"/>
      <c r="C1" s="1"/>
    </row>
    <row r="2" spans="1:3" ht="12.75">
      <c r="A2" s="241"/>
      <c r="B2" s="1"/>
      <c r="C2" s="1"/>
    </row>
    <row r="3" spans="1:7" ht="13.5" customHeight="1">
      <c r="A3" s="412" t="s">
        <v>489</v>
      </c>
      <c r="B3" s="412"/>
      <c r="C3" s="412"/>
      <c r="D3" s="412"/>
      <c r="E3" s="412"/>
      <c r="F3" s="412"/>
      <c r="G3" s="412"/>
    </row>
    <row r="4" spans="1:7" ht="13.5" customHeight="1">
      <c r="A4" s="412" t="s">
        <v>490</v>
      </c>
      <c r="B4" s="412"/>
      <c r="C4" s="412"/>
      <c r="D4" s="412"/>
      <c r="E4" s="412"/>
      <c r="F4" s="412"/>
      <c r="G4" s="412"/>
    </row>
    <row r="5" spans="1:3" ht="16.5">
      <c r="A5" s="223"/>
      <c r="B5" s="1"/>
      <c r="C5" s="1"/>
    </row>
    <row r="6" spans="1:7" ht="55.5" customHeight="1">
      <c r="A6" s="217" t="s">
        <v>242</v>
      </c>
      <c r="B6" s="413" t="s">
        <v>6</v>
      </c>
      <c r="C6" s="414" t="s">
        <v>491</v>
      </c>
      <c r="D6" s="413" t="s">
        <v>102</v>
      </c>
      <c r="E6" s="414" t="s">
        <v>492</v>
      </c>
      <c r="F6" s="415" t="s">
        <v>5</v>
      </c>
      <c r="G6" s="416" t="s">
        <v>491</v>
      </c>
    </row>
    <row r="7" spans="1:7" ht="15" customHeight="1">
      <c r="A7" s="417" t="s">
        <v>493</v>
      </c>
      <c r="B7" s="418"/>
      <c r="C7" s="419"/>
      <c r="D7" s="418"/>
      <c r="E7" s="419"/>
      <c r="F7" s="373"/>
      <c r="G7" s="420"/>
    </row>
    <row r="8" spans="1:7" ht="15" customHeight="1">
      <c r="A8" s="421" t="s">
        <v>494</v>
      </c>
      <c r="B8" s="422">
        <v>43200</v>
      </c>
      <c r="C8" s="423">
        <v>34560</v>
      </c>
      <c r="D8" s="422">
        <v>43200</v>
      </c>
      <c r="E8" s="423">
        <v>34560</v>
      </c>
      <c r="F8" s="424">
        <v>43200</v>
      </c>
      <c r="G8" s="423">
        <v>34560</v>
      </c>
    </row>
    <row r="9" spans="1:7" ht="15" customHeight="1">
      <c r="A9" s="425" t="s">
        <v>495</v>
      </c>
      <c r="B9" s="423">
        <v>15000</v>
      </c>
      <c r="C9" s="423">
        <v>13500</v>
      </c>
      <c r="D9" s="423">
        <v>15000</v>
      </c>
      <c r="E9" s="423">
        <v>13500</v>
      </c>
      <c r="F9" s="422">
        <v>15000</v>
      </c>
      <c r="G9" s="423">
        <v>13500</v>
      </c>
    </row>
    <row r="10" spans="1:7" ht="15" customHeight="1">
      <c r="A10" s="425" t="s">
        <v>496</v>
      </c>
      <c r="B10" s="423">
        <v>4000</v>
      </c>
      <c r="C10" s="423">
        <v>3600</v>
      </c>
      <c r="D10" s="423">
        <v>4000</v>
      </c>
      <c r="E10" s="423">
        <v>3600</v>
      </c>
      <c r="F10" s="423">
        <v>4000</v>
      </c>
      <c r="G10" s="423">
        <v>3600</v>
      </c>
    </row>
    <row r="11" spans="1:7" ht="15" customHeight="1">
      <c r="A11" s="425" t="s">
        <v>314</v>
      </c>
      <c r="B11" s="423">
        <v>1300</v>
      </c>
      <c r="C11" s="423">
        <v>1170</v>
      </c>
      <c r="D11" s="423">
        <v>1300</v>
      </c>
      <c r="E11" s="423">
        <v>1170</v>
      </c>
      <c r="F11" s="423">
        <v>1300</v>
      </c>
      <c r="G11" s="423">
        <v>1170</v>
      </c>
    </row>
    <row r="12" spans="1:7" ht="15" customHeight="1">
      <c r="A12" s="425" t="s">
        <v>497</v>
      </c>
      <c r="B12" s="423">
        <v>16800</v>
      </c>
      <c r="C12" s="423">
        <v>15120</v>
      </c>
      <c r="D12" s="423">
        <v>16800</v>
      </c>
      <c r="E12" s="423">
        <v>15120</v>
      </c>
      <c r="F12" s="423">
        <v>16800</v>
      </c>
      <c r="G12" s="423">
        <v>15120</v>
      </c>
    </row>
    <row r="13" spans="1:7" ht="15" customHeight="1">
      <c r="A13" s="425" t="s">
        <v>498</v>
      </c>
      <c r="B13" s="423">
        <v>4000</v>
      </c>
      <c r="C13" s="423"/>
      <c r="D13" s="423">
        <v>4000</v>
      </c>
      <c r="E13" s="423"/>
      <c r="F13" s="423">
        <v>4000</v>
      </c>
      <c r="G13" s="423"/>
    </row>
    <row r="14" spans="1:7" ht="15" customHeight="1">
      <c r="A14" s="425" t="s">
        <v>499</v>
      </c>
      <c r="B14" s="423">
        <v>5000</v>
      </c>
      <c r="C14" s="423">
        <v>4500</v>
      </c>
      <c r="D14" s="423">
        <v>5000</v>
      </c>
      <c r="E14" s="423">
        <v>4500</v>
      </c>
      <c r="F14" s="423">
        <v>5000</v>
      </c>
      <c r="G14" s="423">
        <v>4500</v>
      </c>
    </row>
    <row r="15" spans="1:7" ht="15" customHeight="1">
      <c r="A15" s="425" t="s">
        <v>500</v>
      </c>
      <c r="B15" s="423">
        <v>29000</v>
      </c>
      <c r="C15" s="423">
        <v>21750</v>
      </c>
      <c r="D15" s="423">
        <v>29000</v>
      </c>
      <c r="E15" s="423">
        <v>21750</v>
      </c>
      <c r="F15" s="423">
        <v>29000</v>
      </c>
      <c r="G15" s="423">
        <v>21750</v>
      </c>
    </row>
    <row r="16" spans="1:7" ht="15" customHeight="1">
      <c r="A16" s="425" t="s">
        <v>501</v>
      </c>
      <c r="B16" s="423">
        <v>4000</v>
      </c>
      <c r="C16" s="423"/>
      <c r="D16" s="423">
        <v>4000</v>
      </c>
      <c r="E16" s="423"/>
      <c r="F16" s="423">
        <v>4000</v>
      </c>
      <c r="G16" s="423"/>
    </row>
    <row r="17" spans="1:7" ht="15" customHeight="1">
      <c r="A17" s="425" t="s">
        <v>321</v>
      </c>
      <c r="B17" s="423">
        <v>3000</v>
      </c>
      <c r="C17" s="423"/>
      <c r="D17" s="423">
        <v>3000</v>
      </c>
      <c r="E17" s="423"/>
      <c r="F17" s="423">
        <v>8800</v>
      </c>
      <c r="G17" s="423"/>
    </row>
    <row r="18" spans="1:7" ht="15" customHeight="1">
      <c r="A18" s="425" t="s">
        <v>322</v>
      </c>
      <c r="B18" s="423">
        <v>2100</v>
      </c>
      <c r="C18" s="423"/>
      <c r="D18" s="423">
        <v>2100</v>
      </c>
      <c r="E18" s="423"/>
      <c r="F18" s="423">
        <v>2100</v>
      </c>
      <c r="G18" s="423"/>
    </row>
    <row r="19" spans="1:7" ht="15" customHeight="1">
      <c r="A19" s="425" t="s">
        <v>502</v>
      </c>
      <c r="B19" s="423">
        <v>7500</v>
      </c>
      <c r="C19" s="423">
        <v>7500</v>
      </c>
      <c r="D19" s="423">
        <v>7500</v>
      </c>
      <c r="E19" s="423">
        <v>7500</v>
      </c>
      <c r="F19" s="423">
        <v>7500</v>
      </c>
      <c r="G19" s="423">
        <v>7500</v>
      </c>
    </row>
    <row r="20" spans="1:7" ht="15" customHeight="1">
      <c r="A20" s="425" t="s">
        <v>503</v>
      </c>
      <c r="B20" s="423">
        <v>2000</v>
      </c>
      <c r="C20" s="423"/>
      <c r="D20" s="423">
        <v>2000</v>
      </c>
      <c r="E20" s="423"/>
      <c r="F20" s="423">
        <v>2600</v>
      </c>
      <c r="G20" s="423"/>
    </row>
    <row r="21" spans="1:7" ht="15" customHeight="1">
      <c r="A21" s="425" t="s">
        <v>504</v>
      </c>
      <c r="B21" s="423">
        <v>200</v>
      </c>
      <c r="C21" s="423"/>
      <c r="D21" s="423">
        <v>200</v>
      </c>
      <c r="E21" s="423"/>
      <c r="F21" s="423">
        <v>200</v>
      </c>
      <c r="G21" s="423"/>
    </row>
    <row r="22" spans="1:7" ht="15" customHeight="1">
      <c r="A22" s="425" t="s">
        <v>324</v>
      </c>
      <c r="B22" s="423">
        <v>1500</v>
      </c>
      <c r="C22" s="423">
        <v>1500</v>
      </c>
      <c r="D22" s="423">
        <v>1500</v>
      </c>
      <c r="E22" s="423">
        <v>1500</v>
      </c>
      <c r="F22" s="423">
        <v>1500</v>
      </c>
      <c r="G22" s="423">
        <v>1500</v>
      </c>
    </row>
    <row r="23" spans="1:7" ht="15" customHeight="1">
      <c r="A23" s="425" t="s">
        <v>505</v>
      </c>
      <c r="B23" s="423"/>
      <c r="C23" s="423"/>
      <c r="D23" s="423"/>
      <c r="E23" s="423"/>
      <c r="F23" s="423"/>
      <c r="G23" s="423"/>
    </row>
    <row r="24" spans="1:7" ht="15" customHeight="1">
      <c r="A24" s="425" t="s">
        <v>506</v>
      </c>
      <c r="B24" s="423"/>
      <c r="C24" s="423"/>
      <c r="D24" s="423"/>
      <c r="E24" s="423"/>
      <c r="F24" s="423"/>
      <c r="G24" s="423"/>
    </row>
    <row r="25" spans="1:7" ht="15" customHeight="1">
      <c r="A25" s="425" t="s">
        <v>320</v>
      </c>
      <c r="B25" s="423">
        <v>300</v>
      </c>
      <c r="C25" s="423">
        <v>300</v>
      </c>
      <c r="D25" s="423">
        <v>300</v>
      </c>
      <c r="E25" s="423">
        <v>300</v>
      </c>
      <c r="F25" s="423">
        <v>300</v>
      </c>
      <c r="G25" s="423">
        <v>300</v>
      </c>
    </row>
    <row r="26" spans="1:7" ht="15" customHeight="1">
      <c r="A26" s="425" t="s">
        <v>507</v>
      </c>
      <c r="B26" s="423">
        <v>4865</v>
      </c>
      <c r="C26" s="423"/>
      <c r="D26" s="423">
        <v>4865</v>
      </c>
      <c r="E26" s="423"/>
      <c r="F26" s="423">
        <v>4865</v>
      </c>
      <c r="G26" s="423"/>
    </row>
    <row r="27" spans="1:7" ht="15" customHeight="1">
      <c r="A27" s="425" t="s">
        <v>335</v>
      </c>
      <c r="B27" s="423"/>
      <c r="C27" s="423"/>
      <c r="D27" s="423"/>
      <c r="E27" s="423"/>
      <c r="F27" s="423"/>
      <c r="G27" s="423"/>
    </row>
    <row r="28" spans="1:7" ht="15" customHeight="1">
      <c r="A28" s="425" t="s">
        <v>508</v>
      </c>
      <c r="B28" s="423"/>
      <c r="C28" s="423"/>
      <c r="D28" s="423">
        <v>25000</v>
      </c>
      <c r="E28" s="423"/>
      <c r="F28" s="423">
        <v>25000</v>
      </c>
      <c r="G28" s="423"/>
    </row>
    <row r="29" spans="1:7" s="197" customFormat="1" ht="15" customHeight="1">
      <c r="A29" s="220" t="s">
        <v>509</v>
      </c>
      <c r="B29" s="426">
        <f>SUM(B8:B28)</f>
        <v>143765</v>
      </c>
      <c r="C29" s="426">
        <f>SUM(C8:C27)</f>
        <v>103500</v>
      </c>
      <c r="D29" s="426">
        <f>SUM(D8:D28)</f>
        <v>168765</v>
      </c>
      <c r="E29" s="426">
        <f>SUM(E8:E27)</f>
        <v>103500</v>
      </c>
      <c r="F29" s="426">
        <f>SUM(F8:F28)</f>
        <v>175165</v>
      </c>
      <c r="G29" s="427">
        <f>SUM(G7:G28)</f>
        <v>103500</v>
      </c>
    </row>
    <row r="30" spans="1:7" ht="15" customHeight="1">
      <c r="A30" s="428"/>
      <c r="B30" s="429"/>
      <c r="C30" s="423"/>
      <c r="D30" s="429"/>
      <c r="E30" s="423"/>
      <c r="F30" s="429"/>
      <c r="G30" s="430"/>
    </row>
    <row r="31" spans="1:7" ht="15" customHeight="1">
      <c r="A31" s="425" t="s">
        <v>510</v>
      </c>
      <c r="B31" s="423">
        <v>4500</v>
      </c>
      <c r="C31" s="423"/>
      <c r="D31" s="423">
        <v>4500</v>
      </c>
      <c r="E31" s="423"/>
      <c r="F31" s="423">
        <v>4500</v>
      </c>
      <c r="G31" s="430"/>
    </row>
    <row r="32" spans="1:7" ht="15" customHeight="1">
      <c r="A32" s="425" t="s">
        <v>511</v>
      </c>
      <c r="B32" s="423"/>
      <c r="C32" s="423"/>
      <c r="D32" s="423"/>
      <c r="E32" s="423"/>
      <c r="F32" s="423"/>
      <c r="G32" s="430"/>
    </row>
    <row r="33" spans="1:7" ht="15" customHeight="1">
      <c r="A33" s="425" t="s">
        <v>329</v>
      </c>
      <c r="B33" s="423">
        <v>1200</v>
      </c>
      <c r="C33" s="423"/>
      <c r="D33" s="423">
        <v>1200</v>
      </c>
      <c r="E33" s="423"/>
      <c r="F33" s="423">
        <v>1200</v>
      </c>
      <c r="G33" s="430"/>
    </row>
    <row r="34" spans="1:7" ht="15" customHeight="1">
      <c r="A34" s="425" t="s">
        <v>328</v>
      </c>
      <c r="B34" s="423">
        <v>1000</v>
      </c>
      <c r="C34" s="423"/>
      <c r="D34" s="423">
        <v>3000</v>
      </c>
      <c r="E34" s="423"/>
      <c r="F34" s="423">
        <v>3000</v>
      </c>
      <c r="G34" s="430"/>
    </row>
    <row r="35" spans="1:7" ht="15" customHeight="1">
      <c r="A35" s="425" t="s">
        <v>512</v>
      </c>
      <c r="B35" s="423">
        <v>2650</v>
      </c>
      <c r="C35" s="423"/>
      <c r="D35" s="423">
        <v>2650</v>
      </c>
      <c r="E35" s="423"/>
      <c r="F35" s="423">
        <v>2650</v>
      </c>
      <c r="G35" s="430"/>
    </row>
    <row r="36" spans="1:7" s="197" customFormat="1" ht="15" customHeight="1">
      <c r="A36" s="220" t="s">
        <v>513</v>
      </c>
      <c r="B36" s="426">
        <f aca="true" t="shared" si="0" ref="B36:G36">SUM(B31:B35)</f>
        <v>9350</v>
      </c>
      <c r="C36" s="426">
        <f t="shared" si="0"/>
        <v>0</v>
      </c>
      <c r="D36" s="426">
        <f t="shared" si="0"/>
        <v>11350</v>
      </c>
      <c r="E36" s="426">
        <f t="shared" si="0"/>
        <v>0</v>
      </c>
      <c r="F36" s="426">
        <f t="shared" si="0"/>
        <v>11350</v>
      </c>
      <c r="G36" s="427">
        <f t="shared" si="0"/>
        <v>0</v>
      </c>
    </row>
    <row r="37" spans="1:7" ht="15" customHeight="1">
      <c r="A37" s="425"/>
      <c r="B37" s="423"/>
      <c r="C37" s="423"/>
      <c r="D37" s="423"/>
      <c r="E37" s="423"/>
      <c r="F37" s="423"/>
      <c r="G37" s="430"/>
    </row>
    <row r="38" spans="1:7" s="197" customFormat="1" ht="15" customHeight="1">
      <c r="A38" s="220" t="s">
        <v>514</v>
      </c>
      <c r="B38" s="426">
        <f aca="true" t="shared" si="1" ref="B38:G38">SUM(B29,B36)</f>
        <v>153115</v>
      </c>
      <c r="C38" s="426">
        <f t="shared" si="1"/>
        <v>103500</v>
      </c>
      <c r="D38" s="426">
        <f t="shared" si="1"/>
        <v>180115</v>
      </c>
      <c r="E38" s="426">
        <f t="shared" si="1"/>
        <v>103500</v>
      </c>
      <c r="F38" s="426">
        <f t="shared" si="1"/>
        <v>186515</v>
      </c>
      <c r="G38" s="427">
        <f t="shared" si="1"/>
        <v>103500</v>
      </c>
    </row>
    <row r="39" spans="1:7" ht="15" customHeight="1">
      <c r="A39" s="22"/>
      <c r="B39" s="423"/>
      <c r="C39" s="423"/>
      <c r="D39" s="423"/>
      <c r="E39" s="423"/>
      <c r="F39" s="423"/>
      <c r="G39" s="430"/>
    </row>
    <row r="40" spans="1:7" s="197" customFormat="1" ht="15" customHeight="1">
      <c r="A40" s="37" t="s">
        <v>515</v>
      </c>
      <c r="B40" s="426">
        <f aca="true" t="shared" si="2" ref="B40:G40">SUM(B41:B42)</f>
        <v>8040</v>
      </c>
      <c r="C40" s="426">
        <f t="shared" si="2"/>
        <v>5220</v>
      </c>
      <c r="D40" s="426">
        <f t="shared" si="2"/>
        <v>8040</v>
      </c>
      <c r="E40" s="426">
        <f t="shared" si="2"/>
        <v>5220</v>
      </c>
      <c r="F40" s="426">
        <f t="shared" si="2"/>
        <v>8040</v>
      </c>
      <c r="G40" s="427">
        <f t="shared" si="2"/>
        <v>5220</v>
      </c>
    </row>
    <row r="41" spans="1:7" ht="15" customHeight="1">
      <c r="A41" s="22" t="s">
        <v>516</v>
      </c>
      <c r="B41" s="423">
        <v>6960</v>
      </c>
      <c r="C41" s="423">
        <v>5220</v>
      </c>
      <c r="D41" s="423">
        <v>6960</v>
      </c>
      <c r="E41" s="423">
        <v>5220</v>
      </c>
      <c r="F41" s="423">
        <v>6960</v>
      </c>
      <c r="G41" s="430">
        <v>5220</v>
      </c>
    </row>
    <row r="42" spans="1:7" ht="15" customHeight="1">
      <c r="A42" s="22" t="s">
        <v>517</v>
      </c>
      <c r="B42" s="423">
        <v>1080</v>
      </c>
      <c r="C42" s="423"/>
      <c r="D42" s="423">
        <v>1080</v>
      </c>
      <c r="E42" s="423"/>
      <c r="F42" s="423">
        <v>1080</v>
      </c>
      <c r="G42" s="430"/>
    </row>
    <row r="43" spans="1:7" ht="15" customHeight="1">
      <c r="A43" s="22"/>
      <c r="B43" s="423"/>
      <c r="C43" s="423"/>
      <c r="D43" s="423"/>
      <c r="E43" s="423"/>
      <c r="F43" s="423"/>
      <c r="G43" s="430"/>
    </row>
    <row r="44" spans="1:7" s="434" customFormat="1" ht="15" customHeight="1">
      <c r="A44" s="431" t="s">
        <v>143</v>
      </c>
      <c r="B44" s="432">
        <f aca="true" t="shared" si="3" ref="B44:G44">SUM(B38,B40)</f>
        <v>161155</v>
      </c>
      <c r="C44" s="432">
        <f t="shared" si="3"/>
        <v>108720</v>
      </c>
      <c r="D44" s="432">
        <f t="shared" si="3"/>
        <v>188155</v>
      </c>
      <c r="E44" s="432">
        <f t="shared" si="3"/>
        <v>108720</v>
      </c>
      <c r="F44" s="432">
        <f t="shared" si="3"/>
        <v>194555</v>
      </c>
      <c r="G44" s="433">
        <f t="shared" si="3"/>
        <v>108720</v>
      </c>
    </row>
  </sheetData>
  <sheetProtection selectLockedCells="1" selectUnlockedCells="1"/>
  <mergeCells count="2">
    <mergeCell ref="A3:G3"/>
    <mergeCell ref="A4:G4"/>
  </mergeCells>
  <printOptions horizontalCentered="1"/>
  <pageMargins left="0.7875" right="0.7875" top="0.7875" bottom="0.31527777777777777" header="0.6298611111111111" footer="0.5118055555555555"/>
  <pageSetup horizontalDpi="300" verticalDpi="300" orientation="portrait" paperSize="9" scale="67"/>
  <headerFooter alignWithMargins="0">
    <oddHeader>&amp;L&amp;8 8. melléklet a 30/2011.(X.28.)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2011-10-26T12:48:16Z</cp:lastPrinted>
  <dcterms:created xsi:type="dcterms:W3CDTF">2003-02-14T08:59:10Z</dcterms:created>
  <dcterms:modified xsi:type="dcterms:W3CDTF">2011-10-26T12:57:01Z</dcterms:modified>
  <cp:category/>
  <cp:version/>
  <cp:contentType/>
  <cp:contentStatus/>
</cp:coreProperties>
</file>